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NSS - Aldemir\Compras 2020\LLave en Mano Oficinas\"/>
    </mc:Choice>
  </mc:AlternateContent>
  <bookViews>
    <workbookView xWindow="0" yWindow="0" windowWidth="14380" windowHeight="4860" activeTab="2"/>
    <workbookView xWindow="-120" yWindow="-120" windowWidth="29040" windowHeight="15840" activeTab="2"/>
  </bookViews>
  <sheets>
    <sheet name="RESUMEN" sheetId="3" r:id="rId1"/>
    <sheet name="EDIF #1" sheetId="1" r:id="rId2"/>
    <sheet name="EDIF #2" sheetId="4" r:id="rId3"/>
    <sheet name="HORIZONTAL" sheetId="2" state="hidden" r:id="rId4"/>
  </sheets>
  <definedNames>
    <definedName name="_xlnm._FilterDatabase" localSheetId="1" hidden="1">'EDIF #1'!$B$7:$H$294</definedName>
    <definedName name="_xlnm._FilterDatabase" localSheetId="2" hidden="1">'EDIF #2'!$A$7:$G$159</definedName>
    <definedName name="_xlnm._FilterDatabase" localSheetId="0" hidden="1">RESUMEN!$A$7:$C$75</definedName>
    <definedName name="_xlnm.Print_Area" localSheetId="1">'EDIF #1'!$B$1:$H$294</definedName>
    <definedName name="_xlnm.Print_Area" localSheetId="2">'EDIF #2'!$A$1:$G$159</definedName>
    <definedName name="_xlnm.Print_Area" localSheetId="0">RESUMEN!$A$1:$C$75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1" i="1" l="1"/>
  <c r="G201" i="1" s="1"/>
  <c r="G200" i="1"/>
  <c r="D199" i="1"/>
  <c r="G199" i="1" s="1"/>
  <c r="D113" i="1"/>
  <c r="C67" i="3"/>
  <c r="C66" i="3"/>
  <c r="C59" i="3"/>
  <c r="A103" i="4"/>
  <c r="A104" i="4" s="1"/>
  <c r="A105" i="4" s="1"/>
  <c r="A106" i="4" s="1"/>
  <c r="A107" i="4" s="1"/>
  <c r="A108" i="4" s="1"/>
  <c r="A109" i="4" s="1"/>
  <c r="A110" i="4" s="1"/>
  <c r="A111" i="4" s="1"/>
  <c r="A113" i="4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3" i="4"/>
  <c r="A14" i="4" s="1"/>
  <c r="A16" i="4"/>
  <c r="A25" i="4" s="1"/>
  <c r="A36" i="4" s="1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G114" i="1"/>
  <c r="A37" i="4" l="1"/>
  <c r="A38" i="4" s="1"/>
  <c r="A40" i="4"/>
  <c r="G113" i="4"/>
  <c r="F38" i="4"/>
  <c r="F37" i="4"/>
  <c r="G36" i="4" s="1"/>
  <c r="G243" i="1"/>
  <c r="G244" i="1"/>
  <c r="G245" i="1"/>
  <c r="G246" i="1"/>
  <c r="G247" i="1"/>
  <c r="G248" i="1"/>
  <c r="G249" i="1"/>
  <c r="G250" i="1"/>
  <c r="G251" i="1"/>
  <c r="G252" i="1"/>
  <c r="G253" i="1"/>
  <c r="G242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56" i="1"/>
  <c r="G188" i="1"/>
  <c r="G189" i="1"/>
  <c r="G190" i="1"/>
  <c r="G187" i="1"/>
  <c r="G175" i="1"/>
  <c r="G176" i="1"/>
  <c r="G177" i="1"/>
  <c r="G178" i="1"/>
  <c r="G179" i="1"/>
  <c r="G180" i="1"/>
  <c r="G181" i="1"/>
  <c r="G182" i="1"/>
  <c r="G183" i="1"/>
  <c r="G184" i="1"/>
  <c r="G174" i="1"/>
  <c r="G169" i="1"/>
  <c r="G170" i="1"/>
  <c r="G171" i="1"/>
  <c r="G168" i="1"/>
  <c r="G160" i="1"/>
  <c r="G161" i="1"/>
  <c r="G162" i="1"/>
  <c r="G163" i="1"/>
  <c r="G164" i="1"/>
  <c r="G165" i="1"/>
  <c r="F67" i="4"/>
  <c r="F103" i="4"/>
  <c r="F104" i="4"/>
  <c r="F105" i="4"/>
  <c r="F106" i="4"/>
  <c r="F107" i="4"/>
  <c r="F108" i="4"/>
  <c r="F109" i="4"/>
  <c r="F110" i="4"/>
  <c r="F111" i="4"/>
  <c r="F102" i="4"/>
  <c r="F97" i="4"/>
  <c r="F98" i="4"/>
  <c r="F99" i="4"/>
  <c r="F96" i="4"/>
  <c r="F84" i="4"/>
  <c r="F85" i="4"/>
  <c r="F86" i="4"/>
  <c r="F87" i="4"/>
  <c r="F88" i="4"/>
  <c r="F89" i="4"/>
  <c r="F90" i="4"/>
  <c r="F91" i="4"/>
  <c r="F92" i="4"/>
  <c r="F93" i="4"/>
  <c r="F78" i="4"/>
  <c r="F79" i="4"/>
  <c r="F80" i="4"/>
  <c r="F77" i="4"/>
  <c r="F69" i="4"/>
  <c r="F70" i="4"/>
  <c r="F71" i="4"/>
  <c r="F72" i="4"/>
  <c r="F73" i="4"/>
  <c r="F74" i="4"/>
  <c r="F83" i="4"/>
  <c r="B143" i="1"/>
  <c r="A41" i="4" l="1"/>
  <c r="A43" i="4"/>
  <c r="H255" i="1"/>
  <c r="C51" i="3" s="1"/>
  <c r="H241" i="1"/>
  <c r="C50" i="3" s="1"/>
  <c r="G101" i="4"/>
  <c r="B16" i="1"/>
  <c r="B29" i="1" s="1"/>
  <c r="B35" i="1" s="1"/>
  <c r="A53" i="4" l="1"/>
  <c r="A44" i="4"/>
  <c r="A45" i="4" s="1"/>
  <c r="A46" i="4" s="1"/>
  <c r="A47" i="4" s="1"/>
  <c r="A48" i="4" s="1"/>
  <c r="A49" i="4" s="1"/>
  <c r="A50" i="4" s="1"/>
  <c r="A51" i="4" s="1"/>
  <c r="C62" i="4"/>
  <c r="F62" i="4" s="1"/>
  <c r="C57" i="4"/>
  <c r="F57" i="4" s="1"/>
  <c r="C49" i="4"/>
  <c r="F48" i="4"/>
  <c r="F46" i="4"/>
  <c r="F47" i="4"/>
  <c r="F44" i="4"/>
  <c r="A26" i="4"/>
  <c r="A27" i="4" s="1"/>
  <c r="A28" i="4" s="1"/>
  <c r="A30" i="4" s="1"/>
  <c r="A31" i="4" s="1"/>
  <c r="A33" i="4" s="1"/>
  <c r="A34" i="4" s="1"/>
  <c r="F26" i="4"/>
  <c r="C33" i="4"/>
  <c r="F33" i="4" s="1"/>
  <c r="F31" i="4"/>
  <c r="C28" i="4"/>
  <c r="F28" i="4" s="1"/>
  <c r="F27" i="4"/>
  <c r="A17" i="4"/>
  <c r="A18" i="4" s="1"/>
  <c r="A19" i="4" s="1"/>
  <c r="A20" i="4" s="1"/>
  <c r="A21" i="4" s="1"/>
  <c r="A22" i="4" s="1"/>
  <c r="A23" i="4" s="1"/>
  <c r="F13" i="4"/>
  <c r="C20" i="4"/>
  <c r="F20" i="4" s="1"/>
  <c r="F19" i="4"/>
  <c r="F18" i="4"/>
  <c r="F68" i="4"/>
  <c r="G64" i="4" s="1"/>
  <c r="F59" i="4"/>
  <c r="F58" i="4"/>
  <c r="F54" i="4"/>
  <c r="F51" i="4"/>
  <c r="F50" i="4"/>
  <c r="F49" i="4"/>
  <c r="F45" i="4"/>
  <c r="F41" i="4"/>
  <c r="F34" i="4"/>
  <c r="F30" i="4"/>
  <c r="F23" i="4"/>
  <c r="F22" i="4"/>
  <c r="F21" i="4"/>
  <c r="F17" i="4"/>
  <c r="D154" i="1"/>
  <c r="G154" i="1" s="1"/>
  <c r="D152" i="1"/>
  <c r="G152" i="1" s="1"/>
  <c r="G153" i="1"/>
  <c r="D148" i="1"/>
  <c r="G148" i="1" s="1"/>
  <c r="D149" i="1"/>
  <c r="G149" i="1" s="1"/>
  <c r="G159" i="1"/>
  <c r="H156" i="1" s="1"/>
  <c r="C39" i="3" s="1"/>
  <c r="A56" i="4" l="1"/>
  <c r="A54" i="4"/>
  <c r="G142" i="4"/>
  <c r="G145" i="4" s="1"/>
  <c r="G40" i="4"/>
  <c r="C60" i="3" s="1"/>
  <c r="G43" i="4"/>
  <c r="C61" i="3" s="1"/>
  <c r="G12" i="4"/>
  <c r="C56" i="3" s="1"/>
  <c r="G53" i="4"/>
  <c r="C62" i="3" s="1"/>
  <c r="G61" i="4"/>
  <c r="C64" i="3" s="1"/>
  <c r="G25" i="4"/>
  <c r="C58" i="3" s="1"/>
  <c r="G16" i="4"/>
  <c r="C57" i="3" s="1"/>
  <c r="G56" i="4"/>
  <c r="C63" i="3" s="1"/>
  <c r="C65" i="3"/>
  <c r="D274" i="1"/>
  <c r="D275" i="1"/>
  <c r="G273" i="1"/>
  <c r="G146" i="4" l="1"/>
  <c r="G152" i="4" s="1"/>
  <c r="A61" i="4"/>
  <c r="A57" i="4"/>
  <c r="A58" i="4" s="1"/>
  <c r="A59" i="4" s="1"/>
  <c r="G150" i="4"/>
  <c r="G147" i="4"/>
  <c r="G151" i="4"/>
  <c r="G148" i="4"/>
  <c r="G149" i="4"/>
  <c r="G222" i="1"/>
  <c r="D223" i="1"/>
  <c r="G221" i="1"/>
  <c r="G220" i="1"/>
  <c r="D207" i="1"/>
  <c r="D205" i="1"/>
  <c r="D204" i="1" s="1"/>
  <c r="G233" i="1"/>
  <c r="G228" i="1"/>
  <c r="D235" i="1"/>
  <c r="D212" i="1"/>
  <c r="G212" i="1" s="1"/>
  <c r="D211" i="1"/>
  <c r="G211" i="1" s="1"/>
  <c r="G213" i="1"/>
  <c r="D232" i="1"/>
  <c r="D145" i="1"/>
  <c r="G145" i="1" s="1"/>
  <c r="G144" i="1"/>
  <c r="D143" i="1"/>
  <c r="G143" i="1" s="1"/>
  <c r="G140" i="1"/>
  <c r="G137" i="1"/>
  <c r="G136" i="1"/>
  <c r="G135" i="1"/>
  <c r="G134" i="1"/>
  <c r="G131" i="1"/>
  <c r="G130" i="1"/>
  <c r="G127" i="1"/>
  <c r="D126" i="1"/>
  <c r="G126" i="1" s="1"/>
  <c r="G125" i="1"/>
  <c r="G124" i="1"/>
  <c r="G123" i="1"/>
  <c r="D120" i="1"/>
  <c r="G120" i="1" s="1"/>
  <c r="G119" i="1"/>
  <c r="D118" i="1"/>
  <c r="G118" i="1" s="1"/>
  <c r="D115" i="1"/>
  <c r="G115" i="1" s="1"/>
  <c r="G113" i="1"/>
  <c r="D110" i="1"/>
  <c r="G110" i="1" s="1"/>
  <c r="G109" i="1"/>
  <c r="G108" i="1"/>
  <c r="G107" i="1"/>
  <c r="D106" i="1"/>
  <c r="G106" i="1" s="1"/>
  <c r="G103" i="1"/>
  <c r="G102" i="1"/>
  <c r="D53" i="1"/>
  <c r="G234" i="1"/>
  <c r="G275" i="1"/>
  <c r="G216" i="1"/>
  <c r="G274" i="1"/>
  <c r="G272" i="1"/>
  <c r="G196" i="1"/>
  <c r="G195" i="1"/>
  <c r="A64" i="4" l="1"/>
  <c r="A101" i="4" s="1"/>
  <c r="A102" i="4" s="1"/>
  <c r="A62" i="4"/>
  <c r="G144" i="4"/>
  <c r="D238" i="1"/>
  <c r="G238" i="1" s="1"/>
  <c r="H133" i="1"/>
  <c r="C34" i="3" s="1"/>
  <c r="H129" i="1"/>
  <c r="C33" i="3" s="1"/>
  <c r="H147" i="1"/>
  <c r="C37" i="3" s="1"/>
  <c r="H210" i="1"/>
  <c r="C44" i="3" s="1"/>
  <c r="H142" i="1"/>
  <c r="C36" i="3" s="1"/>
  <c r="H117" i="1"/>
  <c r="C31" i="3" s="1"/>
  <c r="H122" i="1"/>
  <c r="C32" i="3" s="1"/>
  <c r="H139" i="1"/>
  <c r="H112" i="1"/>
  <c r="C30" i="3" s="1"/>
  <c r="H101" i="1"/>
  <c r="C28" i="3" s="1"/>
  <c r="H105" i="1"/>
  <c r="C29" i="3" s="1"/>
  <c r="G239" i="1"/>
  <c r="G235" i="1"/>
  <c r="G232" i="1"/>
  <c r="G229" i="1"/>
  <c r="G225" i="1"/>
  <c r="G224" i="1"/>
  <c r="G223" i="1"/>
  <c r="G219" i="1"/>
  <c r="H215" i="1"/>
  <c r="C45" i="3" s="1"/>
  <c r="G208" i="1"/>
  <c r="G207" i="1"/>
  <c r="G206" i="1"/>
  <c r="G205" i="1"/>
  <c r="G204" i="1"/>
  <c r="H198" i="1"/>
  <c r="C42" i="3" s="1"/>
  <c r="G53" i="1"/>
  <c r="D96" i="1"/>
  <c r="G96" i="1" s="1"/>
  <c r="G97" i="1"/>
  <c r="D92" i="1"/>
  <c r="D76" i="1"/>
  <c r="G74" i="1"/>
  <c r="G73" i="1"/>
  <c r="A67" i="4" l="1"/>
  <c r="A68" i="4" s="1"/>
  <c r="A69" i="4" s="1"/>
  <c r="A70" i="4" s="1"/>
  <c r="A71" i="4" s="1"/>
  <c r="A72" i="4" s="1"/>
  <c r="A73" i="4" s="1"/>
  <c r="A74" i="4" s="1"/>
  <c r="A77" i="4" s="1"/>
  <c r="A78" i="4" s="1"/>
  <c r="A79" i="4" s="1"/>
  <c r="A80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6" i="4" s="1"/>
  <c r="A97" i="4" s="1"/>
  <c r="A98" i="4" s="1"/>
  <c r="A99" i="4" s="1"/>
  <c r="C35" i="3"/>
  <c r="C55" i="3"/>
  <c r="H151" i="1"/>
  <c r="C38" i="3" s="1"/>
  <c r="H52" i="1"/>
  <c r="C17" i="3" s="1"/>
  <c r="H203" i="1"/>
  <c r="C43" i="3" s="1"/>
  <c r="H218" i="1"/>
  <c r="C46" i="3" s="1"/>
  <c r="H194" i="1"/>
  <c r="C41" i="3" s="1"/>
  <c r="H231" i="1"/>
  <c r="C48" i="3" s="1"/>
  <c r="H227" i="1"/>
  <c r="C47" i="3" s="1"/>
  <c r="H237" i="1"/>
  <c r="C49" i="3" s="1"/>
  <c r="H95" i="1"/>
  <c r="C26" i="3" s="1"/>
  <c r="G25" i="1"/>
  <c r="D70" i="1"/>
  <c r="G70" i="1" s="1"/>
  <c r="G65" i="1"/>
  <c r="D63" i="1"/>
  <c r="G63" i="1" s="1"/>
  <c r="D62" i="1"/>
  <c r="G62" i="1" s="1"/>
  <c r="G50" i="1"/>
  <c r="D49" i="1"/>
  <c r="G49" i="1" s="1"/>
  <c r="D46" i="1"/>
  <c r="G46" i="1" s="1"/>
  <c r="G43" i="1"/>
  <c r="G42" i="1"/>
  <c r="G41" i="1"/>
  <c r="G40" i="1"/>
  <c r="G39" i="1"/>
  <c r="G36" i="1"/>
  <c r="H35" i="1" s="1"/>
  <c r="C13" i="3" s="1"/>
  <c r="G33" i="1"/>
  <c r="D32" i="1"/>
  <c r="G32" i="1" s="1"/>
  <c r="G31" i="1"/>
  <c r="G30" i="1"/>
  <c r="B30" i="1"/>
  <c r="D27" i="1"/>
  <c r="G27" i="1" s="1"/>
  <c r="G26" i="1"/>
  <c r="G24" i="1"/>
  <c r="G23" i="1"/>
  <c r="G22" i="1"/>
  <c r="G21" i="1"/>
  <c r="G20" i="1"/>
  <c r="G19" i="1"/>
  <c r="D18" i="1"/>
  <c r="G18" i="1" s="1"/>
  <c r="D17" i="1"/>
  <c r="G17" i="1" s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G13" i="1"/>
  <c r="B13" i="1"/>
  <c r="G76" i="1"/>
  <c r="G85" i="1"/>
  <c r="G77" i="1"/>
  <c r="G75" i="1"/>
  <c r="G93" i="1"/>
  <c r="G92" i="1"/>
  <c r="G89" i="1"/>
  <c r="G86" i="1"/>
  <c r="G84" i="1"/>
  <c r="G83" i="1"/>
  <c r="G80" i="1"/>
  <c r="H79" i="1" s="1"/>
  <c r="C22" i="3" s="1"/>
  <c r="G68" i="1"/>
  <c r="G67" i="1"/>
  <c r="F26" i="2"/>
  <c r="F25" i="2"/>
  <c r="F24" i="2"/>
  <c r="F23" i="2"/>
  <c r="F22" i="2"/>
  <c r="G18" i="2" s="1"/>
  <c r="F21" i="2"/>
  <c r="F20" i="2"/>
  <c r="F19" i="2"/>
  <c r="A19" i="2"/>
  <c r="A20" i="2" s="1"/>
  <c r="A21" i="2" s="1"/>
  <c r="A22" i="2" s="1"/>
  <c r="A23" i="2" s="1"/>
  <c r="A24" i="2" s="1"/>
  <c r="A25" i="2" s="1"/>
  <c r="A26" i="2" s="1"/>
  <c r="F16" i="2"/>
  <c r="F15" i="2"/>
  <c r="F14" i="2"/>
  <c r="F13" i="2"/>
  <c r="A13" i="2"/>
  <c r="A14" i="2" s="1"/>
  <c r="A15" i="2" s="1"/>
  <c r="A16" i="2" s="1"/>
  <c r="G58" i="1"/>
  <c r="G64" i="1"/>
  <c r="G66" i="1"/>
  <c r="G69" i="1"/>
  <c r="C27" i="3" l="1"/>
  <c r="B38" i="1"/>
  <c r="B45" i="1" s="1"/>
  <c r="B31" i="1"/>
  <c r="B32" i="1" s="1"/>
  <c r="B33" i="1" s="1"/>
  <c r="H277" i="1"/>
  <c r="G12" i="2"/>
  <c r="B39" i="1"/>
  <c r="B40" i="1" s="1"/>
  <c r="B41" i="1" s="1"/>
  <c r="B42" i="1" s="1"/>
  <c r="B43" i="1" s="1"/>
  <c r="B36" i="1"/>
  <c r="G154" i="4"/>
  <c r="F156" i="4" s="1"/>
  <c r="G156" i="4" s="1"/>
  <c r="H48" i="1"/>
  <c r="C16" i="3" s="1"/>
  <c r="H29" i="1"/>
  <c r="C12" i="3" s="1"/>
  <c r="H12" i="1"/>
  <c r="C10" i="3" s="1"/>
  <c r="H45" i="1"/>
  <c r="C15" i="3" s="1"/>
  <c r="H38" i="1"/>
  <c r="C14" i="3" s="1"/>
  <c r="H16" i="1"/>
  <c r="C11" i="3" s="1"/>
  <c r="H88" i="1"/>
  <c r="C24" i="3" s="1"/>
  <c r="H72" i="1"/>
  <c r="C21" i="3" s="1"/>
  <c r="H91" i="1"/>
  <c r="C25" i="3" s="1"/>
  <c r="H82" i="1"/>
  <c r="C23" i="3" s="1"/>
  <c r="H57" i="1"/>
  <c r="C19" i="3" s="1"/>
  <c r="H61" i="1"/>
  <c r="C20" i="3" s="1"/>
  <c r="H280" i="1" l="1"/>
  <c r="G280" i="1"/>
  <c r="B48" i="1"/>
  <c r="B49" i="1" s="1"/>
  <c r="B50" i="1" s="1"/>
  <c r="B46" i="1"/>
  <c r="H282" i="1"/>
  <c r="H286" i="1"/>
  <c r="H281" i="1"/>
  <c r="H287" i="1" s="1"/>
  <c r="H283" i="1"/>
  <c r="H284" i="1"/>
  <c r="H285" i="1"/>
  <c r="G158" i="4"/>
  <c r="C18" i="3"/>
  <c r="C9" i="3"/>
  <c r="G286" i="1"/>
  <c r="G282" i="1"/>
  <c r="G281" i="1"/>
  <c r="G283" i="1"/>
  <c r="G284" i="1"/>
  <c r="G285" i="1"/>
  <c r="H279" i="1" l="1"/>
  <c r="B52" i="1"/>
  <c r="G287" i="1"/>
  <c r="H271" i="1"/>
  <c r="C52" i="3" s="1"/>
  <c r="C40" i="3" s="1"/>
  <c r="C69" i="3" s="1"/>
  <c r="B57" i="1" l="1"/>
  <c r="B58" i="1" s="1"/>
  <c r="B59" i="1" s="1"/>
  <c r="B53" i="1"/>
  <c r="C70" i="3"/>
  <c r="H289" i="1"/>
  <c r="G291" i="1" s="1"/>
  <c r="H291" i="1" s="1"/>
  <c r="C72" i="3" s="1"/>
  <c r="B61" i="1" l="1"/>
  <c r="B62" i="1" s="1"/>
  <c r="B63" i="1" s="1"/>
  <c r="B64" i="1" s="1"/>
  <c r="B65" i="1" s="1"/>
  <c r="B66" i="1" s="1"/>
  <c r="B67" i="1" s="1"/>
  <c r="B68" i="1" s="1"/>
  <c r="B69" i="1" s="1"/>
  <c r="B70" i="1" s="1"/>
  <c r="H293" i="1"/>
  <c r="C74" i="3"/>
  <c r="B72" i="1" l="1"/>
  <c r="B79" i="1" s="1"/>
  <c r="B80" i="1" s="1"/>
  <c r="B73" i="1" l="1"/>
  <c r="B74" i="1" s="1"/>
  <c r="B75" i="1" s="1"/>
  <c r="B76" i="1" s="1"/>
  <c r="B77" i="1" s="1"/>
  <c r="B82" i="1"/>
  <c r="B83" i="1" s="1"/>
  <c r="B84" i="1" s="1"/>
  <c r="B85" i="1" s="1"/>
  <c r="B86" i="1" s="1"/>
  <c r="B88" i="1"/>
  <c r="B91" i="1" l="1"/>
  <c r="B89" i="1"/>
  <c r="B92" i="1" l="1"/>
  <c r="B93" i="1" s="1"/>
  <c r="B95" i="1"/>
  <c r="B96" i="1" s="1"/>
  <c r="B97" i="1" s="1"/>
  <c r="B101" i="1" l="1"/>
  <c r="B102" i="1" l="1"/>
  <c r="B103" i="1" s="1"/>
  <c r="B105" i="1"/>
  <c r="B106" i="1" l="1"/>
  <c r="B107" i="1" s="1"/>
  <c r="B108" i="1" s="1"/>
  <c r="B109" i="1" s="1"/>
  <c r="B110" i="1" s="1"/>
  <c r="B112" i="1"/>
  <c r="B113" i="1" s="1"/>
  <c r="B114" i="1" s="1"/>
  <c r="B115" i="1" s="1"/>
  <c r="B117" i="1" l="1"/>
  <c r="B122" i="1" l="1"/>
  <c r="B118" i="1"/>
  <c r="B119" i="1" s="1"/>
  <c r="B120" i="1" s="1"/>
  <c r="B129" i="1" l="1"/>
  <c r="B123" i="1"/>
  <c r="B124" i="1" s="1"/>
  <c r="B125" i="1" s="1"/>
  <c r="B126" i="1" s="1"/>
  <c r="B127" i="1" s="1"/>
  <c r="B133" i="1" l="1"/>
  <c r="B130" i="1"/>
  <c r="B131" i="1" s="1"/>
  <c r="B139" i="1" l="1"/>
  <c r="B134" i="1"/>
  <c r="B135" i="1" s="1"/>
  <c r="B136" i="1" s="1"/>
  <c r="B137" i="1" s="1"/>
  <c r="B140" i="1" l="1"/>
  <c r="B144" i="1" l="1"/>
  <c r="B145" i="1" s="1"/>
  <c r="B147" i="1"/>
  <c r="B151" i="1" l="1"/>
  <c r="B148" i="1"/>
  <c r="B149" i="1" s="1"/>
  <c r="B156" i="1" l="1"/>
  <c r="B194" i="1" s="1"/>
  <c r="B198" i="1" s="1"/>
  <c r="B199" i="1" s="1"/>
  <c r="B200" i="1" s="1"/>
  <c r="B201" i="1" s="1"/>
  <c r="B152" i="1"/>
  <c r="B153" i="1" s="1"/>
  <c r="B154" i="1" s="1"/>
  <c r="B195" i="1" l="1"/>
  <c r="B196" i="1" s="1"/>
  <c r="B203" i="1" l="1"/>
  <c r="B210" i="1" l="1"/>
  <c r="B211" i="1" s="1"/>
  <c r="B212" i="1" s="1"/>
  <c r="B213" i="1" s="1"/>
  <c r="B204" i="1"/>
  <c r="B205" i="1" s="1"/>
  <c r="B206" i="1" s="1"/>
  <c r="B207" i="1" s="1"/>
  <c r="B208" i="1" s="1"/>
  <c r="B215" i="1" l="1"/>
  <c r="B216" i="1" s="1"/>
  <c r="B218" i="1" l="1"/>
  <c r="B219" i="1" s="1"/>
  <c r="B220" i="1" s="1"/>
  <c r="B221" i="1" s="1"/>
  <c r="B222" i="1" s="1"/>
  <c r="B223" i="1" s="1"/>
  <c r="B224" i="1" s="1"/>
  <c r="B225" i="1" s="1"/>
  <c r="B227" i="1" l="1"/>
  <c r="B228" i="1" s="1"/>
  <c r="B229" i="1" s="1"/>
  <c r="B231" i="1" l="1"/>
  <c r="B232" i="1" s="1"/>
  <c r="B233" i="1" s="1"/>
  <c r="B234" i="1" s="1"/>
  <c r="B235" i="1" s="1"/>
  <c r="B237" i="1" l="1"/>
  <c r="B238" i="1" l="1"/>
  <c r="B239" i="1" s="1"/>
  <c r="B241" i="1"/>
  <c r="B255" i="1" l="1"/>
  <c r="B242" i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71" i="1" l="1"/>
  <c r="B256" i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3" i="1" l="1"/>
  <c r="B275" i="1" s="1"/>
  <c r="B272" i="1"/>
  <c r="B274" i="1" s="1"/>
</calcChain>
</file>

<file path=xl/sharedStrings.xml><?xml version="1.0" encoding="utf-8"?>
<sst xmlns="http://schemas.openxmlformats.org/spreadsheetml/2006/main" count="739" uniqueCount="242">
  <si>
    <t>No.</t>
  </si>
  <si>
    <t>PARTIDAS</t>
  </si>
  <si>
    <t>CANT.</t>
  </si>
  <si>
    <t>UNID</t>
  </si>
  <si>
    <t>P.U.</t>
  </si>
  <si>
    <t>SUB-TOTAL</t>
  </si>
  <si>
    <t>TOTAL
RD$</t>
  </si>
  <si>
    <t>ML</t>
  </si>
  <si>
    <t>UD</t>
  </si>
  <si>
    <t>Ubicación:</t>
  </si>
  <si>
    <t xml:space="preserve">Nombre del Contratista: </t>
  </si>
  <si>
    <t>PRESUPUESTO PARA LA REMODELACION DE OFICINAS CNNS</t>
  </si>
  <si>
    <t>Fecha:</t>
  </si>
  <si>
    <t>Localización:</t>
  </si>
  <si>
    <t>NIVEL 6</t>
  </si>
  <si>
    <t>EDIFICIO #1</t>
  </si>
  <si>
    <t>DEMOLICIONES</t>
  </si>
  <si>
    <t>PRELIMINARES</t>
  </si>
  <si>
    <t>LIMPIEZA CONTINUA (APROX. 2 MESES)</t>
  </si>
  <si>
    <t>M2</t>
  </si>
  <si>
    <t>DEMOLICION DE MUROS LIGEROS</t>
  </si>
  <si>
    <t>DEMOLICION DE MUROS LIGEROS (H=2.55M)</t>
  </si>
  <si>
    <t>DESMANTELACION DE CRISTALES (H-2.55M)</t>
  </si>
  <si>
    <t>DESMANTELACION DE INODOROS</t>
  </si>
  <si>
    <t>DESMANTELACION DE LAVAMANOS</t>
  </si>
  <si>
    <t>DESMANTELACION DE URINALES</t>
  </si>
  <si>
    <t xml:space="preserve">DESMANTELACION DE ACCERIOS </t>
  </si>
  <si>
    <t>DESMANTELACION DE PUERTA DE CRISTAL</t>
  </si>
  <si>
    <t>DESMANTELACION DE MODULOS DE INODOROS</t>
  </si>
  <si>
    <t>ACARREO DE MATERIAL DEMOLIDO Y DESMANTELACION</t>
  </si>
  <si>
    <t>VIAJE</t>
  </si>
  <si>
    <t>BOTE DE MATERIAL (CAMION DE 3.00 M3)</t>
  </si>
  <si>
    <t>PISOS Y REVESTIMIENTOS</t>
  </si>
  <si>
    <t>PLAFONES</t>
  </si>
  <si>
    <t>READECUACION DE PLAFONES</t>
  </si>
  <si>
    <t>REPARACIONES DE ZOCALOS POR DEMOLICIONES</t>
  </si>
  <si>
    <t>INODOROS</t>
  </si>
  <si>
    <t>LAVAMANOS</t>
  </si>
  <si>
    <t>URINAL</t>
  </si>
  <si>
    <t>CERRAMIENTOS LIJEROS</t>
  </si>
  <si>
    <t>MUROS DE SHEETROCK 2 CARAS (h=2.60M)</t>
  </si>
  <si>
    <t>CARPINTERIA ALUMINIO Y VIDRIO</t>
  </si>
  <si>
    <t>CONFECCION DE MUROS (H=2.60M)</t>
  </si>
  <si>
    <t>m2</t>
  </si>
  <si>
    <t>PUERTAS BATIENTES EN ALUMINIO Y VIDRIO (1.00X2.10)</t>
  </si>
  <si>
    <t>COLOCACION DE REVESTIMIENTO EN BAÑOS</t>
  </si>
  <si>
    <t>COLOCACION DE ACCESORIOS</t>
  </si>
  <si>
    <t>COLOCACION DE ESPEJOS (1.40X1.00)</t>
  </si>
  <si>
    <t>GASTOS GENERALES</t>
  </si>
  <si>
    <t>Dirección Técnica</t>
  </si>
  <si>
    <t>Seguros y Fianzas (Según Facturas)</t>
  </si>
  <si>
    <t>Gastos Administrativos</t>
  </si>
  <si>
    <t>Liquidación y Prestaciones Laborales</t>
  </si>
  <si>
    <t>Transporte</t>
  </si>
  <si>
    <t>ITBIS de la Dirección Técnica</t>
  </si>
  <si>
    <t>Imprevistos</t>
  </si>
  <si>
    <t xml:space="preserve">TOTAL GENERAL </t>
  </si>
  <si>
    <t>CODIA</t>
  </si>
  <si>
    <t>APARATOS Y ACCESORIOS (APARATO E INSTALACION)</t>
  </si>
  <si>
    <t>NIVEL 7</t>
  </si>
  <si>
    <t>DESMANTELACION DE FREGADEROS</t>
  </si>
  <si>
    <t>DEMOLICION DE REVESTIMIENTOS EN BAÑO</t>
  </si>
  <si>
    <t>COLOCACION DE PISOS EN BAÑOS</t>
  </si>
  <si>
    <t>REPARACION DE PISO PORCELANATO</t>
  </si>
  <si>
    <t>LIMPIEZA DE PISO PORCELANATO</t>
  </si>
  <si>
    <t>COLOCACION DE PISOS EN BAÑO</t>
  </si>
  <si>
    <t>COLOCACION DE REVESTIMIENTO EN BAÑOS (h=2.60)</t>
  </si>
  <si>
    <t>PINTURA</t>
  </si>
  <si>
    <t>PINTURA SEMIGLOSS</t>
  </si>
  <si>
    <t>PINTURA SEMIGLOSS TECHOS</t>
  </si>
  <si>
    <t>NIVEL 8</t>
  </si>
  <si>
    <t>REMOCION DE LONA ASFALTICA</t>
  </si>
  <si>
    <t>LIMPIEZA DE AREA</t>
  </si>
  <si>
    <t>VACIADO DE TORTA</t>
  </si>
  <si>
    <t>COLOCACION DE PISO PORCELANATO</t>
  </si>
  <si>
    <t>COLOCACION DE ZOCALOS</t>
  </si>
  <si>
    <t>DEMOLICION DE MUROS LIGEROS (H=3.10M)</t>
  </si>
  <si>
    <t>DESMANTELACION DE VENTANAS (60X60 CM)</t>
  </si>
  <si>
    <t>DESMANTELACION DE PUERTAS DE HIERRO</t>
  </si>
  <si>
    <t>ESTRUCTURA</t>
  </si>
  <si>
    <t>TERMINACION DE SUPERFICIE</t>
  </si>
  <si>
    <t>PAÑETE EN MUROS DE BLOCKS</t>
  </si>
  <si>
    <t>PAÑETE EN TECHOS</t>
  </si>
  <si>
    <t>HERRERIA</t>
  </si>
  <si>
    <t>CONFECION DE DESCASO</t>
  </si>
  <si>
    <t>CONF. DE ESCALERA EN METAL (HUELLAS Y CONTRAHUELLAS)</t>
  </si>
  <si>
    <t>PASAMANOS ADOSADO A MURO</t>
  </si>
  <si>
    <t>CANTOS</t>
  </si>
  <si>
    <t>PLANFOND EN SHEETROCK</t>
  </si>
  <si>
    <t>TRAGALUZ (2 CARAS)</t>
  </si>
  <si>
    <t>PORTAJES</t>
  </si>
  <si>
    <t>INST. DE PUERTAS DE MADERA (1.00X2.10)</t>
  </si>
  <si>
    <t>CONFECCION DE VENTANAS</t>
  </si>
  <si>
    <t>FT2</t>
  </si>
  <si>
    <t>NIVEL 9</t>
  </si>
  <si>
    <t>MUROS DE SHEETROCK 1 CARAS (h=2.60M)</t>
  </si>
  <si>
    <t>DINTELES EN SHEETROCK 3 CARAS (0.80M)</t>
  </si>
  <si>
    <t>INST. DE PUERTAS DE MADERA (0.80X2.10)</t>
  </si>
  <si>
    <t>PUERTAS BATIENTES EN ALUMINIO Y VIDRIO (0.80X2.10)</t>
  </si>
  <si>
    <t>PLAFON EN VINIL YESO 2X2</t>
  </si>
  <si>
    <t>LAVAMANOS DE TOPE</t>
  </si>
  <si>
    <t>URINALES</t>
  </si>
  <si>
    <t>COLOCACION DE TOPE (ANCHO=0.60M) (INCL. BASE DE METAL)</t>
  </si>
  <si>
    <t>TERMINACION DE TECHO</t>
  </si>
  <si>
    <t>FINO</t>
  </si>
  <si>
    <t>ZABALETA</t>
  </si>
  <si>
    <t>IMPERMEABILIZANTE</t>
  </si>
  <si>
    <t>ANTEPECHO (H=0.40)</t>
  </si>
  <si>
    <t>INSTALACIONES</t>
  </si>
  <si>
    <t>ELECTRICAS</t>
  </si>
  <si>
    <t>EQUIPOS</t>
  </si>
  <si>
    <t>PA</t>
  </si>
  <si>
    <t>FT</t>
  </si>
  <si>
    <t>BYPASS PARA  UPS DE 3KVA, NEMA1</t>
  </si>
  <si>
    <t>UPS  DE 3KVA, 1F, 120/240V</t>
  </si>
  <si>
    <t xml:space="preserve">PANEL PUPS DE 24 ESPACIOS 3F, NEMA1, CON BREAKERS </t>
  </si>
  <si>
    <t>PANEL PIL DE 30 ESPACIOS 3F, NEMA1, CON BREAKERS</t>
  </si>
  <si>
    <t>PANEL PTC DE 30 ESPACIOS 3F, NEMA1, CON BREAKERS</t>
  </si>
  <si>
    <t>PANEL AA DE 42 ESPACIOS 3F, NEMA3R, CON BREAKERS</t>
  </si>
  <si>
    <t>MANO DE OBRA</t>
  </si>
  <si>
    <t>ALIMENTADOR ELÉCTRICO DESDE PB1 HASTA BYPASS/UPS/PANEL UPS (2 COND.  NO. 6 FASE, 1 COND.  NO. 6 NEUTRO,  1 COND.  NO. 10 TIERRA, EN TUBERIA PVC/EMT DE 1")</t>
  </si>
  <si>
    <t>ALIMENTADOR ELÉCTRICO DESDE PB1 HASTA PIL COMPUESTO POR: 3 COND.  NO. 8 FASE, 1 COND.  NO. 8 NEUTRO,  1 COND.  NO. 10 TIERRA, EN TUBERIA PVC/EMT DE 1"</t>
  </si>
  <si>
    <t>ALIMENTADOR ELÉCTRICO DESDE PB1 HASTA PTC COMPUESTO POR: 3 COND.  NO. 10 FASE, 1 COND.  NO. 2 NEUTRO,  1 COND.  NO. 4 TIERRA, EN TUBERIA PVC/EMT DE 11/2"</t>
  </si>
  <si>
    <t>ALIMENTADOR ELÉCTRICO DESDE PB1 HASTA PAA COMPUESTO POR: 3 COND.  NO. 10 FASE, 1 COND.  NO. 10 NEUTRO,  1 COND.  NO. 12 TIERRA, EN TUBERIA PVC/EMT DE 3/4"</t>
  </si>
  <si>
    <t>SALIDA PARA  LUCES CENITALES, INCLUYE MATERIALES EMT, MANO  DE OBRA Y TODO LO NECESARIO PARA  SU CORRECTA INSTALACIÓN</t>
  </si>
  <si>
    <t>SALIDA PARA  INTERRUPTOR SENCILLO, INCLUYE MATERIALES EMT/EMT, MANO  DE OBRA Y TODO LO NECESARIO PARA  SU CORRECTA INSTALACIÓN</t>
  </si>
  <si>
    <t>SALIDA PARA  INTERRUPTOR DOBLE, INCLUYE MATERIALES EMT/EMT, MANO  DE OBRA Y TODO LO NECESARIO PARA  SU CORRECTA INSTALACIÓN</t>
  </si>
  <si>
    <t xml:space="preserve">SALIDA PARA  INTERRUPTOR TRIPLE, INCLUYE MATERIALES EMT/EMT, MANO  DE OBRA Y TODO LO NECESARIO PARA  SU CORRECTA INSTALACIÓN                                               </t>
  </si>
  <si>
    <t>SALIDA PARA  TOMACORRIENTES 120V, INCLUYE MATERIALES EMT, MANO  DE OBRA Y TODO LO NECESARIO PARA  SU CORRECTA INSTALACIÓN</t>
  </si>
  <si>
    <t>SALIDA PARA  TOMACORRIENTES 120V UPS,  INCLUYE MATERIALES EMT, MANO DE OBRA Y TODO LO NECESARIO PARA  SU CORRECTA INSTALACIÓN</t>
  </si>
  <si>
    <t>SALIDA PARA  TOMA DE DATA/TELEFONO, INCLUYE MATERIALES EMT, MANO  DE OBRA Y TODO LO NECESARIO PARA  SU CORRECTA INSTALACIÓN</t>
  </si>
  <si>
    <t>SALIDA PARA  TERMOSTATO, INCLUYE MATERIALES EMT, MANO  DE OBRA Y TODO LO NECESARIO PARA  SU CORRECTA INSTALACIÓN</t>
  </si>
  <si>
    <t>SALIDA PARA  AIRE ACONDICIONADOS, INCLUYE MATERIALES EMT, MANO  DE OBRA Y TODO LO NECESARIO PARA  SU CORRECTA INSTALACIÓN</t>
  </si>
  <si>
    <t>REGISTROS</t>
  </si>
  <si>
    <t>MATERIALES VARIOS</t>
  </si>
  <si>
    <t>SALIDAS ELECTRICAS</t>
  </si>
  <si>
    <t>ALIMENTADORES ELECTRICOS</t>
  </si>
  <si>
    <t>LUMINARIAS</t>
  </si>
  <si>
    <t>LUMINARIA DE PLAFOND 2'X2', 40 WATTS, 4000K, INCLUYE MANO  DE OBRA</t>
  </si>
  <si>
    <t>LUMINARIA DE PLAFOND DOWNLIGHT 8", 18 WATTS, 4000K, INCLUYE MANO  DE OB</t>
  </si>
  <si>
    <t>LUMINARIAS DE EMERGENCIA, 5 WATTS, DOBLE FOCO., INCLUYE MANO  DE OBRA</t>
  </si>
  <si>
    <t>LUMINARIA DE SALIDA, INCLUYE MANO  DE OBRA</t>
  </si>
  <si>
    <t>EDIFICIO #2</t>
  </si>
  <si>
    <t>NIVEL 11</t>
  </si>
  <si>
    <t>Panel PB1 de 225A barra, 120/208V,  compuesto por: 1 MCB 250/3,  2 Breaker 100/3,  1 Breaker 50/3, Previsiones</t>
  </si>
  <si>
    <t>BYPASS PARA  UPS DE 10KVA, NEMA1</t>
  </si>
  <si>
    <t>UPS  DE 10KVA, 1F, 120/240V</t>
  </si>
  <si>
    <t>ALIMENTADOR ELÉCTRICO DESDE PB1 HASTA PAA COMPUESTO POR: 3 COND.  NO. 10 FASE, 1 COND.  NO. 12 NEUTRO,  1 COND.  NO. 12 TIERRA, EN TUBERIA PVC/EMT DE 3/4"</t>
  </si>
  <si>
    <t>REMOCION DE ALFOMBRAS</t>
  </si>
  <si>
    <t>DESMANTELACION DE PUERTAS DE CRISTAL</t>
  </si>
  <si>
    <t>DEMOLICION DE PISOS DE BAÑO</t>
  </si>
  <si>
    <t>DEMOLICION DE REVESTIMIENTOS DE BAÑO (H=2.55M)</t>
  </si>
  <si>
    <t>RECTIFICACION DE TORTA EN AREA DE ALFOMBRAS</t>
  </si>
  <si>
    <t>REPARACION Y LIMPIEZA DE PISOS EN AREA DE PORCELANATO</t>
  </si>
  <si>
    <t>COLOCACION DE ZOCALOS METALICOS EN AREA DE ALFOMBRA</t>
  </si>
  <si>
    <t>REPARACION Y LIMPIEZA DE ZOCALOS EN AREA DE PORCELANATO</t>
  </si>
  <si>
    <t>COLOCACION DE ALFOMBRA</t>
  </si>
  <si>
    <t>REPARACION DE PLAFOND VINIL YESO 2X2</t>
  </si>
  <si>
    <t>COLOCACION DE ESPEJOS (1.90X1.00)</t>
  </si>
  <si>
    <t>MODULOS DE BAÑO</t>
  </si>
  <si>
    <t>DIVISIONES DE URINALES</t>
  </si>
  <si>
    <t>MOVILIZACION DE MOBILIARIO EXISTENTE</t>
  </si>
  <si>
    <t>MOVILIZACION DE MOBILIARIO</t>
  </si>
  <si>
    <t>MOBILIARIO</t>
  </si>
  <si>
    <t>Silla reclinable, con espaldar mesh negro y
soporte lumbar ajustable. Asiento de altura ajustable en
piel sintética negra. Brazos de altura, ancho y profundidad
ajustables. Base en nylon negro.</t>
  </si>
  <si>
    <t>Escritorio con tope color gris de 1.60m x 0.70m
y base tubular metálica color blanca</t>
  </si>
  <si>
    <t>Escritorio con tope color gris de 1.20m x 0.60m
y base tubular metálica color blanca.</t>
  </si>
  <si>
    <t xml:space="preserve">Butaca con espaldar mesh negro. Asiento fijo en
piel sintética negra. Brazos fijos. Base metálica negra.
</t>
  </si>
  <si>
    <t>Escritorio  con tope color gris de 1.80m x 0.80m
y base tubular metálica color blanca.</t>
  </si>
  <si>
    <t xml:space="preserve">Adaptación lateral con tope color gris de 1.00m
x 0.50m y base tubular metálica color blanca.
</t>
  </si>
  <si>
    <t>Escritorio con tope color gris de 1.60m x 0.70m
y base tubular metálica color blanca.</t>
  </si>
  <si>
    <t xml:space="preserve">Archivo modular  laminado de 0.50m x 0.41m
con gavetas y respaldo color gris y tope y laterales color
BLANCO con 2 gavetas auxiliares y 1 gaveta tipo archivo.
</t>
  </si>
  <si>
    <t>Silla color NEGRO, en polipropileno con refuerzo
de fibra de vidrio. Para uso interior o exterior</t>
  </si>
  <si>
    <t>Mesa con tope color NEGRO en polipropileno de
0.80m x 0.80m y base de resina con marco metálico y
protección UV. Para uso interior o exterior.</t>
  </si>
  <si>
    <t>Retorno de 18" x 36" tope color madera oscura, Linea
Edza de Formcase, sin gavetas, pata es un paraltubular
redondo color plateado, funciona a la IZQ y a la DER</t>
  </si>
  <si>
    <t>Escritorio Ejecutivo, terminacion en color madera oscura,con frentede cristal Med: 36" x 72" x 29 Retorno se vende por separado</t>
  </si>
  <si>
    <t>Sillon secretarial tela negro sin
brazo,ERGONOMICO, espuma moldeada de gran
comodidadcomponentes de polipropilenode primera,
mecanismo metalico superior calidad, Linea Space</t>
  </si>
  <si>
    <t>Escritorio Modular metal de 28 x 48, tope color
Madera Oscuro, estructura plateada</t>
  </si>
  <si>
    <t>Archivo 4 Gavetas, en metal color
plateado con medidas: 36x18x52,con sistema antivuelco,
CON CERRADURA</t>
  </si>
  <si>
    <t>Mesa de centro rectangular Tuscany, tope y estructura
gris, Medidas: 24" x 47" x 18"</t>
  </si>
  <si>
    <t>Escritorio Platinum Modular metal de 28 x 63, tope color
Madera Oscuro, estructura plateada</t>
  </si>
  <si>
    <t>Counter recto Formcase en laminado color blanco, en
cristal el tope de counter, Ref: S-1010 RCGTmedidas: 24"
x 39" x 45"</t>
  </si>
  <si>
    <t>Archivo Lateral Mercury Importde 5 gavt metalico
plateado, med: 18x36x70,con sistema antivuelco, PARA
ARCHIVAR SOLO DE FORMA LATERAL</t>
  </si>
  <si>
    <t>Silla Visita Miro,solida estru tura metalica y tapizado de
primera calidad</t>
  </si>
  <si>
    <t>Mesa de reuniones Formcase, linea XD-8, rectangular
para 12 personas, tope color madera oscura,estructura
minimalistas en color blanco, con medidas: 36” x 144” x
30”</t>
  </si>
  <si>
    <t>Sofa Boss para dos (2) perso nas, en piel sintetica negra,
moderna estructura tubular cromada, Mod: B-99002
Med: 32 x 58.5 x 31.5"</t>
  </si>
  <si>
    <t>Sofa Boss para tres (3) personas, en piel sintetica negra,
moderna moderna estructura tubular cromada, Mod:
B-99003 Med: 32 x 81.5 x 31.5"</t>
  </si>
  <si>
    <t>Mesa de centro de 24" x 36" x 16 importada, estructura
gris, tope de cristal, Garantia de un (1) añosobre
defectos de fabricacion</t>
  </si>
  <si>
    <t>SEPARACION SIST ELECTRICO DEPENDENCIAS CNSS</t>
  </si>
  <si>
    <t>SUMINISTRO E INSTALACION  TRANSFORMADOR PAD MOUNTED 500 KVA, 12,470-120/208 V, FRENTE MUERTO RADIAL FEED.</t>
  </si>
  <si>
    <t>SUMINISTRO E INSTALCION  MODULO DE MEDICIO (MM) 160 A, 120/208 V, 3F, NEMA 3R, CON 1 TOTALIZADOR, 3 CONRADORES + 1 PREVISION</t>
  </si>
  <si>
    <t>SUMINISTRO E INSTALACION PANEL GENERAL DE TRANSFERENCIA AUTOMATICA 1,600 A, 120/208 V, 3F, NEMA 1</t>
  </si>
  <si>
    <t>PIES</t>
  </si>
  <si>
    <t>SUMINISTRO E INSTALACION ALIMENTADOR ELECTRICO DE MEDIA TENSION DESDE POSTE HASTA TRANSFORMADOR PAD MOUNTED 500KVA. ALAMBRE #2 AWG URD, CHAQUETA 15 KV COBRE 225PIES. CONO DE ALIVIO P/EXTERIOR #02 AWG. 3 UDS. ELBOW CONCTOR 02 AWG, 3 UDS.</t>
  </si>
  <si>
    <t>SUMINISTRO E INSTALACION ALIMENTADOR ELECTRICO DESDE  TRANSFORMADOR PAD MOUNTED HASTA MM. ALAMBRE #4/0 AWG THHN 450 PIES. ALAMBRE #2/0 AWG THHN 125 PIES. ALAMBRE #4/0 AWG THHN 25 PIES.</t>
  </si>
  <si>
    <t xml:space="preserve">SUMINISTRO E INSTALACION ALIMENTADOR DESDE MM HASTA PGTA DE LA INSTRUCCIÓN 3. ALAMBRE #3/0 - 1,170 PIES. ALAMBRE #1/0 - 390 PIES AWG THHN. ALAMBRE #1/0 - 130 PIES AWG THHN. </t>
  </si>
  <si>
    <t xml:space="preserve">SUMINISTRO E INSTALACION ALIMENTADOR DESDE MM HASTA PGTA DE LA INSTRUCCIÓN 2. ALAMBRE #3/0 - 1,170 PIES. ALAMBRE #1/0 - 390 PIES AWG THHN. ALAMBRE #1/0 - 130 PIES AWG THHN. </t>
  </si>
  <si>
    <t xml:space="preserve">SUMINISTRO E INSTALACION ALIMENTADOR DESDE MM HASTA PGTA DE LA INSTRUCCIÓN 1. ALAMBRE #3/0 - 1,170 PIES. ALAMBRE #1/0 - 390 PIES AWG THHN. ALAMBRE #1/0 - 130 PIES AWG THHN. </t>
  </si>
  <si>
    <t xml:space="preserve">SUMINISTRO E INSTALACION ALIMENTADOR ELECTRICO DEL GENERADOR DESDE EL INTERRUPTR DE TRANSFERENCIA AUTOMATICA (ITA) EXISTENTE HASTA PGTA.  ALAMBRE #4/0 - 450 PIES. ALAMBRE #2/0 - 125 PIES AWG THHN. ALAMBRE #4/0 - 25 PIES AWG THHN. </t>
  </si>
  <si>
    <t xml:space="preserve">SUMINISTRO E INSTALACION ALIMENTADOR ELECTRICO DESDE EL PGTA  HASTA EL PANEL DE DISTRIBUCION PRINCIPAL. ALAMBRE #4/0 - 450 PIES. ALAMBRE #2/0 - 125 PIES AWG THHN. ALAMBRE #4/0 - 25 PIES AWG THHN. </t>
  </si>
  <si>
    <t xml:space="preserve"> PIES</t>
  </si>
  <si>
    <t>SUMINISTRO E INSTALCION DE LOS CABLES DE ALIMENTACION DEL MANTENEDOR DE CARGA DE BATERIAS Y DE CONTROL DE ENCENDIDO AUTOMATICO DESDE ITA EXISTENTE HASTA PGTA.</t>
  </si>
  <si>
    <t>EXCAVACION DE ZANJAS Y REPOSICION OBRAS CIVILES. INCLUYE: ZANJA MEDIA TENSION DESDE POSTE HASTA TRANSFORMADOR. ZANJA DE BAJA TENSION DESDE MM HASTA PGTA. REFORZAMIENTO CASETA PARA COLOCACION DE TRANSFORMADOR DE 500 KVA.</t>
  </si>
  <si>
    <t>DUCTERIA</t>
  </si>
  <si>
    <t xml:space="preserve">PLANCHAS </t>
  </si>
  <si>
    <t>I.T.</t>
  </si>
  <si>
    <t>LICENCIA ANTIVIRUS SYMANTEC END POINT</t>
  </si>
  <si>
    <t>LICENCIA  N-COMPUTING 1,300</t>
  </si>
  <si>
    <t>OFFICE PROFESSIONAL PLUS</t>
  </si>
  <si>
    <t>VISUAL FOXPRO</t>
  </si>
  <si>
    <t>EXCHANGE CAL</t>
  </si>
  <si>
    <t xml:space="preserve">WINDOWS 10 NL </t>
  </si>
  <si>
    <t>LICENCIA VM WARE</t>
  </si>
  <si>
    <t>ACTUALIZACION FORTINET (EQUIPOS DE SEGURIDAD INFORMATICA)</t>
  </si>
  <si>
    <t>LICENCIA CISCO WEBEX</t>
  </si>
  <si>
    <t>ADOBE PREMIER</t>
  </si>
  <si>
    <t>ACROBAT STANDARD</t>
  </si>
  <si>
    <t xml:space="preserve">CENTRALES TELEFONICAS </t>
  </si>
  <si>
    <t>SWITCHES DE 48 PUERTOS  RJ 45 (COMPATIBLES CON INFRAESTRUCTURA FORTINET EXISTENTE EN LA INSTITUCION QUE PERMITA VISIVILAZACION Y ADMINISTRACION CENTRALIZADA DESDE LOS EQUIPOS ADMINISTRATIVOS)</t>
  </si>
  <si>
    <t>COMPUTADORAS DE ESCRITORIO</t>
  </si>
  <si>
    <t>COMPUTADORAS PORTATILES</t>
  </si>
  <si>
    <t>EQUIPÓ DE ALMACENAMIENTO NETWORK ATTACHED STORAGE (NAS)</t>
  </si>
  <si>
    <t>DISCO PARA CAJA HITACHI</t>
  </si>
  <si>
    <t>UPS DE 40 KW</t>
  </si>
  <si>
    <t>IMPRESORA DE CARNET DE IDENTIDAD PVC</t>
  </si>
  <si>
    <t>GABINETE PARA SERVIDORES RACK</t>
  </si>
  <si>
    <t>ACCES POINT (AP)</t>
  </si>
  <si>
    <t>TRANSMISOR ELECTRONICO INALAMBRICO (WIRELESS TRANSMITER)</t>
  </si>
  <si>
    <t>INSTALACION DE 85 PUNTOS DE RED RJ45</t>
  </si>
  <si>
    <t>WEB CAM</t>
  </si>
  <si>
    <t>DTASHOW</t>
  </si>
  <si>
    <t>SISTEMA DE VIDEO CONFERENCIA</t>
  </si>
  <si>
    <t>Supervision de Obra</t>
  </si>
  <si>
    <t>lb</t>
  </si>
  <si>
    <t>SUM. E INST. DE COLUMNAS Y VIGAS DE ACERO (INCL. DISEÑO)</t>
  </si>
  <si>
    <t>SUM. E INST. DE METALDECK (INCL. MALLA 15x15 - 2.3x2.3 Y HORMIGON 210 kg/cm2)</t>
  </si>
  <si>
    <t>MUROS DE BLOCKS DE 6" 3/8 @40CM</t>
  </si>
  <si>
    <t>CONFECCION DE MUROS EN ALUMINIO Y VIDRIO (H=2.60M)</t>
  </si>
  <si>
    <t>CONFECCION DE MUROS EN ALUMINIO Y VIDRIO (H=3.10M)</t>
  </si>
  <si>
    <t>MO CONFECCION DE DUCTERIA</t>
  </si>
  <si>
    <t>L</t>
  </si>
  <si>
    <t>REPARACION Y LIMPIEZA DE PISO PORCELANATO POR DEMOLICION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</si>
</sst>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sz val="11"/>
      <color theme="1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4"/>
      <color rgb="FF000000"/>
      <name val="Century Gothic"/>
      <family val="2"/>
    </font>
    <font>
      <b/>
      <sz val="14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5" fillId="0" borderId="0" xfId="0" applyFont="1"/>
    <xf numFmtId="4" fontId="6" fillId="0" borderId="0" xfId="2" applyNumberFormat="1" applyFont="1" applyAlignment="1">
      <alignment vertical="center"/>
    </xf>
    <xf numFmtId="164" fontId="6" fillId="0" borderId="0" xfId="3" applyNumberFormat="1" applyFont="1" applyAlignment="1">
      <alignment vertical="center" wrapText="1"/>
    </xf>
    <xf numFmtId="0" fontId="7" fillId="0" borderId="0" xfId="3" applyFont="1" applyAlignment="1">
      <alignment vertical="center"/>
    </xf>
    <xf numFmtId="4" fontId="6" fillId="0" borderId="0" xfId="2" applyNumberFormat="1" applyFont="1" applyAlignment="1">
      <alignment horizontal="left" vertical="center"/>
    </xf>
    <xf numFmtId="4" fontId="6" fillId="0" borderId="0" xfId="2" applyNumberFormat="1" applyFont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164" fontId="6" fillId="0" borderId="0" xfId="3" applyNumberFormat="1" applyFont="1" applyAlignment="1">
      <alignment horizontal="center" vertical="center" wrapText="1"/>
    </xf>
    <xf numFmtId="0" fontId="6" fillId="0" borderId="0" xfId="3" applyFont="1" applyAlignment="1">
      <alignment vertical="center"/>
    </xf>
    <xf numFmtId="0" fontId="8" fillId="0" borderId="1" xfId="5" applyNumberFormat="1" applyFont="1" applyBorder="1" applyAlignment="1">
      <alignment horizontal="center" vertical="center"/>
    </xf>
    <xf numFmtId="0" fontId="8" fillId="0" borderId="2" xfId="5" applyNumberFormat="1" applyFont="1" applyBorder="1" applyAlignment="1">
      <alignment horizontal="center" vertical="center" wrapText="1"/>
    </xf>
    <xf numFmtId="0" fontId="8" fillId="0" borderId="2" xfId="5" applyNumberFormat="1" applyFont="1" applyBorder="1" applyAlignment="1">
      <alignment horizontal="center" vertical="center"/>
    </xf>
    <xf numFmtId="0" fontId="8" fillId="0" borderId="3" xfId="5" applyNumberFormat="1" applyFont="1" applyBorder="1" applyAlignment="1">
      <alignment horizontal="center" vertical="center" wrapText="1"/>
    </xf>
    <xf numFmtId="0" fontId="9" fillId="0" borderId="0" xfId="0" applyNumberFormat="1" applyFont="1"/>
    <xf numFmtId="4" fontId="6" fillId="0" borderId="4" xfId="6" quotePrefix="1" applyNumberFormat="1" applyFont="1" applyBorder="1" applyAlignment="1">
      <alignment horizontal="center"/>
    </xf>
    <xf numFmtId="4" fontId="6" fillId="0" borderId="5" xfId="6" quotePrefix="1" applyNumberFormat="1" applyFont="1" applyBorder="1" applyAlignment="1">
      <alignment horizontal="center" vertical="center"/>
    </xf>
    <xf numFmtId="4" fontId="6" fillId="0" borderId="6" xfId="6" quotePrefix="1" applyNumberFormat="1" applyFont="1" applyBorder="1" applyAlignment="1">
      <alignment horizontal="center" vertical="center"/>
    </xf>
    <xf numFmtId="4" fontId="6" fillId="0" borderId="7" xfId="6" quotePrefix="1" applyNumberFormat="1" applyFont="1" applyBorder="1" applyAlignment="1">
      <alignment horizontal="center"/>
    </xf>
    <xf numFmtId="4" fontId="6" fillId="0" borderId="8" xfId="6" quotePrefix="1" applyNumberFormat="1" applyFont="1" applyBorder="1" applyAlignment="1">
      <alignment horizontal="center" vertical="center"/>
    </xf>
    <xf numFmtId="4" fontId="6" fillId="0" borderId="8" xfId="6" quotePrefix="1" applyNumberFormat="1" applyFont="1" applyBorder="1" applyAlignment="1">
      <alignment horizontal="left" vertical="center"/>
    </xf>
    <xf numFmtId="2" fontId="6" fillId="0" borderId="8" xfId="6" quotePrefix="1" applyNumberFormat="1" applyFont="1" applyBorder="1" applyAlignment="1">
      <alignment horizontal="left" vertical="center"/>
    </xf>
    <xf numFmtId="4" fontId="7" fillId="0" borderId="8" xfId="6" applyNumberFormat="1" applyFont="1" applyBorder="1" applyAlignment="1">
      <alignment vertical="center"/>
    </xf>
    <xf numFmtId="0" fontId="6" fillId="0" borderId="9" xfId="3" applyFont="1" applyBorder="1" applyAlignment="1">
      <alignment vertical="center"/>
    </xf>
    <xf numFmtId="164" fontId="6" fillId="2" borderId="10" xfId="3" applyNumberFormat="1" applyFont="1" applyFill="1" applyBorder="1" applyAlignment="1">
      <alignment horizontal="center" vertical="top"/>
    </xf>
    <xf numFmtId="4" fontId="7" fillId="2" borderId="11" xfId="6" applyNumberFormat="1" applyFont="1" applyFill="1" applyBorder="1" applyAlignment="1">
      <alignment horizontal="right" vertical="center"/>
    </xf>
    <xf numFmtId="4" fontId="7" fillId="2" borderId="11" xfId="7" applyNumberFormat="1" applyFont="1" applyFill="1" applyBorder="1" applyAlignment="1">
      <alignment horizontal="center" vertical="center"/>
    </xf>
    <xf numFmtId="4" fontId="7" fillId="2" borderId="11" xfId="7" applyNumberFormat="1" applyFont="1" applyFill="1" applyBorder="1" applyAlignment="1">
      <alignment horizontal="right" vertical="center"/>
    </xf>
    <xf numFmtId="4" fontId="7" fillId="2" borderId="11" xfId="7" applyNumberFormat="1" applyFont="1" applyFill="1" applyBorder="1" applyAlignment="1">
      <alignment horizontal="right" vertical="center" wrapText="1"/>
    </xf>
    <xf numFmtId="4" fontId="6" fillId="2" borderId="12" xfId="3" applyNumberFormat="1" applyFont="1" applyFill="1" applyBorder="1" applyAlignment="1">
      <alignment horizontal="right" vertical="center"/>
    </xf>
    <xf numFmtId="4" fontId="7" fillId="2" borderId="10" xfId="3" applyNumberFormat="1" applyFont="1" applyFill="1" applyBorder="1" applyAlignment="1">
      <alignment horizontal="center" vertical="top"/>
    </xf>
    <xf numFmtId="4" fontId="7" fillId="2" borderId="11" xfId="7" applyNumberFormat="1" applyFont="1" applyFill="1" applyBorder="1" applyAlignment="1">
      <alignment horizontal="right"/>
    </xf>
    <xf numFmtId="43" fontId="7" fillId="2" borderId="11" xfId="7" applyFont="1" applyFill="1" applyBorder="1" applyAlignment="1">
      <alignment horizontal="center"/>
    </xf>
    <xf numFmtId="4" fontId="7" fillId="2" borderId="11" xfId="8" applyNumberFormat="1" applyFont="1" applyFill="1" applyBorder="1" applyAlignment="1">
      <alignment horizontal="right"/>
    </xf>
    <xf numFmtId="4" fontId="7" fillId="2" borderId="11" xfId="6" applyNumberFormat="1" applyFont="1" applyFill="1" applyBorder="1" applyAlignment="1">
      <alignment horizontal="right"/>
    </xf>
    <xf numFmtId="4" fontId="7" fillId="0" borderId="10" xfId="3" applyNumberFormat="1" applyFont="1" applyBorder="1" applyAlignment="1">
      <alignment horizontal="center" vertical="top"/>
    </xf>
    <xf numFmtId="4" fontId="7" fillId="0" borderId="11" xfId="7" applyNumberFormat="1" applyFont="1" applyFill="1" applyBorder="1" applyAlignment="1">
      <alignment horizontal="right"/>
    </xf>
    <xf numFmtId="43" fontId="7" fillId="0" borderId="11" xfId="7" applyFont="1" applyFill="1" applyBorder="1" applyAlignment="1">
      <alignment horizontal="center"/>
    </xf>
    <xf numFmtId="4" fontId="7" fillId="0" borderId="11" xfId="8" applyNumberFormat="1" applyFont="1" applyFill="1" applyBorder="1" applyAlignment="1">
      <alignment horizontal="right"/>
    </xf>
    <xf numFmtId="4" fontId="6" fillId="0" borderId="12" xfId="3" applyNumberFormat="1" applyFont="1" applyBorder="1" applyAlignment="1">
      <alignment horizontal="right" vertical="center"/>
    </xf>
    <xf numFmtId="4" fontId="7" fillId="0" borderId="11" xfId="6" applyNumberFormat="1" applyFont="1" applyBorder="1" applyAlignment="1">
      <alignment horizontal="center"/>
    </xf>
    <xf numFmtId="4" fontId="6" fillId="0" borderId="12" xfId="6" applyNumberFormat="1" applyFont="1" applyBorder="1" applyAlignment="1">
      <alignment horizontal="right" vertical="center"/>
    </xf>
    <xf numFmtId="4" fontId="6" fillId="2" borderId="12" xfId="6" applyNumberFormat="1" applyFont="1" applyFill="1" applyBorder="1" applyAlignment="1">
      <alignment horizontal="right" vertical="center"/>
    </xf>
    <xf numFmtId="0" fontId="6" fillId="0" borderId="0" xfId="2" applyNumberFormat="1" applyFont="1" applyAlignment="1">
      <alignment vertical="center"/>
    </xf>
    <xf numFmtId="0" fontId="6" fillId="0" borderId="0" xfId="3" applyNumberFormat="1" applyFont="1" applyAlignment="1">
      <alignment horizontal="center" vertical="center" wrapText="1"/>
    </xf>
    <xf numFmtId="0" fontId="6" fillId="0" borderId="0" xfId="4" applyNumberFormat="1" applyFont="1" applyAlignment="1">
      <alignment horizontal="left" vertical="center"/>
    </xf>
    <xf numFmtId="0" fontId="6" fillId="0" borderId="5" xfId="6" quotePrefix="1" applyNumberFormat="1" applyFont="1" applyBorder="1" applyAlignment="1">
      <alignment horizontal="center" vertical="center"/>
    </xf>
    <xf numFmtId="0" fontId="6" fillId="0" borderId="8" xfId="6" quotePrefix="1" applyNumberFormat="1" applyFont="1" applyBorder="1" applyAlignment="1">
      <alignment horizontal="left" vertical="center"/>
    </xf>
    <xf numFmtId="0" fontId="6" fillId="2" borderId="11" xfId="6" applyNumberFormat="1" applyFont="1" applyFill="1" applyBorder="1" applyAlignment="1">
      <alignment horizontal="left" vertical="center"/>
    </xf>
    <xf numFmtId="0" fontId="7" fillId="2" borderId="11" xfId="6" applyNumberFormat="1" applyFont="1" applyFill="1" applyBorder="1" applyAlignment="1">
      <alignment horizontal="left" vertical="center" wrapText="1"/>
    </xf>
    <xf numFmtId="0" fontId="7" fillId="0" borderId="11" xfId="6" applyNumberFormat="1" applyFont="1" applyBorder="1" applyAlignment="1">
      <alignment horizontal="left" vertical="center" wrapText="1"/>
    </xf>
    <xf numFmtId="0" fontId="5" fillId="0" borderId="0" xfId="0" applyNumberFormat="1" applyFont="1"/>
    <xf numFmtId="0" fontId="5" fillId="0" borderId="13" xfId="0" applyFont="1" applyBorder="1"/>
    <xf numFmtId="0" fontId="5" fillId="0" borderId="14" xfId="0" applyFont="1" applyBorder="1"/>
    <xf numFmtId="4" fontId="6" fillId="2" borderId="14" xfId="3" applyNumberFormat="1" applyFont="1" applyFill="1" applyBorder="1" applyAlignment="1">
      <alignment horizontal="left" vertical="center" wrapText="1"/>
    </xf>
    <xf numFmtId="39" fontId="7" fillId="2" borderId="14" xfId="3" applyNumberFormat="1" applyFont="1" applyFill="1" applyBorder="1" applyAlignment="1">
      <alignment horizontal="right" vertical="center"/>
    </xf>
    <xf numFmtId="164" fontId="7" fillId="2" borderId="14" xfId="3" applyNumberFormat="1" applyFont="1" applyFill="1" applyBorder="1" applyAlignment="1">
      <alignment horizontal="center" vertical="center"/>
    </xf>
    <xf numFmtId="4" fontId="7" fillId="2" borderId="14" xfId="3" applyNumberFormat="1" applyFont="1" applyFill="1" applyBorder="1" applyAlignment="1">
      <alignment horizontal="right" vertical="center"/>
    </xf>
    <xf numFmtId="4" fontId="6" fillId="2" borderId="15" xfId="3" applyNumberFormat="1" applyFont="1" applyFill="1" applyBorder="1" applyAlignment="1">
      <alignment horizontal="right" vertical="center"/>
    </xf>
    <xf numFmtId="0" fontId="10" fillId="0" borderId="0" xfId="0" applyFont="1"/>
    <xf numFmtId="39" fontId="7" fillId="0" borderId="0" xfId="3" applyNumberFormat="1" applyFont="1" applyAlignment="1">
      <alignment horizontal="right" vertical="center"/>
    </xf>
    <xf numFmtId="164" fontId="7" fillId="0" borderId="0" xfId="3" applyNumberFormat="1" applyFont="1" applyAlignment="1">
      <alignment horizontal="center" vertical="center"/>
    </xf>
    <xf numFmtId="4" fontId="7" fillId="0" borderId="0" xfId="3" applyNumberFormat="1" applyFont="1" applyAlignment="1">
      <alignment horizontal="right" vertical="center"/>
    </xf>
    <xf numFmtId="4" fontId="7" fillId="0" borderId="0" xfId="3" applyNumberFormat="1" applyFont="1" applyAlignment="1">
      <alignment horizontal="left" vertical="center" wrapText="1"/>
    </xf>
    <xf numFmtId="10" fontId="11" fillId="0" borderId="0" xfId="9" applyNumberFormat="1" applyFont="1" applyFill="1" applyBorder="1" applyAlignment="1">
      <alignment vertical="center"/>
    </xf>
    <xf numFmtId="164" fontId="7" fillId="0" borderId="0" xfId="3" applyNumberFormat="1" applyFont="1" applyAlignment="1">
      <alignment horizontal="left"/>
    </xf>
    <xf numFmtId="0" fontId="5" fillId="0" borderId="16" xfId="0" applyFont="1" applyBorder="1"/>
    <xf numFmtId="0" fontId="5" fillId="0" borderId="0" xfId="0" applyFont="1" applyFill="1" applyBorder="1"/>
    <xf numFmtId="4" fontId="6" fillId="0" borderId="0" xfId="3" applyNumberFormat="1" applyFont="1" applyFill="1" applyBorder="1" applyAlignment="1">
      <alignment horizontal="left" vertical="center" wrapText="1"/>
    </xf>
    <xf numFmtId="39" fontId="7" fillId="0" borderId="0" xfId="3" applyNumberFormat="1" applyFont="1" applyFill="1" applyBorder="1" applyAlignment="1">
      <alignment horizontal="right" vertical="center"/>
    </xf>
    <xf numFmtId="164" fontId="7" fillId="0" borderId="0" xfId="3" applyNumberFormat="1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right" vertical="center"/>
    </xf>
    <xf numFmtId="4" fontId="6" fillId="0" borderId="0" xfId="6" applyNumberFormat="1" applyFont="1" applyFill="1" applyBorder="1" applyAlignment="1">
      <alignment horizontal="right" vertical="center"/>
    </xf>
    <xf numFmtId="0" fontId="10" fillId="0" borderId="0" xfId="0" applyFont="1" applyFill="1" applyBorder="1"/>
    <xf numFmtId="4" fontId="7" fillId="0" borderId="0" xfId="3" applyNumberFormat="1" applyFont="1" applyFill="1" applyBorder="1" applyAlignment="1">
      <alignment horizontal="left" vertical="center" wrapText="1"/>
    </xf>
    <xf numFmtId="4" fontId="7" fillId="0" borderId="0" xfId="3" quotePrefix="1" applyNumberFormat="1" applyFont="1" applyFill="1" applyBorder="1" applyAlignment="1">
      <alignment horizontal="left" vertical="center" wrapText="1"/>
    </xf>
    <xf numFmtId="164" fontId="7" fillId="0" borderId="0" xfId="3" applyNumberFormat="1" applyFont="1" applyFill="1" applyBorder="1" applyAlignment="1">
      <alignment horizontal="left" vertical="center"/>
    </xf>
    <xf numFmtId="4" fontId="6" fillId="0" borderId="0" xfId="3" quotePrefix="1" applyNumberFormat="1" applyFont="1" applyFill="1" applyBorder="1" applyAlignment="1">
      <alignment horizontal="left" vertical="center" wrapText="1"/>
    </xf>
    <xf numFmtId="9" fontId="7" fillId="0" borderId="0" xfId="3" applyNumberFormat="1" applyFont="1" applyFill="1" applyBorder="1" applyAlignment="1">
      <alignment horizontal="right" vertical="center"/>
    </xf>
    <xf numFmtId="4" fontId="6" fillId="0" borderId="0" xfId="3" applyNumberFormat="1" applyFont="1" applyFill="1" applyBorder="1" applyAlignment="1">
      <alignment horizontal="right" vertical="center"/>
    </xf>
    <xf numFmtId="0" fontId="5" fillId="0" borderId="13" xfId="0" applyFont="1" applyFill="1" applyBorder="1"/>
    <xf numFmtId="4" fontId="6" fillId="0" borderId="14" xfId="3" applyNumberFormat="1" applyFont="1" applyFill="1" applyBorder="1" applyAlignment="1">
      <alignment horizontal="left" vertical="center" wrapText="1"/>
    </xf>
    <xf numFmtId="0" fontId="5" fillId="0" borderId="14" xfId="0" applyFont="1" applyFill="1" applyBorder="1"/>
    <xf numFmtId="164" fontId="7" fillId="0" borderId="14" xfId="3" applyNumberFormat="1" applyFont="1" applyFill="1" applyBorder="1" applyAlignment="1">
      <alignment horizontal="center" vertical="center"/>
    </xf>
    <xf numFmtId="4" fontId="7" fillId="0" borderId="14" xfId="3" applyNumberFormat="1" applyFont="1" applyFill="1" applyBorder="1" applyAlignment="1">
      <alignment horizontal="right" vertical="center"/>
    </xf>
    <xf numFmtId="4" fontId="6" fillId="0" borderId="15" xfId="3" applyNumberFormat="1" applyFont="1" applyFill="1" applyBorder="1" applyAlignment="1">
      <alignment horizontal="right" vertical="center"/>
    </xf>
    <xf numFmtId="10" fontId="12" fillId="0" borderId="14" xfId="1" applyNumberFormat="1" applyFont="1" applyBorder="1"/>
    <xf numFmtId="4" fontId="13" fillId="3" borderId="7" xfId="6" quotePrefix="1" applyNumberFormat="1" applyFont="1" applyFill="1" applyBorder="1" applyAlignment="1">
      <alignment horizontal="center"/>
    </xf>
    <xf numFmtId="0" fontId="13" fillId="3" borderId="8" xfId="6" quotePrefix="1" applyNumberFormat="1" applyFont="1" applyFill="1" applyBorder="1" applyAlignment="1">
      <alignment horizontal="left" vertical="center"/>
    </xf>
    <xf numFmtId="0" fontId="13" fillId="3" borderId="9" xfId="3" applyFont="1" applyFill="1" applyBorder="1" applyAlignment="1">
      <alignment vertical="center"/>
    </xf>
    <xf numFmtId="4" fontId="6" fillId="5" borderId="7" xfId="6" quotePrefix="1" applyNumberFormat="1" applyFont="1" applyFill="1" applyBorder="1" applyAlignment="1">
      <alignment horizontal="center"/>
    </xf>
    <xf numFmtId="0" fontId="6" fillId="5" borderId="8" xfId="6" quotePrefix="1" applyNumberFormat="1" applyFont="1" applyFill="1" applyBorder="1" applyAlignment="1">
      <alignment horizontal="left" vertical="center"/>
    </xf>
    <xf numFmtId="0" fontId="6" fillId="5" borderId="9" xfId="3" applyFont="1" applyFill="1" applyBorder="1" applyAlignment="1">
      <alignment vertical="center"/>
    </xf>
    <xf numFmtId="0" fontId="6" fillId="4" borderId="11" xfId="6" applyNumberFormat="1" applyFont="1" applyFill="1" applyBorder="1" applyAlignment="1">
      <alignment horizontal="left" vertical="center"/>
    </xf>
    <xf numFmtId="4" fontId="7" fillId="4" borderId="11" xfId="6" applyNumberFormat="1" applyFont="1" applyFill="1" applyBorder="1" applyAlignment="1">
      <alignment horizontal="right" vertical="center"/>
    </xf>
    <xf numFmtId="4" fontId="7" fillId="4" borderId="11" xfId="7" applyNumberFormat="1" applyFont="1" applyFill="1" applyBorder="1" applyAlignment="1">
      <alignment horizontal="center" vertical="center"/>
    </xf>
    <xf numFmtId="4" fontId="7" fillId="4" borderId="11" xfId="7" applyNumberFormat="1" applyFont="1" applyFill="1" applyBorder="1" applyAlignment="1">
      <alignment horizontal="right" vertical="center"/>
    </xf>
    <xf numFmtId="4" fontId="7" fillId="4" borderId="11" xfId="7" applyNumberFormat="1" applyFont="1" applyFill="1" applyBorder="1" applyAlignment="1">
      <alignment horizontal="right" vertical="center" wrapText="1"/>
    </xf>
    <xf numFmtId="4" fontId="6" fillId="4" borderId="12" xfId="6" applyNumberFormat="1" applyFont="1" applyFill="1" applyBorder="1" applyAlignment="1">
      <alignment horizontal="right" vertical="center"/>
    </xf>
    <xf numFmtId="164" fontId="6" fillId="0" borderId="0" xfId="3" applyNumberFormat="1" applyFont="1" applyAlignment="1">
      <alignment horizontal="center" vertical="center" wrapText="1"/>
    </xf>
    <xf numFmtId="4" fontId="7" fillId="0" borderId="11" xfId="3" applyNumberFormat="1" applyFont="1" applyBorder="1" applyAlignment="1">
      <alignment horizontal="center" vertical="top"/>
    </xf>
    <xf numFmtId="4" fontId="6" fillId="0" borderId="11" xfId="6" applyNumberFormat="1" applyFont="1" applyBorder="1" applyAlignment="1">
      <alignment horizontal="right" vertical="center"/>
    </xf>
    <xf numFmtId="164" fontId="6" fillId="4" borderId="11" xfId="3" applyNumberFormat="1" applyFont="1" applyFill="1" applyBorder="1" applyAlignment="1">
      <alignment horizontal="center" vertical="top"/>
    </xf>
    <xf numFmtId="4" fontId="6" fillId="4" borderId="11" xfId="6" applyNumberFormat="1" applyFont="1" applyFill="1" applyBorder="1" applyAlignment="1">
      <alignment horizontal="right" vertical="center"/>
    </xf>
    <xf numFmtId="4" fontId="6" fillId="2" borderId="11" xfId="3" applyNumberFormat="1" applyFont="1" applyFill="1" applyBorder="1" applyAlignment="1">
      <alignment horizontal="right" vertical="center"/>
    </xf>
    <xf numFmtId="0" fontId="5" fillId="0" borderId="11" xfId="0" applyFont="1" applyBorder="1"/>
    <xf numFmtId="0" fontId="5" fillId="0" borderId="11" xfId="0" applyNumberFormat="1" applyFont="1" applyBorder="1"/>
    <xf numFmtId="164" fontId="6" fillId="0" borderId="0" xfId="3" applyNumberFormat="1" applyFont="1" applyAlignment="1">
      <alignment horizontal="center" vertical="center" wrapText="1"/>
    </xf>
    <xf numFmtId="0" fontId="7" fillId="0" borderId="11" xfId="6" applyNumberFormat="1" applyFont="1" applyFill="1" applyBorder="1" applyAlignment="1">
      <alignment horizontal="left" vertical="center" wrapText="1"/>
    </xf>
    <xf numFmtId="4" fontId="7" fillId="0" borderId="11" xfId="6" applyNumberFormat="1" applyFont="1" applyFill="1" applyBorder="1" applyAlignment="1">
      <alignment horizontal="right"/>
    </xf>
    <xf numFmtId="0" fontId="5" fillId="0" borderId="0" xfId="0" applyFont="1" applyFill="1"/>
    <xf numFmtId="4" fontId="7" fillId="0" borderId="11" xfId="7" applyNumberFormat="1" applyFont="1" applyFill="1" applyBorder="1" applyAlignment="1">
      <alignment horizontal="right" vertical="center"/>
    </xf>
    <xf numFmtId="4" fontId="6" fillId="0" borderId="11" xfId="3" applyNumberFormat="1" applyFont="1" applyFill="1" applyBorder="1" applyAlignment="1">
      <alignment horizontal="right" vertical="center"/>
    </xf>
    <xf numFmtId="0" fontId="6" fillId="2" borderId="11" xfId="6" applyNumberFormat="1" applyFont="1" applyFill="1" applyBorder="1" applyAlignment="1">
      <alignment horizontal="left" vertical="center" wrapText="1"/>
    </xf>
    <xf numFmtId="4" fontId="7" fillId="0" borderId="11" xfId="3" applyNumberFormat="1" applyFont="1" applyFill="1" applyBorder="1" applyAlignment="1">
      <alignment horizontal="center" vertical="top"/>
    </xf>
    <xf numFmtId="4" fontId="6" fillId="5" borderId="11" xfId="6" quotePrefix="1" applyNumberFormat="1" applyFont="1" applyFill="1" applyBorder="1" applyAlignment="1">
      <alignment horizontal="center"/>
    </xf>
    <xf numFmtId="0" fontId="6" fillId="5" borderId="11" xfId="6" quotePrefix="1" applyNumberFormat="1" applyFont="1" applyFill="1" applyBorder="1" applyAlignment="1">
      <alignment horizontal="left" vertical="center"/>
    </xf>
    <xf numFmtId="4" fontId="6" fillId="5" borderId="11" xfId="6" quotePrefix="1" applyNumberFormat="1" applyFont="1" applyFill="1" applyBorder="1" applyAlignment="1">
      <alignment horizontal="left" vertical="center"/>
    </xf>
    <xf numFmtId="4" fontId="6" fillId="5" borderId="11" xfId="6" quotePrefix="1" applyNumberFormat="1" applyFont="1" applyFill="1" applyBorder="1" applyAlignment="1">
      <alignment horizontal="center" vertical="center"/>
    </xf>
    <xf numFmtId="2" fontId="6" fillId="5" borderId="11" xfId="6" quotePrefix="1" applyNumberFormat="1" applyFont="1" applyFill="1" applyBorder="1" applyAlignment="1">
      <alignment horizontal="left" vertical="center"/>
    </xf>
    <xf numFmtId="4" fontId="7" fillId="5" borderId="11" xfId="6" applyNumberFormat="1" applyFont="1" applyFill="1" applyBorder="1" applyAlignment="1">
      <alignment vertical="center"/>
    </xf>
    <xf numFmtId="0" fontId="6" fillId="5" borderId="11" xfId="3" applyFont="1" applyFill="1" applyBorder="1" applyAlignment="1">
      <alignment vertical="center"/>
    </xf>
    <xf numFmtId="4" fontId="6" fillId="0" borderId="11" xfId="6" quotePrefix="1" applyNumberFormat="1" applyFont="1" applyBorder="1" applyAlignment="1">
      <alignment horizontal="center"/>
    </xf>
    <xf numFmtId="0" fontId="6" fillId="0" borderId="11" xfId="6" quotePrefix="1" applyNumberFormat="1" applyFont="1" applyBorder="1" applyAlignment="1">
      <alignment horizontal="left" vertical="center"/>
    </xf>
    <xf numFmtId="4" fontId="6" fillId="0" borderId="11" xfId="6" quotePrefix="1" applyNumberFormat="1" applyFont="1" applyBorder="1" applyAlignment="1">
      <alignment horizontal="left" vertical="center"/>
    </xf>
    <xf numFmtId="4" fontId="6" fillId="0" borderId="11" xfId="6" quotePrefix="1" applyNumberFormat="1" applyFont="1" applyBorder="1" applyAlignment="1">
      <alignment horizontal="center" vertical="center"/>
    </xf>
    <xf numFmtId="2" fontId="6" fillId="0" borderId="11" xfId="6" quotePrefix="1" applyNumberFormat="1" applyFont="1" applyBorder="1" applyAlignment="1">
      <alignment horizontal="left" vertical="center"/>
    </xf>
    <xf numFmtId="4" fontId="7" fillId="0" borderId="11" xfId="6" applyNumberFormat="1" applyFont="1" applyBorder="1" applyAlignment="1">
      <alignment vertical="center"/>
    </xf>
    <xf numFmtId="0" fontId="6" fillId="0" borderId="11" xfId="3" applyFont="1" applyBorder="1" applyAlignment="1">
      <alignment vertical="center"/>
    </xf>
    <xf numFmtId="4" fontId="6" fillId="0" borderId="11" xfId="6" applyNumberFormat="1" applyFont="1" applyFill="1" applyBorder="1" applyAlignment="1">
      <alignment horizontal="right" vertical="center"/>
    </xf>
    <xf numFmtId="4" fontId="7" fillId="2" borderId="11" xfId="3" applyNumberFormat="1" applyFont="1" applyFill="1" applyBorder="1" applyAlignment="1">
      <alignment horizontal="center" vertical="top"/>
    </xf>
    <xf numFmtId="4" fontId="13" fillId="3" borderId="11" xfId="6" quotePrefix="1" applyNumberFormat="1" applyFont="1" applyFill="1" applyBorder="1" applyAlignment="1">
      <alignment horizontal="center"/>
    </xf>
    <xf numFmtId="0" fontId="13" fillId="3" borderId="11" xfId="6" quotePrefix="1" applyNumberFormat="1" applyFont="1" applyFill="1" applyBorder="1" applyAlignment="1">
      <alignment horizontal="left" vertical="center"/>
    </xf>
    <xf numFmtId="4" fontId="13" fillId="3" borderId="11" xfId="6" quotePrefix="1" applyNumberFormat="1" applyFont="1" applyFill="1" applyBorder="1" applyAlignment="1">
      <alignment horizontal="left" vertical="center"/>
    </xf>
    <xf numFmtId="4" fontId="13" fillId="3" borderId="11" xfId="6" quotePrefix="1" applyNumberFormat="1" applyFont="1" applyFill="1" applyBorder="1" applyAlignment="1">
      <alignment horizontal="center" vertical="center"/>
    </xf>
    <xf numFmtId="2" fontId="13" fillId="3" borderId="11" xfId="6" quotePrefix="1" applyNumberFormat="1" applyFont="1" applyFill="1" applyBorder="1" applyAlignment="1">
      <alignment horizontal="left" vertical="center"/>
    </xf>
    <xf numFmtId="4" fontId="14" fillId="3" borderId="11" xfId="6" applyNumberFormat="1" applyFont="1" applyFill="1" applyBorder="1" applyAlignment="1">
      <alignment vertical="center"/>
    </xf>
    <xf numFmtId="0" fontId="13" fillId="3" borderId="11" xfId="3" applyFont="1" applyFill="1" applyBorder="1" applyAlignment="1">
      <alignment vertical="center"/>
    </xf>
    <xf numFmtId="4" fontId="6" fillId="0" borderId="11" xfId="3" applyNumberFormat="1" applyFont="1" applyBorder="1" applyAlignment="1">
      <alignment horizontal="right" vertical="center"/>
    </xf>
    <xf numFmtId="0" fontId="6" fillId="4" borderId="8" xfId="6" applyNumberFormat="1" applyFont="1" applyFill="1" applyBorder="1" applyAlignment="1">
      <alignment horizontal="left" vertical="center"/>
    </xf>
    <xf numFmtId="4" fontId="7" fillId="4" borderId="18" xfId="6" applyNumberFormat="1" applyFont="1" applyFill="1" applyBorder="1" applyAlignment="1">
      <alignment horizontal="right" vertical="center"/>
    </xf>
    <xf numFmtId="4" fontId="6" fillId="4" borderId="18" xfId="6" applyNumberFormat="1" applyFont="1" applyFill="1" applyBorder="1" applyAlignment="1">
      <alignment horizontal="right" vertical="center"/>
    </xf>
    <xf numFmtId="43" fontId="7" fillId="0" borderId="11" xfId="7" applyFont="1" applyFill="1" applyBorder="1" applyAlignment="1">
      <alignment horizontal="center" vertical="center"/>
    </xf>
    <xf numFmtId="39" fontId="7" fillId="2" borderId="15" xfId="3" applyNumberFormat="1" applyFont="1" applyFill="1" applyBorder="1" applyAlignment="1">
      <alignment horizontal="right" vertical="center"/>
    </xf>
    <xf numFmtId="39" fontId="7" fillId="0" borderId="15" xfId="3" applyNumberFormat="1" applyFont="1" applyFill="1" applyBorder="1" applyAlignment="1">
      <alignment horizontal="right" vertical="center"/>
    </xf>
    <xf numFmtId="4" fontId="7" fillId="0" borderId="19" xfId="3" applyNumberFormat="1" applyFont="1" applyFill="1" applyBorder="1" applyAlignment="1">
      <alignment horizontal="center" vertical="top"/>
    </xf>
    <xf numFmtId="0" fontId="7" fillId="2" borderId="19" xfId="6" applyNumberFormat="1" applyFont="1" applyFill="1" applyBorder="1" applyAlignment="1">
      <alignment horizontal="left" vertical="center" wrapText="1"/>
    </xf>
    <xf numFmtId="4" fontId="7" fillId="0" borderId="19" xfId="7" applyNumberFormat="1" applyFont="1" applyFill="1" applyBorder="1" applyAlignment="1">
      <alignment horizontal="right"/>
    </xf>
    <xf numFmtId="43" fontId="5" fillId="0" borderId="0" xfId="10" applyFont="1"/>
    <xf numFmtId="43" fontId="9" fillId="0" borderId="0" xfId="10" applyFont="1"/>
    <xf numFmtId="43" fontId="5" fillId="0" borderId="0" xfId="10" applyFont="1" applyFill="1"/>
    <xf numFmtId="43" fontId="10" fillId="0" borderId="0" xfId="10" applyFont="1"/>
    <xf numFmtId="4" fontId="5" fillId="0" borderId="0" xfId="0" applyNumberFormat="1" applyFont="1"/>
    <xf numFmtId="4" fontId="8" fillId="0" borderId="1" xfId="5" applyNumberFormat="1" applyFont="1" applyBorder="1" applyAlignment="1">
      <alignment horizontal="center" vertical="center"/>
    </xf>
    <xf numFmtId="4" fontId="6" fillId="4" borderId="11" xfId="3" applyNumberFormat="1" applyFont="1" applyFill="1" applyBorder="1" applyAlignment="1">
      <alignment horizontal="center" vertical="top"/>
    </xf>
    <xf numFmtId="4" fontId="5" fillId="0" borderId="11" xfId="0" applyNumberFormat="1" applyFont="1" applyBorder="1"/>
    <xf numFmtId="4" fontId="5" fillId="0" borderId="13" xfId="0" applyNumberFormat="1" applyFont="1" applyFill="1" applyBorder="1"/>
    <xf numFmtId="4" fontId="5" fillId="0" borderId="0" xfId="0" applyNumberFormat="1" applyFont="1" applyFill="1" applyBorder="1"/>
    <xf numFmtId="4" fontId="10" fillId="0" borderId="0" xfId="0" applyNumberFormat="1" applyFont="1" applyFill="1" applyBorder="1"/>
    <xf numFmtId="4" fontId="10" fillId="0" borderId="0" xfId="0" applyNumberFormat="1" applyFont="1"/>
    <xf numFmtId="4" fontId="5" fillId="0" borderId="13" xfId="0" applyNumberFormat="1" applyFont="1" applyBorder="1"/>
    <xf numFmtId="0" fontId="5" fillId="0" borderId="21" xfId="0" applyFont="1" applyBorder="1"/>
    <xf numFmtId="0" fontId="5" fillId="0" borderId="0" xfId="0" applyNumberFormat="1" applyFont="1" applyBorder="1"/>
    <xf numFmtId="0" fontId="5" fillId="0" borderId="0" xfId="0" applyFont="1" applyBorder="1"/>
    <xf numFmtId="4" fontId="6" fillId="4" borderId="17" xfId="3" applyNumberFormat="1" applyFont="1" applyFill="1" applyBorder="1" applyAlignment="1">
      <alignment horizontal="center" vertical="top"/>
    </xf>
    <xf numFmtId="164" fontId="6" fillId="0" borderId="0" xfId="3" applyNumberFormat="1" applyFont="1" applyAlignment="1">
      <alignment horizontal="center" vertical="center" wrapText="1"/>
    </xf>
    <xf numFmtId="4" fontId="6" fillId="4" borderId="19" xfId="6" applyNumberFormat="1" applyFont="1" applyFill="1" applyBorder="1" applyAlignment="1">
      <alignment horizontal="right" vertical="center"/>
    </xf>
    <xf numFmtId="4" fontId="6" fillId="4" borderId="20" xfId="6" applyNumberFormat="1" applyFont="1" applyFill="1" applyBorder="1" applyAlignment="1">
      <alignment horizontal="right" vertical="center"/>
    </xf>
    <xf numFmtId="4" fontId="6" fillId="4" borderId="8" xfId="6" applyNumberFormat="1" applyFont="1" applyFill="1" applyBorder="1" applyAlignment="1">
      <alignment horizontal="right" vertical="center"/>
    </xf>
    <xf numFmtId="164" fontId="6" fillId="4" borderId="19" xfId="3" applyNumberFormat="1" applyFont="1" applyFill="1" applyBorder="1" applyAlignment="1">
      <alignment horizontal="center" vertical="center"/>
    </xf>
    <xf numFmtId="164" fontId="6" fillId="4" borderId="20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</cellXfs>
  <cellStyles count="11">
    <cellStyle name="Millares" xfId="10" builtinId="3"/>
    <cellStyle name="Millares 2 3 5 2" xfId="8"/>
    <cellStyle name="Millares 7 2 3" xfId="7"/>
    <cellStyle name="Normal" xfId="0" builtinId="0"/>
    <cellStyle name="Normal 11 2 2" xfId="2"/>
    <cellStyle name="Normal 139" xfId="4"/>
    <cellStyle name="Normal 51" xfId="5"/>
    <cellStyle name="Normal_Cub.1comp.san fco.-aut. Duarte 2" xfId="6"/>
    <cellStyle name="Normal_Hoja1" xfId="3"/>
    <cellStyle name="Porcentaje" xfId="1" builtinId="5"/>
    <cellStyle name="Porcentaje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77"/>
  <sheetViews>
    <sheetView topLeftCell="A28" workbookViewId="0">
      <selection activeCell="B51" sqref="B51"/>
    </sheetView>
    <sheetView topLeftCell="A61" zoomScaleNormal="100" workbookViewId="1">
      <selection activeCell="G100" sqref="G100"/>
    </sheetView>
  </sheetViews>
  <sheetFormatPr baseColWidth="10" defaultColWidth="9.1796875" defaultRowHeight="13.5" outlineLevelRow="2" x14ac:dyDescent="0.25"/>
  <cols>
    <col min="1" max="1" width="8.26953125" style="1" bestFit="1" customWidth="1"/>
    <col min="2" max="2" width="82" style="51" customWidth="1"/>
    <col min="3" max="3" width="19.453125" style="1" bestFit="1" customWidth="1"/>
    <col min="4" max="4" width="9.26953125" style="1" bestFit="1" customWidth="1"/>
    <col min="5" max="16384" width="9.1796875" style="1"/>
  </cols>
  <sheetData>
    <row r="1" spans="1:3" ht="17.5" x14ac:dyDescent="0.25">
      <c r="B1" s="43"/>
      <c r="C1" s="2"/>
    </row>
    <row r="2" spans="1:3" ht="17.5" x14ac:dyDescent="0.25">
      <c r="B2" s="165" t="s">
        <v>11</v>
      </c>
      <c r="C2" s="165"/>
    </row>
    <row r="3" spans="1:3" ht="17.5" x14ac:dyDescent="0.25">
      <c r="B3" s="44"/>
      <c r="C3" s="99"/>
    </row>
    <row r="4" spans="1:3" ht="18" x14ac:dyDescent="0.25">
      <c r="B4" s="43" t="s">
        <v>10</v>
      </c>
      <c r="C4" s="4"/>
    </row>
    <row r="5" spans="1:3" ht="18" x14ac:dyDescent="0.25">
      <c r="B5" s="43" t="s">
        <v>9</v>
      </c>
      <c r="C5" s="7"/>
    </row>
    <row r="6" spans="1:3" ht="18" thickBot="1" x14ac:dyDescent="0.3">
      <c r="B6" s="45"/>
      <c r="C6" s="99"/>
    </row>
    <row r="7" spans="1:3" s="14" customFormat="1" ht="30.5" thickBot="1" x14ac:dyDescent="0.4">
      <c r="A7" s="10" t="s">
        <v>0</v>
      </c>
      <c r="B7" s="11" t="s">
        <v>1</v>
      </c>
      <c r="C7" s="13" t="s">
        <v>6</v>
      </c>
    </row>
    <row r="8" spans="1:3" ht="17.5" x14ac:dyDescent="0.35">
      <c r="A8" s="87"/>
      <c r="B8" s="88" t="s">
        <v>15</v>
      </c>
      <c r="C8" s="89"/>
    </row>
    <row r="9" spans="1:3" ht="17.5" outlineLevel="1" x14ac:dyDescent="0.35">
      <c r="A9" s="90"/>
      <c r="B9" s="91" t="s">
        <v>14</v>
      </c>
      <c r="C9" s="92">
        <f>SUBTOTAL(9,C10:C17)</f>
        <v>0</v>
      </c>
    </row>
    <row r="10" spans="1:3" ht="17.5" outlineLevel="2" x14ac:dyDescent="0.25">
      <c r="A10" s="154">
        <v>1</v>
      </c>
      <c r="B10" s="93" t="s">
        <v>17</v>
      </c>
      <c r="C10" s="98">
        <f>+'EDIF #1'!$H$12</f>
        <v>0</v>
      </c>
    </row>
    <row r="11" spans="1:3" ht="17.5" outlineLevel="2" x14ac:dyDescent="0.25">
      <c r="A11" s="154">
        <v>2</v>
      </c>
      <c r="B11" s="93" t="s">
        <v>16</v>
      </c>
      <c r="C11" s="98">
        <f>+'EDIF #1'!$H$16</f>
        <v>0</v>
      </c>
    </row>
    <row r="12" spans="1:3" ht="17.5" outlineLevel="2" x14ac:dyDescent="0.25">
      <c r="A12" s="154">
        <v>3</v>
      </c>
      <c r="B12" s="93" t="s">
        <v>32</v>
      </c>
      <c r="C12" s="98">
        <f>+'EDIF #1'!$H$29</f>
        <v>0</v>
      </c>
    </row>
    <row r="13" spans="1:3" ht="17.5" outlineLevel="2" x14ac:dyDescent="0.25">
      <c r="A13" s="154">
        <v>4</v>
      </c>
      <c r="B13" s="93" t="s">
        <v>33</v>
      </c>
      <c r="C13" s="98">
        <f>+'EDIF #1'!$H$35</f>
        <v>0</v>
      </c>
    </row>
    <row r="14" spans="1:3" ht="17.5" outlineLevel="2" x14ac:dyDescent="0.25">
      <c r="A14" s="154">
        <v>5</v>
      </c>
      <c r="B14" s="93" t="s">
        <v>58</v>
      </c>
      <c r="C14" s="98">
        <f>+'EDIF #1'!$H$38</f>
        <v>0</v>
      </c>
    </row>
    <row r="15" spans="1:3" ht="17.5" outlineLevel="2" x14ac:dyDescent="0.25">
      <c r="A15" s="154">
        <v>6</v>
      </c>
      <c r="B15" s="93" t="s">
        <v>39</v>
      </c>
      <c r="C15" s="98">
        <f>+'EDIF #1'!$H$45</f>
        <v>0</v>
      </c>
    </row>
    <row r="16" spans="1:3" ht="17.5" outlineLevel="2" x14ac:dyDescent="0.25">
      <c r="A16" s="154">
        <v>7</v>
      </c>
      <c r="B16" s="93" t="s">
        <v>41</v>
      </c>
      <c r="C16" s="98">
        <f>+'EDIF #1'!$H$48</f>
        <v>0</v>
      </c>
    </row>
    <row r="17" spans="1:3" ht="17.5" outlineLevel="2" x14ac:dyDescent="0.25">
      <c r="A17" s="154">
        <v>8</v>
      </c>
      <c r="B17" s="93" t="s">
        <v>67</v>
      </c>
      <c r="C17" s="98">
        <f>+'EDIF #1'!$H$52</f>
        <v>0</v>
      </c>
    </row>
    <row r="18" spans="1:3" ht="17.5" outlineLevel="1" x14ac:dyDescent="0.35">
      <c r="A18" s="90"/>
      <c r="B18" s="91" t="s">
        <v>59</v>
      </c>
      <c r="C18" s="92">
        <f>SUBTOTAL(9,C19:C26)</f>
        <v>0</v>
      </c>
    </row>
    <row r="19" spans="1:3" ht="17.5" outlineLevel="2" x14ac:dyDescent="0.25">
      <c r="A19" s="154">
        <v>9</v>
      </c>
      <c r="B19" s="93" t="s">
        <v>17</v>
      </c>
      <c r="C19" s="98">
        <f>+'EDIF #1'!$H$57</f>
        <v>0</v>
      </c>
    </row>
    <row r="20" spans="1:3" ht="17.5" outlineLevel="2" x14ac:dyDescent="0.25">
      <c r="A20" s="154">
        <v>10</v>
      </c>
      <c r="B20" s="93" t="s">
        <v>16</v>
      </c>
      <c r="C20" s="98">
        <f>+'EDIF #1'!$H$61</f>
        <v>0</v>
      </c>
    </row>
    <row r="21" spans="1:3" ht="17.5" outlineLevel="2" x14ac:dyDescent="0.25">
      <c r="A21" s="154">
        <v>11</v>
      </c>
      <c r="B21" s="93" t="s">
        <v>32</v>
      </c>
      <c r="C21" s="98">
        <f>+'EDIF #1'!$H$72</f>
        <v>0</v>
      </c>
    </row>
    <row r="22" spans="1:3" ht="17.5" outlineLevel="2" x14ac:dyDescent="0.25">
      <c r="A22" s="154">
        <v>12</v>
      </c>
      <c r="B22" s="93" t="s">
        <v>33</v>
      </c>
      <c r="C22" s="98">
        <f>+'EDIF #1'!$H$79</f>
        <v>0</v>
      </c>
    </row>
    <row r="23" spans="1:3" ht="17.5" outlineLevel="2" x14ac:dyDescent="0.25">
      <c r="A23" s="154">
        <v>13</v>
      </c>
      <c r="B23" s="93" t="s">
        <v>58</v>
      </c>
      <c r="C23" s="98">
        <f>+'EDIF #1'!$H$82</f>
        <v>0</v>
      </c>
    </row>
    <row r="24" spans="1:3" ht="17.5" outlineLevel="2" x14ac:dyDescent="0.25">
      <c r="A24" s="154">
        <v>14</v>
      </c>
      <c r="B24" s="93" t="s">
        <v>39</v>
      </c>
      <c r="C24" s="98">
        <f>+'EDIF #1'!$H$88</f>
        <v>0</v>
      </c>
    </row>
    <row r="25" spans="1:3" ht="17.5" outlineLevel="2" x14ac:dyDescent="0.25">
      <c r="A25" s="154">
        <v>15</v>
      </c>
      <c r="B25" s="93" t="s">
        <v>41</v>
      </c>
      <c r="C25" s="98">
        <f>+'EDIF #1'!$H$91</f>
        <v>0</v>
      </c>
    </row>
    <row r="26" spans="1:3" ht="17.5" outlineLevel="2" x14ac:dyDescent="0.25">
      <c r="A26" s="154">
        <v>16</v>
      </c>
      <c r="B26" s="93" t="s">
        <v>67</v>
      </c>
      <c r="C26" s="98">
        <f>+'EDIF #1'!$H$95</f>
        <v>0</v>
      </c>
    </row>
    <row r="27" spans="1:3" ht="17.5" outlineLevel="1" x14ac:dyDescent="0.35">
      <c r="A27" s="90"/>
      <c r="B27" s="91" t="s">
        <v>70</v>
      </c>
      <c r="C27" s="92">
        <f>SUBTOTAL(9,C28:C38)</f>
        <v>0</v>
      </c>
    </row>
    <row r="28" spans="1:3" ht="17.5" outlineLevel="2" x14ac:dyDescent="0.25">
      <c r="A28" s="154">
        <v>17</v>
      </c>
      <c r="B28" s="93" t="s">
        <v>17</v>
      </c>
      <c r="C28" s="98">
        <f>+'EDIF #1'!$H$101</f>
        <v>0</v>
      </c>
    </row>
    <row r="29" spans="1:3" ht="17.5" outlineLevel="2" x14ac:dyDescent="0.25">
      <c r="A29" s="154">
        <v>18</v>
      </c>
      <c r="B29" s="93" t="s">
        <v>16</v>
      </c>
      <c r="C29" s="98">
        <f>+'EDIF #1'!$H$105</f>
        <v>0</v>
      </c>
    </row>
    <row r="30" spans="1:3" ht="17.5" outlineLevel="2" x14ac:dyDescent="0.25">
      <c r="A30" s="154">
        <v>19</v>
      </c>
      <c r="B30" s="93" t="s">
        <v>79</v>
      </c>
      <c r="C30" s="103">
        <f>+'EDIF #1'!$H$112</f>
        <v>0</v>
      </c>
    </row>
    <row r="31" spans="1:3" ht="17.5" outlineLevel="2" x14ac:dyDescent="0.25">
      <c r="A31" s="154">
        <v>20</v>
      </c>
      <c r="B31" s="93" t="s">
        <v>80</v>
      </c>
      <c r="C31" s="103">
        <f>+'EDIF #1'!$H$117</f>
        <v>0</v>
      </c>
    </row>
    <row r="32" spans="1:3" ht="17.5" outlineLevel="2" x14ac:dyDescent="0.25">
      <c r="A32" s="154">
        <v>21</v>
      </c>
      <c r="B32" s="93" t="s">
        <v>32</v>
      </c>
      <c r="C32" s="103">
        <f>+'EDIF #1'!$H$122</f>
        <v>0</v>
      </c>
    </row>
    <row r="33" spans="1:3" ht="17.5" outlineLevel="2" x14ac:dyDescent="0.25">
      <c r="A33" s="154">
        <v>22</v>
      </c>
      <c r="B33" s="93" t="s">
        <v>33</v>
      </c>
      <c r="C33" s="98">
        <f>+'EDIF #1'!$H$129</f>
        <v>0</v>
      </c>
    </row>
    <row r="34" spans="1:3" ht="17.5" outlineLevel="2" x14ac:dyDescent="0.25">
      <c r="A34" s="154">
        <v>23</v>
      </c>
      <c r="B34" s="93" t="s">
        <v>58</v>
      </c>
      <c r="C34" s="98">
        <f>+'EDIF #1'!$H$133</f>
        <v>0</v>
      </c>
    </row>
    <row r="35" spans="1:3" ht="17.5" outlineLevel="2" x14ac:dyDescent="0.25">
      <c r="A35" s="154">
        <v>24</v>
      </c>
      <c r="B35" s="93" t="s">
        <v>90</v>
      </c>
      <c r="C35" s="98">
        <f>+'EDIF #1'!$H$139</f>
        <v>0</v>
      </c>
    </row>
    <row r="36" spans="1:3" ht="17.5" outlineLevel="2" x14ac:dyDescent="0.25">
      <c r="A36" s="154">
        <v>25</v>
      </c>
      <c r="B36" s="93" t="s">
        <v>41</v>
      </c>
      <c r="C36" s="98">
        <f>+'EDIF #1'!$H$142</f>
        <v>0</v>
      </c>
    </row>
    <row r="37" spans="1:3" ht="17.5" outlineLevel="2" x14ac:dyDescent="0.25">
      <c r="A37" s="154">
        <v>26</v>
      </c>
      <c r="B37" s="93" t="s">
        <v>67</v>
      </c>
      <c r="C37" s="98">
        <f>+'EDIF #1'!$H$147</f>
        <v>0</v>
      </c>
    </row>
    <row r="38" spans="1:3" ht="17.5" outlineLevel="2" collapsed="1" x14ac:dyDescent="0.25">
      <c r="A38" s="154">
        <v>27</v>
      </c>
      <c r="B38" s="93" t="s">
        <v>83</v>
      </c>
      <c r="C38" s="103">
        <f>+'EDIF #1'!$H$151</f>
        <v>0</v>
      </c>
    </row>
    <row r="39" spans="1:3" ht="17.5" outlineLevel="2" x14ac:dyDescent="0.25">
      <c r="A39" s="154">
        <v>28</v>
      </c>
      <c r="B39" s="93" t="s">
        <v>108</v>
      </c>
      <c r="C39" s="141">
        <f>'EDIF #1'!$H$156</f>
        <v>0</v>
      </c>
    </row>
    <row r="40" spans="1:3" ht="17.5" outlineLevel="1" x14ac:dyDescent="0.35">
      <c r="A40" s="90"/>
      <c r="B40" s="91" t="s">
        <v>94</v>
      </c>
      <c r="C40" s="92">
        <f>SUBTOTAL(9,C41:C52)</f>
        <v>0</v>
      </c>
    </row>
    <row r="41" spans="1:3" ht="17.5" outlineLevel="2" x14ac:dyDescent="0.25">
      <c r="A41" s="154">
        <v>29</v>
      </c>
      <c r="B41" s="93" t="s">
        <v>17</v>
      </c>
      <c r="C41" s="98">
        <f>+'EDIF #1'!$H$194</f>
        <v>0</v>
      </c>
    </row>
    <row r="42" spans="1:3" ht="17.5" outlineLevel="2" x14ac:dyDescent="0.25">
      <c r="A42" s="154">
        <v>30</v>
      </c>
      <c r="B42" s="93" t="s">
        <v>79</v>
      </c>
      <c r="C42" s="103">
        <f>+'EDIF #1'!$H$198</f>
        <v>0</v>
      </c>
    </row>
    <row r="43" spans="1:3" ht="17.5" outlineLevel="2" x14ac:dyDescent="0.25">
      <c r="A43" s="154">
        <v>31</v>
      </c>
      <c r="B43" s="93" t="s">
        <v>32</v>
      </c>
      <c r="C43" s="103">
        <f>+'EDIF #1'!$H$203</f>
        <v>0</v>
      </c>
    </row>
    <row r="44" spans="1:3" ht="17.5" outlineLevel="2" x14ac:dyDescent="0.25">
      <c r="A44" s="154">
        <v>32</v>
      </c>
      <c r="B44" s="93" t="s">
        <v>39</v>
      </c>
      <c r="C44" s="98">
        <f>+'EDIF #1'!$H$210</f>
        <v>0</v>
      </c>
    </row>
    <row r="45" spans="1:3" ht="17.5" outlineLevel="2" x14ac:dyDescent="0.25">
      <c r="A45" s="154">
        <v>33</v>
      </c>
      <c r="B45" s="93" t="s">
        <v>33</v>
      </c>
      <c r="C45" s="98">
        <f>+'EDIF #1'!$H$215</f>
        <v>0</v>
      </c>
    </row>
    <row r="46" spans="1:3" ht="17.5" outlineLevel="2" x14ac:dyDescent="0.25">
      <c r="A46" s="154">
        <v>34</v>
      </c>
      <c r="B46" s="93" t="s">
        <v>58</v>
      </c>
      <c r="C46" s="98">
        <f>+'EDIF #1'!$H$218</f>
        <v>0</v>
      </c>
    </row>
    <row r="47" spans="1:3" ht="17.5" outlineLevel="2" x14ac:dyDescent="0.25">
      <c r="A47" s="154">
        <v>35</v>
      </c>
      <c r="B47" s="93" t="s">
        <v>90</v>
      </c>
      <c r="C47" s="98">
        <f>+'EDIF #1'!$H$227</f>
        <v>0</v>
      </c>
    </row>
    <row r="48" spans="1:3" ht="17.5" outlineLevel="2" x14ac:dyDescent="0.25">
      <c r="A48" s="154">
        <v>36</v>
      </c>
      <c r="B48" s="93" t="s">
        <v>41</v>
      </c>
      <c r="C48" s="98">
        <f>+'EDIF #1'!$H$231</f>
        <v>0</v>
      </c>
    </row>
    <row r="49" spans="1:3" ht="17.5" outlineLevel="2" x14ac:dyDescent="0.25">
      <c r="A49" s="154">
        <v>37</v>
      </c>
      <c r="B49" s="93" t="s">
        <v>67</v>
      </c>
      <c r="C49" s="98">
        <f>+'EDIF #1'!$H$237</f>
        <v>0</v>
      </c>
    </row>
    <row r="50" spans="1:3" ht="17.5" outlineLevel="2" x14ac:dyDescent="0.25">
      <c r="A50" s="154">
        <v>38</v>
      </c>
      <c r="B50" s="93" t="s">
        <v>188</v>
      </c>
      <c r="C50" s="103">
        <f>'EDIF #1'!$H$241</f>
        <v>0</v>
      </c>
    </row>
    <row r="51" spans="1:3" ht="17.5" outlineLevel="2" x14ac:dyDescent="0.25">
      <c r="A51" s="154">
        <v>39</v>
      </c>
      <c r="B51" s="93" t="s">
        <v>163</v>
      </c>
      <c r="C51" s="103">
        <f>'EDIF #1'!$H$255</f>
        <v>0</v>
      </c>
    </row>
    <row r="52" spans="1:3" ht="17.5" outlineLevel="2" x14ac:dyDescent="0.25">
      <c r="A52" s="154">
        <v>40</v>
      </c>
      <c r="B52" s="93" t="s">
        <v>103</v>
      </c>
      <c r="C52" s="103">
        <f>'EDIF #1'!$H$271</f>
        <v>0</v>
      </c>
    </row>
    <row r="53" spans="1:3" ht="18" outlineLevel="1" x14ac:dyDescent="0.25">
      <c r="A53" s="164"/>
      <c r="B53" s="139"/>
      <c r="C53" s="140"/>
    </row>
    <row r="54" spans="1:3" ht="17.5" x14ac:dyDescent="0.35">
      <c r="A54" s="87"/>
      <c r="B54" s="88" t="s">
        <v>142</v>
      </c>
      <c r="C54" s="89"/>
    </row>
    <row r="55" spans="1:3" ht="17.5" outlineLevel="1" x14ac:dyDescent="0.35">
      <c r="A55" s="90"/>
      <c r="B55" s="91" t="s">
        <v>143</v>
      </c>
      <c r="C55" s="92">
        <f>SUBTOTAL(9,C56:C65)</f>
        <v>0</v>
      </c>
    </row>
    <row r="56" spans="1:3" ht="17.5" outlineLevel="2" x14ac:dyDescent="0.25">
      <c r="A56" s="102">
        <v>1</v>
      </c>
      <c r="B56" s="93" t="s">
        <v>17</v>
      </c>
      <c r="C56" s="98">
        <f>+'EDIF #2'!$G$12</f>
        <v>0</v>
      </c>
    </row>
    <row r="57" spans="1:3" ht="17.5" outlineLevel="2" x14ac:dyDescent="0.25">
      <c r="A57" s="102">
        <v>2</v>
      </c>
      <c r="B57" s="93" t="s">
        <v>16</v>
      </c>
      <c r="C57" s="98">
        <f>+'EDIF #2'!$G$16</f>
        <v>0</v>
      </c>
    </row>
    <row r="58" spans="1:3" ht="17.5" outlineLevel="2" x14ac:dyDescent="0.25">
      <c r="A58" s="102">
        <v>3</v>
      </c>
      <c r="B58" s="93" t="s">
        <v>32</v>
      </c>
      <c r="C58" s="103">
        <f>+'EDIF #2'!$G$25</f>
        <v>0</v>
      </c>
    </row>
    <row r="59" spans="1:3" ht="17.5" outlineLevel="2" x14ac:dyDescent="0.25">
      <c r="A59" s="102">
        <v>4</v>
      </c>
      <c r="B59" s="93" t="s">
        <v>203</v>
      </c>
      <c r="C59" s="103">
        <f>'EDIF #2'!G36</f>
        <v>0</v>
      </c>
    </row>
    <row r="60" spans="1:3" ht="17.5" outlineLevel="2" x14ac:dyDescent="0.25">
      <c r="A60" s="102">
        <v>5</v>
      </c>
      <c r="B60" s="93" t="s">
        <v>33</v>
      </c>
      <c r="C60" s="103">
        <f>+'EDIF #2'!$G$40</f>
        <v>0</v>
      </c>
    </row>
    <row r="61" spans="1:3" ht="17.5" outlineLevel="2" x14ac:dyDescent="0.25">
      <c r="A61" s="102">
        <v>6</v>
      </c>
      <c r="B61" s="93" t="s">
        <v>58</v>
      </c>
      <c r="C61" s="103">
        <f>+'EDIF #2'!$G$43</f>
        <v>0</v>
      </c>
    </row>
    <row r="62" spans="1:3" ht="17.5" outlineLevel="2" x14ac:dyDescent="0.25">
      <c r="A62" s="102">
        <v>7</v>
      </c>
      <c r="B62" s="93" t="s">
        <v>90</v>
      </c>
      <c r="C62" s="98">
        <f>+'EDIF #2'!$G$53</f>
        <v>0</v>
      </c>
    </row>
    <row r="63" spans="1:3" ht="17.5" outlineLevel="2" x14ac:dyDescent="0.25">
      <c r="A63" s="102">
        <v>8</v>
      </c>
      <c r="B63" s="93" t="s">
        <v>41</v>
      </c>
      <c r="C63" s="98">
        <f>+'EDIF #2'!$G$56</f>
        <v>0</v>
      </c>
    </row>
    <row r="64" spans="1:3" ht="17.5" outlineLevel="2" x14ac:dyDescent="0.25">
      <c r="A64" s="102">
        <v>9</v>
      </c>
      <c r="B64" s="93" t="s">
        <v>67</v>
      </c>
      <c r="C64" s="98">
        <f>+'EDIF #2'!$G$61</f>
        <v>0</v>
      </c>
    </row>
    <row r="65" spans="1:7" ht="17.5" outlineLevel="2" x14ac:dyDescent="0.25">
      <c r="A65" s="102">
        <v>10</v>
      </c>
      <c r="B65" s="93" t="s">
        <v>108</v>
      </c>
      <c r="C65" s="98">
        <f>+'EDIF #2'!$G$64</f>
        <v>0</v>
      </c>
    </row>
    <row r="66" spans="1:7" ht="17.5" outlineLevel="2" x14ac:dyDescent="0.25">
      <c r="A66" s="102">
        <v>11</v>
      </c>
      <c r="B66" s="93" t="s">
        <v>163</v>
      </c>
      <c r="C66" s="98">
        <f>'EDIF #2'!$G$101</f>
        <v>0</v>
      </c>
    </row>
    <row r="67" spans="1:7" ht="18" outlineLevel="2" thickBot="1" x14ac:dyDescent="0.3">
      <c r="A67" s="102">
        <v>12</v>
      </c>
      <c r="B67" s="93" t="s">
        <v>205</v>
      </c>
      <c r="C67" s="98">
        <f>'EDIF #2'!$G$113</f>
        <v>0</v>
      </c>
    </row>
    <row r="68" spans="1:7" s="59" customFormat="1" ht="18.5" outlineLevel="1" thickBot="1" x14ac:dyDescent="0.4">
      <c r="B68" s="81"/>
      <c r="C68" s="82"/>
      <c r="D68" s="1"/>
      <c r="E68" s="1"/>
      <c r="F68" s="1"/>
      <c r="G68" s="1"/>
    </row>
    <row r="69" spans="1:7" s="59" customFormat="1" ht="18.5" outlineLevel="1" thickBot="1" x14ac:dyDescent="0.4">
      <c r="A69" s="52"/>
      <c r="B69" s="54" t="s">
        <v>5</v>
      </c>
      <c r="C69" s="58">
        <f>SUBTOTAL(9,C8:C68)</f>
        <v>0</v>
      </c>
      <c r="D69" s="1"/>
      <c r="E69" s="1"/>
      <c r="F69" s="1"/>
      <c r="G69" s="1"/>
    </row>
    <row r="70" spans="1:7" s="59" customFormat="1" ht="18.5" thickBot="1" x14ac:dyDescent="0.4">
      <c r="A70" s="52"/>
      <c r="B70" s="54" t="s">
        <v>48</v>
      </c>
      <c r="C70" s="58">
        <f>+'EDIF #1'!$H$279+'EDIF #2'!$G$144</f>
        <v>0</v>
      </c>
      <c r="D70" s="1"/>
      <c r="E70" s="1"/>
      <c r="F70" s="1"/>
      <c r="G70" s="1"/>
    </row>
    <row r="71" spans="1:7" s="59" customFormat="1" ht="18.5" thickBot="1" x14ac:dyDescent="0.4">
      <c r="B71" s="65"/>
      <c r="C71" s="62"/>
      <c r="D71" s="1"/>
      <c r="E71" s="1"/>
      <c r="F71" s="1"/>
      <c r="G71" s="1"/>
    </row>
    <row r="72" spans="1:7" s="59" customFormat="1" ht="18.5" thickBot="1" x14ac:dyDescent="0.4">
      <c r="A72" s="52"/>
      <c r="B72" s="54" t="s">
        <v>55</v>
      </c>
      <c r="C72" s="58">
        <f>+'EDIF #1'!$H$291+'EDIF #2'!$G$156</f>
        <v>0</v>
      </c>
      <c r="D72" s="1"/>
      <c r="E72" s="1"/>
      <c r="F72" s="1"/>
      <c r="G72" s="1"/>
    </row>
    <row r="73" spans="1:7" s="59" customFormat="1" ht="18.5" thickBot="1" x14ac:dyDescent="0.4">
      <c r="B73" s="63"/>
      <c r="C73" s="62"/>
    </row>
    <row r="74" spans="1:7" s="59" customFormat="1" ht="18.5" thickBot="1" x14ac:dyDescent="0.4">
      <c r="A74" s="52"/>
      <c r="B74" s="54" t="s">
        <v>56</v>
      </c>
      <c r="C74" s="58">
        <f>+C72+C70+C40+C27+C18+C9</f>
        <v>0</v>
      </c>
    </row>
    <row r="75" spans="1:7" ht="18" x14ac:dyDescent="0.35">
      <c r="D75" s="59"/>
      <c r="E75" s="59"/>
    </row>
    <row r="76" spans="1:7" ht="18" x14ac:dyDescent="0.35">
      <c r="D76" s="59"/>
      <c r="E76" s="59"/>
    </row>
    <row r="77" spans="1:7" ht="18" x14ac:dyDescent="0.35">
      <c r="D77" s="59"/>
      <c r="E77" s="59"/>
    </row>
  </sheetData>
  <autoFilter ref="A7:C75"/>
  <mergeCells count="1">
    <mergeCell ref="B2:C2"/>
  </mergeCells>
  <pageMargins left="0.7" right="0.7" top="0.75" bottom="0.75" header="0.3" footer="0.3"/>
  <pageSetup scale="82" fitToHeight="0" orientation="portrait" r:id="rId1"/>
  <rowBreaks count="1" manualBreakCount="1"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N296"/>
  <sheetViews>
    <sheetView topLeftCell="B1" zoomScale="55" zoomScaleNormal="55" workbookViewId="0">
      <pane ySplit="7" topLeftCell="A191" activePane="bottomLeft" state="frozen"/>
      <selection pane="bottomLeft" activeCell="H241" sqref="H241"/>
    </sheetView>
    <sheetView zoomScale="50" zoomScaleNormal="50" workbookViewId="1">
      <selection activeCell="E114" sqref="E114"/>
    </sheetView>
  </sheetViews>
  <sheetFormatPr baseColWidth="10" defaultColWidth="9.1796875" defaultRowHeight="13.5" outlineLevelRow="3" x14ac:dyDescent="0.25"/>
  <cols>
    <col min="1" max="1" width="9.1796875" style="1"/>
    <col min="2" max="2" width="15.1796875" style="152" bestFit="1" customWidth="1"/>
    <col min="3" max="3" width="116.7265625" style="51" bestFit="1" customWidth="1"/>
    <col min="4" max="4" width="17.81640625" style="1" bestFit="1" customWidth="1"/>
    <col min="5" max="5" width="13.1796875" style="1" bestFit="1" customWidth="1"/>
    <col min="6" max="6" width="18.81640625" style="1" bestFit="1" customWidth="1"/>
    <col min="7" max="7" width="17.26953125" style="1" bestFit="1" customWidth="1"/>
    <col min="8" max="8" width="19.453125" style="1" bestFit="1" customWidth="1"/>
    <col min="9" max="9" width="9.26953125" style="1" bestFit="1" customWidth="1"/>
    <col min="10" max="12" width="9.1796875" style="1"/>
    <col min="13" max="13" width="15.7265625" style="148" bestFit="1" customWidth="1"/>
    <col min="14" max="14" width="11.7265625" style="1" bestFit="1" customWidth="1"/>
    <col min="15" max="16384" width="9.1796875" style="1"/>
  </cols>
  <sheetData>
    <row r="1" spans="2:13" ht="17.5" x14ac:dyDescent="0.25">
      <c r="C1" s="43"/>
      <c r="D1" s="2"/>
      <c r="E1" s="2"/>
      <c r="F1" s="2"/>
      <c r="G1" s="2"/>
      <c r="H1" s="2"/>
    </row>
    <row r="2" spans="2:13" ht="17.5" x14ac:dyDescent="0.25">
      <c r="C2" s="165" t="s">
        <v>11</v>
      </c>
      <c r="D2" s="165"/>
      <c r="E2" s="165"/>
      <c r="F2" s="165"/>
      <c r="G2" s="165"/>
      <c r="H2" s="165"/>
    </row>
    <row r="3" spans="2:13" ht="17.5" x14ac:dyDescent="0.25">
      <c r="C3" s="44"/>
      <c r="D3" s="8"/>
      <c r="E3" s="8"/>
      <c r="F3" s="8"/>
      <c r="G3" s="8"/>
      <c r="H3" s="8"/>
    </row>
    <row r="4" spans="2:13" ht="18" x14ac:dyDescent="0.25">
      <c r="C4" s="43" t="s">
        <v>10</v>
      </c>
      <c r="D4" s="2"/>
      <c r="E4" s="4"/>
      <c r="F4" s="5" t="s">
        <v>12</v>
      </c>
      <c r="G4" s="4"/>
      <c r="H4" s="4"/>
    </row>
    <row r="5" spans="2:13" ht="18" x14ac:dyDescent="0.25">
      <c r="C5" s="43" t="s">
        <v>9</v>
      </c>
      <c r="D5" s="2"/>
      <c r="E5" s="7"/>
      <c r="F5" s="5" t="s">
        <v>13</v>
      </c>
      <c r="G5" s="7"/>
      <c r="H5" s="7"/>
    </row>
    <row r="6" spans="2:13" ht="18" thickBot="1" x14ac:dyDescent="0.3">
      <c r="C6" s="45"/>
      <c r="D6" s="8"/>
      <c r="E6" s="8"/>
      <c r="F6" s="8"/>
      <c r="G6" s="8"/>
      <c r="H6" s="8"/>
    </row>
    <row r="7" spans="2:13" s="14" customFormat="1" ht="30.5" thickBot="1" x14ac:dyDescent="0.4">
      <c r="B7" s="153" t="s">
        <v>0</v>
      </c>
      <c r="C7" s="11" t="s">
        <v>1</v>
      </c>
      <c r="D7" s="12" t="s">
        <v>2</v>
      </c>
      <c r="E7" s="12" t="s">
        <v>3</v>
      </c>
      <c r="F7" s="11" t="s">
        <v>4</v>
      </c>
      <c r="G7" s="12" t="s">
        <v>5</v>
      </c>
      <c r="H7" s="13" t="s">
        <v>6</v>
      </c>
      <c r="M7" s="149"/>
    </row>
    <row r="8" spans="2:13" ht="17.5" x14ac:dyDescent="0.35">
      <c r="B8" s="15"/>
      <c r="C8" s="46"/>
      <c r="D8" s="16"/>
      <c r="E8" s="16"/>
      <c r="F8" s="16"/>
      <c r="G8" s="16"/>
      <c r="H8" s="17"/>
    </row>
    <row r="9" spans="2:13" ht="18" x14ac:dyDescent="0.35">
      <c r="B9" s="131"/>
      <c r="C9" s="132" t="s">
        <v>15</v>
      </c>
      <c r="D9" s="133"/>
      <c r="E9" s="134"/>
      <c r="F9" s="135"/>
      <c r="G9" s="136"/>
      <c r="H9" s="137"/>
    </row>
    <row r="10" spans="2:13" ht="18" outlineLevel="1" x14ac:dyDescent="0.35">
      <c r="B10" s="115"/>
      <c r="C10" s="116" t="s">
        <v>14</v>
      </c>
      <c r="D10" s="117"/>
      <c r="E10" s="118"/>
      <c r="F10" s="119"/>
      <c r="G10" s="120"/>
      <c r="H10" s="121"/>
    </row>
    <row r="11" spans="2:13" ht="18" outlineLevel="2" x14ac:dyDescent="0.35">
      <c r="B11" s="122"/>
      <c r="C11" s="123"/>
      <c r="D11" s="124"/>
      <c r="E11" s="125"/>
      <c r="F11" s="126"/>
      <c r="G11" s="127"/>
      <c r="H11" s="128"/>
    </row>
    <row r="12" spans="2:13" ht="18" outlineLevel="2" collapsed="1" x14ac:dyDescent="0.25">
      <c r="B12" s="154">
        <v>1</v>
      </c>
      <c r="C12" s="93" t="s">
        <v>17</v>
      </c>
      <c r="D12" s="94"/>
      <c r="E12" s="95"/>
      <c r="F12" s="96"/>
      <c r="G12" s="97"/>
      <c r="H12" s="103">
        <f>SUBTOTAL(9,G12:G15)</f>
        <v>0</v>
      </c>
    </row>
    <row r="13" spans="2:13" s="110" customFormat="1" ht="18" hidden="1" outlineLevel="3" x14ac:dyDescent="0.35">
      <c r="B13" s="114">
        <f>+B12+0.01</f>
        <v>1.01</v>
      </c>
      <c r="C13" s="108" t="s">
        <v>18</v>
      </c>
      <c r="D13" s="36">
        <v>251.59</v>
      </c>
      <c r="E13" s="37" t="s">
        <v>19</v>
      </c>
      <c r="F13" s="38"/>
      <c r="G13" s="109">
        <f>ROUND(D13*F13,2)</f>
        <v>0</v>
      </c>
      <c r="H13" s="112"/>
      <c r="M13" s="150"/>
    </row>
    <row r="14" spans="2:13" s="110" customFormat="1" ht="18" hidden="1" outlineLevel="3" x14ac:dyDescent="0.35">
      <c r="B14" s="114">
        <v>1.02</v>
      </c>
      <c r="C14" s="108" t="s">
        <v>161</v>
      </c>
      <c r="D14" s="36">
        <v>1</v>
      </c>
      <c r="E14" s="37" t="s">
        <v>111</v>
      </c>
      <c r="F14" s="38"/>
      <c r="G14" s="109">
        <v>0</v>
      </c>
      <c r="H14" s="112"/>
      <c r="M14" s="150"/>
    </row>
    <row r="15" spans="2:13" ht="18" outlineLevel="2" x14ac:dyDescent="0.35">
      <c r="B15" s="100"/>
      <c r="C15" s="50"/>
      <c r="D15" s="36"/>
      <c r="E15" s="40"/>
      <c r="F15" s="36"/>
      <c r="G15" s="34"/>
      <c r="H15" s="101"/>
    </row>
    <row r="16" spans="2:13" ht="18" outlineLevel="2" collapsed="1" x14ac:dyDescent="0.25">
      <c r="B16" s="154">
        <f>+B12+1</f>
        <v>2</v>
      </c>
      <c r="C16" s="93" t="s">
        <v>16</v>
      </c>
      <c r="D16" s="94"/>
      <c r="E16" s="95"/>
      <c r="F16" s="96"/>
      <c r="G16" s="97"/>
      <c r="H16" s="103">
        <f>SUBTOTAL(9,G16:G27)</f>
        <v>0</v>
      </c>
    </row>
    <row r="17" spans="2:13" s="110" customFormat="1" ht="18" hidden="1" outlineLevel="3" x14ac:dyDescent="0.35">
      <c r="B17" s="114">
        <f t="shared" ref="B17:B27" si="0">+B16+0.01</f>
        <v>2.0099999999999998</v>
      </c>
      <c r="C17" s="108" t="s">
        <v>21</v>
      </c>
      <c r="D17" s="36">
        <f>20.13*2.55</f>
        <v>51.331499999999991</v>
      </c>
      <c r="E17" s="37" t="s">
        <v>19</v>
      </c>
      <c r="F17" s="38"/>
      <c r="G17" s="109">
        <f>ROUND(D17*F17,2)</f>
        <v>0</v>
      </c>
      <c r="H17" s="112"/>
      <c r="M17" s="150"/>
    </row>
    <row r="18" spans="2:13" s="110" customFormat="1" ht="18" hidden="1" outlineLevel="3" x14ac:dyDescent="0.35">
      <c r="B18" s="114">
        <f t="shared" si="0"/>
        <v>2.0199999999999996</v>
      </c>
      <c r="C18" s="108" t="s">
        <v>22</v>
      </c>
      <c r="D18" s="36">
        <f>44.88*2.55</f>
        <v>114.444</v>
      </c>
      <c r="E18" s="37" t="s">
        <v>19</v>
      </c>
      <c r="F18" s="38"/>
      <c r="G18" s="109">
        <f t="shared" ref="G18:G27" si="1">ROUND(D18*F18,2)</f>
        <v>0</v>
      </c>
      <c r="H18" s="112"/>
      <c r="M18" s="150"/>
    </row>
    <row r="19" spans="2:13" ht="18" hidden="1" outlineLevel="3" x14ac:dyDescent="0.35">
      <c r="B19" s="114">
        <f t="shared" si="0"/>
        <v>2.0299999999999994</v>
      </c>
      <c r="C19" s="50" t="s">
        <v>24</v>
      </c>
      <c r="D19" s="36">
        <v>3</v>
      </c>
      <c r="E19" s="37" t="s">
        <v>8</v>
      </c>
      <c r="F19" s="38"/>
      <c r="G19" s="34">
        <f t="shared" si="1"/>
        <v>0</v>
      </c>
      <c r="H19" s="138"/>
    </row>
    <row r="20" spans="2:13" ht="18" hidden="1" outlineLevel="3" x14ac:dyDescent="0.35">
      <c r="B20" s="114">
        <f t="shared" si="0"/>
        <v>2.0399999999999991</v>
      </c>
      <c r="C20" s="50" t="s">
        <v>25</v>
      </c>
      <c r="D20" s="36">
        <v>1</v>
      </c>
      <c r="E20" s="37" t="s">
        <v>8</v>
      </c>
      <c r="F20" s="36"/>
      <c r="G20" s="34">
        <f t="shared" si="1"/>
        <v>0</v>
      </c>
      <c r="H20" s="101"/>
    </row>
    <row r="21" spans="2:13" ht="18" hidden="1" outlineLevel="3" x14ac:dyDescent="0.35">
      <c r="B21" s="114">
        <f t="shared" si="0"/>
        <v>2.0499999999999989</v>
      </c>
      <c r="C21" s="50" t="s">
        <v>23</v>
      </c>
      <c r="D21" s="36">
        <v>4</v>
      </c>
      <c r="E21" s="37" t="s">
        <v>8</v>
      </c>
      <c r="F21" s="36"/>
      <c r="G21" s="34">
        <f t="shared" si="1"/>
        <v>0</v>
      </c>
      <c r="H21" s="101"/>
    </row>
    <row r="22" spans="2:13" ht="18" hidden="1" outlineLevel="3" x14ac:dyDescent="0.35">
      <c r="B22" s="114">
        <f t="shared" si="0"/>
        <v>2.0599999999999987</v>
      </c>
      <c r="C22" s="50" t="s">
        <v>26</v>
      </c>
      <c r="D22" s="36">
        <v>2</v>
      </c>
      <c r="E22" s="37" t="s">
        <v>8</v>
      </c>
      <c r="F22" s="36"/>
      <c r="G22" s="34">
        <f t="shared" si="1"/>
        <v>0</v>
      </c>
      <c r="H22" s="101"/>
    </row>
    <row r="23" spans="2:13" ht="18" hidden="1" outlineLevel="3" x14ac:dyDescent="0.35">
      <c r="B23" s="114">
        <f t="shared" si="0"/>
        <v>2.0699999999999985</v>
      </c>
      <c r="C23" s="50" t="s">
        <v>27</v>
      </c>
      <c r="D23" s="36">
        <v>11</v>
      </c>
      <c r="E23" s="37" t="s">
        <v>8</v>
      </c>
      <c r="F23" s="36"/>
      <c r="G23" s="34">
        <f t="shared" si="1"/>
        <v>0</v>
      </c>
      <c r="H23" s="101"/>
    </row>
    <row r="24" spans="2:13" ht="18" hidden="1" outlineLevel="3" x14ac:dyDescent="0.35">
      <c r="B24" s="114">
        <f t="shared" si="0"/>
        <v>2.0799999999999983</v>
      </c>
      <c r="C24" s="50" t="s">
        <v>28</v>
      </c>
      <c r="D24" s="36">
        <v>4</v>
      </c>
      <c r="E24" s="37" t="s">
        <v>8</v>
      </c>
      <c r="F24" s="36"/>
      <c r="G24" s="34">
        <f t="shared" si="1"/>
        <v>0</v>
      </c>
      <c r="H24" s="101"/>
      <c r="M24" s="148">
        <v>614790</v>
      </c>
    </row>
    <row r="25" spans="2:13" s="110" customFormat="1" ht="18" hidden="1" outlineLevel="3" x14ac:dyDescent="0.35">
      <c r="B25" s="114">
        <f t="shared" si="0"/>
        <v>2.0899999999999981</v>
      </c>
      <c r="C25" s="108" t="s">
        <v>61</v>
      </c>
      <c r="D25" s="36">
        <v>41.886000000000003</v>
      </c>
      <c r="E25" s="37" t="s">
        <v>19</v>
      </c>
      <c r="F25" s="38"/>
      <c r="G25" s="109">
        <f>ROUND(D25*F25,2)</f>
        <v>0</v>
      </c>
      <c r="H25" s="112"/>
      <c r="M25" s="150">
        <v>34500</v>
      </c>
    </row>
    <row r="26" spans="2:13" s="110" customFormat="1" ht="18" hidden="1" outlineLevel="3" x14ac:dyDescent="0.35">
      <c r="B26" s="114">
        <f t="shared" si="0"/>
        <v>2.0999999999999979</v>
      </c>
      <c r="C26" s="108" t="s">
        <v>29</v>
      </c>
      <c r="D26" s="36">
        <v>1</v>
      </c>
      <c r="E26" s="37" t="s">
        <v>8</v>
      </c>
      <c r="F26" s="36"/>
      <c r="G26" s="109">
        <f t="shared" si="1"/>
        <v>0</v>
      </c>
      <c r="H26" s="129"/>
      <c r="M26" s="150">
        <v>1705000</v>
      </c>
    </row>
    <row r="27" spans="2:13" ht="18" hidden="1" outlineLevel="3" x14ac:dyDescent="0.35">
      <c r="B27" s="114">
        <f t="shared" si="0"/>
        <v>2.1099999999999977</v>
      </c>
      <c r="C27" s="50" t="s">
        <v>31</v>
      </c>
      <c r="D27" s="36">
        <f>ROUNDUP(51.33*0.2*1.5/3,0)</f>
        <v>6</v>
      </c>
      <c r="E27" s="37" t="s">
        <v>30</v>
      </c>
      <c r="F27" s="36"/>
      <c r="G27" s="34">
        <f t="shared" si="1"/>
        <v>0</v>
      </c>
      <c r="H27" s="101"/>
      <c r="M27" s="148">
        <v>20700</v>
      </c>
    </row>
    <row r="28" spans="2:13" outlineLevel="2" x14ac:dyDescent="0.25">
      <c r="B28" s="155"/>
      <c r="C28" s="106"/>
      <c r="D28" s="105"/>
      <c r="E28" s="105"/>
      <c r="F28" s="105"/>
      <c r="G28" s="105"/>
      <c r="H28" s="105"/>
    </row>
    <row r="29" spans="2:13" ht="18" outlineLevel="2" collapsed="1" x14ac:dyDescent="0.25">
      <c r="B29" s="154">
        <f>+B16+1</f>
        <v>3</v>
      </c>
      <c r="C29" s="93" t="s">
        <v>32</v>
      </c>
      <c r="D29" s="94"/>
      <c r="E29" s="95"/>
      <c r="F29" s="96"/>
      <c r="G29" s="97"/>
      <c r="H29" s="103">
        <f>SUBTOTAL(9,G29:G34)</f>
        <v>0</v>
      </c>
    </row>
    <row r="30" spans="2:13" s="110" customFormat="1" ht="19.5" hidden="1" customHeight="1" outlineLevel="3" x14ac:dyDescent="0.35">
      <c r="B30" s="114">
        <f t="shared" ref="B30:B33" si="2">+B29+0.01</f>
        <v>3.01</v>
      </c>
      <c r="C30" s="108" t="s">
        <v>241</v>
      </c>
      <c r="D30" s="36">
        <v>251.59</v>
      </c>
      <c r="E30" s="37" t="s">
        <v>19</v>
      </c>
      <c r="F30" s="38"/>
      <c r="G30" s="109">
        <f>ROUND(D30*F30,2)</f>
        <v>0</v>
      </c>
      <c r="H30" s="112"/>
      <c r="M30" s="150"/>
    </row>
    <row r="31" spans="2:13" s="110" customFormat="1" ht="18" hidden="1" outlineLevel="3" x14ac:dyDescent="0.35">
      <c r="B31" s="114">
        <f t="shared" si="2"/>
        <v>3.0199999999999996</v>
      </c>
      <c r="C31" s="108" t="s">
        <v>35</v>
      </c>
      <c r="D31" s="36">
        <v>105.5</v>
      </c>
      <c r="E31" s="37" t="s">
        <v>7</v>
      </c>
      <c r="F31" s="38"/>
      <c r="G31" s="109">
        <f t="shared" ref="G31:G33" si="3">ROUND(D31*F31,2)</f>
        <v>0</v>
      </c>
      <c r="H31" s="112"/>
      <c r="M31" s="150"/>
    </row>
    <row r="32" spans="2:13" s="110" customFormat="1" ht="18" hidden="1" outlineLevel="3" x14ac:dyDescent="0.35">
      <c r="B32" s="114">
        <f t="shared" si="2"/>
        <v>3.0299999999999994</v>
      </c>
      <c r="C32" s="108" t="s">
        <v>45</v>
      </c>
      <c r="D32" s="36">
        <f>16.11*2.6</f>
        <v>41.886000000000003</v>
      </c>
      <c r="E32" s="37" t="s">
        <v>19</v>
      </c>
      <c r="F32" s="38"/>
      <c r="G32" s="109">
        <f t="shared" si="3"/>
        <v>0</v>
      </c>
      <c r="H32" s="112"/>
      <c r="M32" s="150"/>
    </row>
    <row r="33" spans="2:14" s="110" customFormat="1" ht="18" hidden="1" outlineLevel="3" x14ac:dyDescent="0.35">
      <c r="B33" s="114">
        <f t="shared" si="2"/>
        <v>3.0399999999999991</v>
      </c>
      <c r="C33" s="108" t="s">
        <v>62</v>
      </c>
      <c r="D33" s="36">
        <v>10.17</v>
      </c>
      <c r="E33" s="37" t="s">
        <v>19</v>
      </c>
      <c r="F33" s="38"/>
      <c r="G33" s="109">
        <f t="shared" si="3"/>
        <v>0</v>
      </c>
      <c r="H33" s="112"/>
      <c r="M33" s="150"/>
    </row>
    <row r="34" spans="2:14" outlineLevel="2" x14ac:dyDescent="0.25">
      <c r="B34" s="155"/>
      <c r="C34" s="106"/>
      <c r="D34" s="105"/>
      <c r="E34" s="105"/>
      <c r="F34" s="105"/>
      <c r="G34" s="105"/>
      <c r="H34" s="105"/>
    </row>
    <row r="35" spans="2:14" ht="18" outlineLevel="2" collapsed="1" x14ac:dyDescent="0.25">
      <c r="B35" s="154">
        <f>+B29+1</f>
        <v>4</v>
      </c>
      <c r="C35" s="93" t="s">
        <v>33</v>
      </c>
      <c r="D35" s="94"/>
      <c r="E35" s="95"/>
      <c r="F35" s="96"/>
      <c r="G35" s="97"/>
      <c r="H35" s="103">
        <f>SUBTOTAL(9,G35:G37)</f>
        <v>0</v>
      </c>
    </row>
    <row r="36" spans="2:14" s="110" customFormat="1" ht="18" hidden="1" outlineLevel="3" x14ac:dyDescent="0.35">
      <c r="B36" s="114">
        <f t="shared" ref="B36" si="4">+B35+0.01</f>
        <v>4.01</v>
      </c>
      <c r="C36" s="108" t="s">
        <v>34</v>
      </c>
      <c r="D36" s="36">
        <v>251.59</v>
      </c>
      <c r="E36" s="37" t="s">
        <v>19</v>
      </c>
      <c r="F36" s="38"/>
      <c r="G36" s="109">
        <f>ROUND(D36*F36,2)</f>
        <v>0</v>
      </c>
      <c r="H36" s="112"/>
      <c r="M36" s="150"/>
    </row>
    <row r="37" spans="2:14" outlineLevel="2" x14ac:dyDescent="0.25">
      <c r="B37" s="155"/>
      <c r="C37" s="106"/>
      <c r="D37" s="105"/>
      <c r="E37" s="105"/>
      <c r="F37" s="105"/>
      <c r="G37" s="105"/>
      <c r="H37" s="105"/>
    </row>
    <row r="38" spans="2:14" ht="18" outlineLevel="2" collapsed="1" x14ac:dyDescent="0.25">
      <c r="B38" s="154">
        <f>+B35+1</f>
        <v>5</v>
      </c>
      <c r="C38" s="93" t="s">
        <v>58</v>
      </c>
      <c r="D38" s="94"/>
      <c r="E38" s="95"/>
      <c r="F38" s="96"/>
      <c r="G38" s="97"/>
      <c r="H38" s="103">
        <f>SUBTOTAL(9,G38:G44)</f>
        <v>0</v>
      </c>
    </row>
    <row r="39" spans="2:14" s="110" customFormat="1" ht="18" hidden="1" outlineLevel="3" x14ac:dyDescent="0.35">
      <c r="B39" s="114">
        <f t="shared" ref="B39:B43" si="5">+B38+0.01</f>
        <v>5.01</v>
      </c>
      <c r="C39" s="108" t="s">
        <v>36</v>
      </c>
      <c r="D39" s="36">
        <v>4</v>
      </c>
      <c r="E39" s="37" t="s">
        <v>8</v>
      </c>
      <c r="F39" s="111"/>
      <c r="G39" s="109">
        <f>ROUND(D39*F39,2)</f>
        <v>0</v>
      </c>
      <c r="H39" s="112"/>
      <c r="M39" s="150"/>
    </row>
    <row r="40" spans="2:14" s="110" customFormat="1" ht="18" hidden="1" outlineLevel="3" x14ac:dyDescent="0.35">
      <c r="B40" s="114">
        <f t="shared" si="5"/>
        <v>5.0199999999999996</v>
      </c>
      <c r="C40" s="108" t="s">
        <v>37</v>
      </c>
      <c r="D40" s="36">
        <v>3</v>
      </c>
      <c r="E40" s="37" t="s">
        <v>8</v>
      </c>
      <c r="F40" s="111"/>
      <c r="G40" s="109">
        <f t="shared" ref="G40:G43" si="6">ROUND(D40*F40,2)</f>
        <v>0</v>
      </c>
      <c r="H40" s="112"/>
      <c r="M40" s="150"/>
    </row>
    <row r="41" spans="2:14" s="110" customFormat="1" ht="18" hidden="1" outlineLevel="3" x14ac:dyDescent="0.35">
      <c r="B41" s="114">
        <f t="shared" si="5"/>
        <v>5.0299999999999994</v>
      </c>
      <c r="C41" s="108" t="s">
        <v>38</v>
      </c>
      <c r="D41" s="36">
        <v>1</v>
      </c>
      <c r="E41" s="37" t="s">
        <v>8</v>
      </c>
      <c r="F41" s="111"/>
      <c r="G41" s="109">
        <f t="shared" si="6"/>
        <v>0</v>
      </c>
      <c r="H41" s="112"/>
      <c r="M41" s="150"/>
    </row>
    <row r="42" spans="2:14" s="110" customFormat="1" ht="18" hidden="1" outlineLevel="3" x14ac:dyDescent="0.35">
      <c r="B42" s="114">
        <f t="shared" si="5"/>
        <v>5.0399999999999991</v>
      </c>
      <c r="C42" s="108" t="s">
        <v>46</v>
      </c>
      <c r="D42" s="36">
        <v>2</v>
      </c>
      <c r="E42" s="37" t="s">
        <v>8</v>
      </c>
      <c r="F42" s="111"/>
      <c r="G42" s="109">
        <f t="shared" si="6"/>
        <v>0</v>
      </c>
      <c r="H42" s="112"/>
      <c r="M42" s="150"/>
    </row>
    <row r="43" spans="2:14" s="110" customFormat="1" ht="18" hidden="1" outlineLevel="3" x14ac:dyDescent="0.35">
      <c r="B43" s="114">
        <f t="shared" si="5"/>
        <v>5.0499999999999989</v>
      </c>
      <c r="C43" s="108" t="s">
        <v>47</v>
      </c>
      <c r="D43" s="36">
        <v>2</v>
      </c>
      <c r="E43" s="37" t="s">
        <v>8</v>
      </c>
      <c r="F43" s="111"/>
      <c r="G43" s="109">
        <f t="shared" si="6"/>
        <v>0</v>
      </c>
      <c r="H43" s="112"/>
      <c r="M43" s="150"/>
    </row>
    <row r="44" spans="2:14" outlineLevel="2" x14ac:dyDescent="0.25">
      <c r="B44" s="155"/>
      <c r="C44" s="106"/>
      <c r="D44" s="105"/>
      <c r="E44" s="105"/>
      <c r="F44" s="105"/>
      <c r="G44" s="105"/>
      <c r="H44" s="105"/>
    </row>
    <row r="45" spans="2:14" ht="18" outlineLevel="2" collapsed="1" x14ac:dyDescent="0.25">
      <c r="B45" s="154">
        <f>+B38+1</f>
        <v>6</v>
      </c>
      <c r="C45" s="93" t="s">
        <v>39</v>
      </c>
      <c r="D45" s="94"/>
      <c r="E45" s="95"/>
      <c r="F45" s="96"/>
      <c r="G45" s="97"/>
      <c r="H45" s="103">
        <f>SUBTOTAL(9,G45:G48)</f>
        <v>0</v>
      </c>
      <c r="N45" s="148"/>
    </row>
    <row r="46" spans="2:14" s="110" customFormat="1" ht="18" hidden="1" outlineLevel="3" x14ac:dyDescent="0.35">
      <c r="B46" s="114">
        <f t="shared" ref="B46" si="7">+B45+0.01</f>
        <v>6.01</v>
      </c>
      <c r="C46" s="108" t="s">
        <v>40</v>
      </c>
      <c r="D46" s="36">
        <f>8.36*2.6</f>
        <v>21.736000000000001</v>
      </c>
      <c r="E46" s="37" t="s">
        <v>43</v>
      </c>
      <c r="F46" s="111"/>
      <c r="G46" s="109">
        <f>ROUND(D46*F46,2)</f>
        <v>0</v>
      </c>
      <c r="H46" s="112"/>
      <c r="M46" s="150"/>
    </row>
    <row r="47" spans="2:14" ht="18" outlineLevel="2" x14ac:dyDescent="0.35">
      <c r="B47" s="155"/>
      <c r="C47" s="106"/>
      <c r="D47" s="105"/>
      <c r="E47" s="105"/>
      <c r="F47" s="27"/>
      <c r="G47" s="34"/>
      <c r="H47" s="104"/>
    </row>
    <row r="48" spans="2:14" ht="18" outlineLevel="2" collapsed="1" x14ac:dyDescent="0.25">
      <c r="B48" s="154">
        <f>+B45+1</f>
        <v>7</v>
      </c>
      <c r="C48" s="93" t="s">
        <v>41</v>
      </c>
      <c r="D48" s="94"/>
      <c r="E48" s="95"/>
      <c r="F48" s="96"/>
      <c r="G48" s="97"/>
      <c r="H48" s="103">
        <f>SUBTOTAL(9,G48:G50)</f>
        <v>0</v>
      </c>
    </row>
    <row r="49" spans="2:13" s="110" customFormat="1" ht="18" hidden="1" outlineLevel="3" x14ac:dyDescent="0.35">
      <c r="B49" s="114">
        <f t="shared" ref="B49:B50" si="8">+B48+0.01</f>
        <v>7.01</v>
      </c>
      <c r="C49" s="108" t="s">
        <v>237</v>
      </c>
      <c r="D49" s="36">
        <f>52.6*2.6</f>
        <v>136.76000000000002</v>
      </c>
      <c r="E49" s="37" t="s">
        <v>43</v>
      </c>
      <c r="F49" s="111"/>
      <c r="G49" s="109">
        <f>ROUND(D49*F49,2)</f>
        <v>0</v>
      </c>
      <c r="H49" s="112"/>
      <c r="M49" s="150"/>
    </row>
    <row r="50" spans="2:13" s="110" customFormat="1" ht="18" hidden="1" outlineLevel="3" x14ac:dyDescent="0.35">
      <c r="B50" s="114">
        <f t="shared" si="8"/>
        <v>7.02</v>
      </c>
      <c r="C50" s="108" t="s">
        <v>44</v>
      </c>
      <c r="D50" s="36">
        <v>11</v>
      </c>
      <c r="E50" s="37" t="s">
        <v>8</v>
      </c>
      <c r="F50" s="111"/>
      <c r="G50" s="109">
        <f t="shared" ref="G50" si="9">ROUND(D50*F50,2)</f>
        <v>0</v>
      </c>
      <c r="H50" s="112"/>
      <c r="M50" s="150"/>
    </row>
    <row r="51" spans="2:13" s="110" customFormat="1" ht="18" outlineLevel="2" x14ac:dyDescent="0.35">
      <c r="B51" s="114"/>
      <c r="C51" s="108"/>
      <c r="D51" s="36"/>
      <c r="E51" s="37"/>
      <c r="F51" s="111"/>
      <c r="G51" s="109"/>
      <c r="H51" s="112"/>
      <c r="M51" s="150"/>
    </row>
    <row r="52" spans="2:13" ht="18" outlineLevel="2" collapsed="1" x14ac:dyDescent="0.25">
      <c r="B52" s="154">
        <f>+B48+1</f>
        <v>8</v>
      </c>
      <c r="C52" s="93" t="s">
        <v>67</v>
      </c>
      <c r="D52" s="94"/>
      <c r="E52" s="95"/>
      <c r="F52" s="96"/>
      <c r="G52" s="97"/>
      <c r="H52" s="103">
        <f>SUBTOTAL(9,G52:G53)</f>
        <v>0</v>
      </c>
    </row>
    <row r="53" spans="2:13" s="110" customFormat="1" ht="18" hidden="1" outlineLevel="3" x14ac:dyDescent="0.35">
      <c r="B53" s="114">
        <f t="shared" ref="B53" si="10">+B52+0.01</f>
        <v>8.01</v>
      </c>
      <c r="C53" s="108" t="s">
        <v>68</v>
      </c>
      <c r="D53" s="36">
        <f>251.59*2.6</f>
        <v>654.13400000000001</v>
      </c>
      <c r="E53" s="37" t="s">
        <v>19</v>
      </c>
      <c r="F53" s="111"/>
      <c r="G53" s="109">
        <f>ROUND(D53*F53,2)</f>
        <v>0</v>
      </c>
      <c r="H53" s="112"/>
      <c r="M53" s="150"/>
    </row>
    <row r="54" spans="2:13" s="110" customFormat="1" ht="18" outlineLevel="2" x14ac:dyDescent="0.35">
      <c r="B54" s="114"/>
      <c r="C54" s="108"/>
      <c r="D54" s="36"/>
      <c r="E54" s="37"/>
      <c r="F54" s="111"/>
      <c r="G54" s="109"/>
      <c r="H54" s="112"/>
      <c r="M54" s="150"/>
    </row>
    <row r="55" spans="2:13" ht="18" outlineLevel="1" x14ac:dyDescent="0.35">
      <c r="B55" s="115"/>
      <c r="C55" s="116" t="s">
        <v>59</v>
      </c>
      <c r="D55" s="117"/>
      <c r="E55" s="118"/>
      <c r="F55" s="119"/>
      <c r="G55" s="120"/>
      <c r="H55" s="121"/>
    </row>
    <row r="56" spans="2:13" ht="18" outlineLevel="2" x14ac:dyDescent="0.35">
      <c r="B56" s="122"/>
      <c r="C56" s="123"/>
      <c r="D56" s="124"/>
      <c r="E56" s="125"/>
      <c r="F56" s="126"/>
      <c r="G56" s="127"/>
      <c r="H56" s="128"/>
    </row>
    <row r="57" spans="2:13" ht="18" outlineLevel="2" collapsed="1" x14ac:dyDescent="0.25">
      <c r="B57" s="154">
        <f>+B52+1</f>
        <v>9</v>
      </c>
      <c r="C57" s="93" t="s">
        <v>17</v>
      </c>
      <c r="D57" s="94"/>
      <c r="E57" s="95"/>
      <c r="F57" s="96"/>
      <c r="G57" s="97"/>
      <c r="H57" s="103">
        <f>SUBTOTAL(9,G57:G60)</f>
        <v>0</v>
      </c>
    </row>
    <row r="58" spans="2:13" s="110" customFormat="1" ht="18" hidden="1" outlineLevel="3" x14ac:dyDescent="0.35">
      <c r="B58" s="114">
        <f t="shared" ref="B58:B59" si="11">+B57+0.01</f>
        <v>9.01</v>
      </c>
      <c r="C58" s="108" t="s">
        <v>18</v>
      </c>
      <c r="D58" s="36">
        <v>251.59</v>
      </c>
      <c r="E58" s="37" t="s">
        <v>19</v>
      </c>
      <c r="F58" s="38"/>
      <c r="G58" s="109">
        <f>ROUND(D58*F58,2)</f>
        <v>0</v>
      </c>
      <c r="H58" s="112"/>
      <c r="M58" s="150"/>
    </row>
    <row r="59" spans="2:13" s="110" customFormat="1" ht="18" hidden="1" outlineLevel="3" x14ac:dyDescent="0.35">
      <c r="B59" s="114">
        <f t="shared" si="11"/>
        <v>9.02</v>
      </c>
      <c r="C59" s="108" t="s">
        <v>161</v>
      </c>
      <c r="D59" s="36">
        <v>1</v>
      </c>
      <c r="E59" s="37" t="s">
        <v>111</v>
      </c>
      <c r="F59" s="38"/>
      <c r="G59" s="109">
        <v>0</v>
      </c>
      <c r="H59" s="112"/>
      <c r="M59" s="150"/>
    </row>
    <row r="60" spans="2:13" ht="18" outlineLevel="2" x14ac:dyDescent="0.35">
      <c r="B60" s="100"/>
      <c r="C60" s="50"/>
      <c r="D60" s="36"/>
      <c r="E60" s="40"/>
      <c r="F60" s="36"/>
      <c r="G60" s="34"/>
      <c r="H60" s="101"/>
    </row>
    <row r="61" spans="2:13" ht="18" outlineLevel="2" collapsed="1" x14ac:dyDescent="0.25">
      <c r="B61" s="154">
        <f>+B57+1</f>
        <v>10</v>
      </c>
      <c r="C61" s="93" t="s">
        <v>16</v>
      </c>
      <c r="D61" s="94"/>
      <c r="E61" s="95"/>
      <c r="F61" s="96"/>
      <c r="G61" s="97"/>
      <c r="H61" s="103">
        <f>SUBTOTAL(9,G61:G70)</f>
        <v>0</v>
      </c>
    </row>
    <row r="62" spans="2:13" s="110" customFormat="1" ht="18" hidden="1" outlineLevel="3" x14ac:dyDescent="0.35">
      <c r="B62" s="114">
        <f t="shared" ref="B62:B70" si="12">+B61+0.01</f>
        <v>10.01</v>
      </c>
      <c r="C62" s="108" t="s">
        <v>21</v>
      </c>
      <c r="D62" s="36">
        <f>7.34*2.55</f>
        <v>18.716999999999999</v>
      </c>
      <c r="E62" s="37" t="s">
        <v>19</v>
      </c>
      <c r="F62" s="38"/>
      <c r="G62" s="109">
        <f>ROUND(D62*F62,2)</f>
        <v>0</v>
      </c>
      <c r="H62" s="112"/>
      <c r="M62" s="150"/>
    </row>
    <row r="63" spans="2:13" s="110" customFormat="1" ht="18" hidden="1" outlineLevel="3" x14ac:dyDescent="0.35">
      <c r="B63" s="114">
        <f t="shared" si="12"/>
        <v>10.02</v>
      </c>
      <c r="C63" s="108" t="s">
        <v>22</v>
      </c>
      <c r="D63" s="36">
        <f>7.09*2.55</f>
        <v>18.079499999999999</v>
      </c>
      <c r="E63" s="37" t="s">
        <v>19</v>
      </c>
      <c r="F63" s="38"/>
      <c r="G63" s="109">
        <f t="shared" ref="G63:G70" si="13">ROUND(D63*F63,2)</f>
        <v>0</v>
      </c>
      <c r="H63" s="112"/>
      <c r="M63" s="150"/>
    </row>
    <row r="64" spans="2:13" ht="18" hidden="1" outlineLevel="3" x14ac:dyDescent="0.35">
      <c r="B64" s="114">
        <f t="shared" si="12"/>
        <v>10.029999999999999</v>
      </c>
      <c r="C64" s="50" t="s">
        <v>24</v>
      </c>
      <c r="D64" s="36">
        <v>3</v>
      </c>
      <c r="E64" s="37" t="s">
        <v>8</v>
      </c>
      <c r="F64" s="38"/>
      <c r="G64" s="34">
        <f t="shared" si="13"/>
        <v>0</v>
      </c>
      <c r="H64" s="138"/>
    </row>
    <row r="65" spans="2:13" ht="18" hidden="1" outlineLevel="3" x14ac:dyDescent="0.35">
      <c r="B65" s="114">
        <f t="shared" si="12"/>
        <v>10.039999999999999</v>
      </c>
      <c r="C65" s="50" t="s">
        <v>23</v>
      </c>
      <c r="D65" s="36">
        <v>3</v>
      </c>
      <c r="E65" s="37" t="s">
        <v>8</v>
      </c>
      <c r="F65" s="36"/>
      <c r="G65" s="34">
        <f t="shared" ref="G65" si="14">ROUND(D65*F65,2)</f>
        <v>0</v>
      </c>
      <c r="H65" s="101"/>
    </row>
    <row r="66" spans="2:13" ht="18" hidden="1" outlineLevel="3" x14ac:dyDescent="0.35">
      <c r="B66" s="114">
        <f t="shared" si="12"/>
        <v>10.049999999999999</v>
      </c>
      <c r="C66" s="50" t="s">
        <v>60</v>
      </c>
      <c r="D66" s="36">
        <v>1</v>
      </c>
      <c r="E66" s="37" t="s">
        <v>8</v>
      </c>
      <c r="F66" s="36"/>
      <c r="G66" s="34">
        <f t="shared" si="13"/>
        <v>0</v>
      </c>
      <c r="H66" s="101"/>
    </row>
    <row r="67" spans="2:13" ht="18" hidden="1" outlineLevel="3" x14ac:dyDescent="0.35">
      <c r="B67" s="114">
        <f t="shared" si="12"/>
        <v>10.059999999999999</v>
      </c>
      <c r="C67" s="50" t="s">
        <v>26</v>
      </c>
      <c r="D67" s="36">
        <v>3</v>
      </c>
      <c r="E67" s="37" t="s">
        <v>8</v>
      </c>
      <c r="F67" s="36"/>
      <c r="G67" s="34">
        <f t="shared" ref="G67:G68" si="15">ROUND(D67*F67,2)</f>
        <v>0</v>
      </c>
      <c r="H67" s="101"/>
    </row>
    <row r="68" spans="2:13" ht="18" hidden="1" outlineLevel="3" x14ac:dyDescent="0.35">
      <c r="B68" s="114">
        <f t="shared" si="12"/>
        <v>10.069999999999999</v>
      </c>
      <c r="C68" s="50" t="s">
        <v>27</v>
      </c>
      <c r="D68" s="36">
        <v>3</v>
      </c>
      <c r="E68" s="37" t="s">
        <v>8</v>
      </c>
      <c r="F68" s="36"/>
      <c r="G68" s="34">
        <f t="shared" si="15"/>
        <v>0</v>
      </c>
      <c r="H68" s="101"/>
    </row>
    <row r="69" spans="2:13" s="110" customFormat="1" ht="18" hidden="1" outlineLevel="3" x14ac:dyDescent="0.35">
      <c r="B69" s="114">
        <f t="shared" si="12"/>
        <v>10.079999999999998</v>
      </c>
      <c r="C69" s="108" t="s">
        <v>29</v>
      </c>
      <c r="D69" s="36">
        <v>1</v>
      </c>
      <c r="E69" s="37" t="s">
        <v>8</v>
      </c>
      <c r="F69" s="36"/>
      <c r="G69" s="109">
        <f t="shared" si="13"/>
        <v>0</v>
      </c>
      <c r="H69" s="129"/>
      <c r="M69" s="150"/>
    </row>
    <row r="70" spans="2:13" ht="18" hidden="1" outlineLevel="3" x14ac:dyDescent="0.35">
      <c r="B70" s="114">
        <f t="shared" si="12"/>
        <v>10.089999999999998</v>
      </c>
      <c r="C70" s="50" t="s">
        <v>31</v>
      </c>
      <c r="D70" s="36">
        <f>ROUNDUP(18.72*0.2*1.5/3,0)</f>
        <v>2</v>
      </c>
      <c r="E70" s="37" t="s">
        <v>30</v>
      </c>
      <c r="F70" s="36"/>
      <c r="G70" s="34">
        <f t="shared" si="13"/>
        <v>0</v>
      </c>
      <c r="H70" s="101"/>
    </row>
    <row r="71" spans="2:13" outlineLevel="2" x14ac:dyDescent="0.25">
      <c r="B71" s="155"/>
      <c r="C71" s="106"/>
      <c r="D71" s="105"/>
      <c r="E71" s="105"/>
      <c r="F71" s="105"/>
      <c r="G71" s="105"/>
      <c r="H71" s="105"/>
    </row>
    <row r="72" spans="2:13" ht="18" outlineLevel="2" collapsed="1" x14ac:dyDescent="0.25">
      <c r="B72" s="154">
        <f>+B61+1</f>
        <v>11</v>
      </c>
      <c r="C72" s="93" t="s">
        <v>32</v>
      </c>
      <c r="D72" s="94"/>
      <c r="E72" s="95"/>
      <c r="F72" s="96"/>
      <c r="G72" s="97"/>
      <c r="H72" s="103">
        <f>SUBTOTAL(9,G72:G78)</f>
        <v>0</v>
      </c>
    </row>
    <row r="73" spans="2:13" s="110" customFormat="1" ht="18" hidden="1" outlineLevel="3" x14ac:dyDescent="0.35">
      <c r="B73" s="114">
        <f t="shared" ref="B73:B77" si="16">+B72+0.01</f>
        <v>11.01</v>
      </c>
      <c r="C73" s="108" t="s">
        <v>64</v>
      </c>
      <c r="D73" s="36">
        <v>251.59</v>
      </c>
      <c r="E73" s="37" t="s">
        <v>19</v>
      </c>
      <c r="F73" s="38"/>
      <c r="G73" s="109">
        <f>ROUND(D73*F73,2)</f>
        <v>0</v>
      </c>
      <c r="H73" s="112"/>
      <c r="M73" s="150"/>
    </row>
    <row r="74" spans="2:13" s="110" customFormat="1" ht="18" hidden="1" outlineLevel="3" x14ac:dyDescent="0.35">
      <c r="B74" s="114">
        <f t="shared" si="16"/>
        <v>11.02</v>
      </c>
      <c r="C74" s="108" t="s">
        <v>63</v>
      </c>
      <c r="D74" s="36">
        <v>45.71</v>
      </c>
      <c r="E74" s="37" t="s">
        <v>19</v>
      </c>
      <c r="F74" s="38"/>
      <c r="G74" s="109">
        <f>ROUND(D74*F74,2)</f>
        <v>0</v>
      </c>
      <c r="H74" s="112"/>
      <c r="M74" s="150"/>
    </row>
    <row r="75" spans="2:13" s="110" customFormat="1" ht="18" hidden="1" outlineLevel="3" x14ac:dyDescent="0.35">
      <c r="B75" s="114">
        <f t="shared" si="16"/>
        <v>11.03</v>
      </c>
      <c r="C75" s="108" t="s">
        <v>35</v>
      </c>
      <c r="D75" s="36">
        <v>33.01</v>
      </c>
      <c r="E75" s="37" t="s">
        <v>7</v>
      </c>
      <c r="F75" s="38"/>
      <c r="G75" s="109">
        <f t="shared" ref="G75:G76" si="17">ROUND(D75*F75,2)</f>
        <v>0</v>
      </c>
      <c r="H75" s="112"/>
      <c r="M75" s="150"/>
    </row>
    <row r="76" spans="2:13" s="110" customFormat="1" ht="18" hidden="1" outlineLevel="3" x14ac:dyDescent="0.35">
      <c r="B76" s="114">
        <f t="shared" si="16"/>
        <v>11.04</v>
      </c>
      <c r="C76" s="108" t="s">
        <v>66</v>
      </c>
      <c r="D76" s="36">
        <f>13.94*2.6</f>
        <v>36.244</v>
      </c>
      <c r="E76" s="37" t="s">
        <v>19</v>
      </c>
      <c r="F76" s="38"/>
      <c r="G76" s="109">
        <f t="shared" si="17"/>
        <v>0</v>
      </c>
      <c r="H76" s="112"/>
      <c r="M76" s="150"/>
    </row>
    <row r="77" spans="2:13" s="110" customFormat="1" ht="18" hidden="1" outlineLevel="3" x14ac:dyDescent="0.35">
      <c r="B77" s="114">
        <f t="shared" si="16"/>
        <v>11.049999999999999</v>
      </c>
      <c r="C77" s="108" t="s">
        <v>65</v>
      </c>
      <c r="D77" s="36">
        <v>10.8</v>
      </c>
      <c r="E77" s="37" t="s">
        <v>19</v>
      </c>
      <c r="F77" s="38"/>
      <c r="G77" s="109">
        <f t="shared" ref="G77" si="18">ROUND(D77*F77,2)</f>
        <v>0</v>
      </c>
      <c r="H77" s="112"/>
      <c r="M77" s="150"/>
    </row>
    <row r="78" spans="2:13" outlineLevel="2" x14ac:dyDescent="0.25">
      <c r="B78" s="155"/>
      <c r="C78" s="106"/>
      <c r="D78" s="105"/>
      <c r="E78" s="105"/>
      <c r="F78" s="105"/>
      <c r="G78" s="105"/>
      <c r="H78" s="105"/>
    </row>
    <row r="79" spans="2:13" ht="18" outlineLevel="2" collapsed="1" x14ac:dyDescent="0.25">
      <c r="B79" s="154">
        <f>+B72+1</f>
        <v>12</v>
      </c>
      <c r="C79" s="93" t="s">
        <v>33</v>
      </c>
      <c r="D79" s="94"/>
      <c r="E79" s="95"/>
      <c r="F79" s="96"/>
      <c r="G79" s="97"/>
      <c r="H79" s="103">
        <f>SUBTOTAL(9,G79:G81)</f>
        <v>0</v>
      </c>
    </row>
    <row r="80" spans="2:13" s="110" customFormat="1" ht="18" hidden="1" outlineLevel="3" x14ac:dyDescent="0.35">
      <c r="B80" s="114">
        <f t="shared" ref="B80" si="19">+B79+0.01</f>
        <v>12.01</v>
      </c>
      <c r="C80" s="108" t="s">
        <v>34</v>
      </c>
      <c r="D80" s="36">
        <v>45.71</v>
      </c>
      <c r="E80" s="37" t="s">
        <v>19</v>
      </c>
      <c r="F80" s="38"/>
      <c r="G80" s="109">
        <f>ROUND(D80*F80,2)</f>
        <v>0</v>
      </c>
      <c r="H80" s="112"/>
      <c r="M80" s="150"/>
    </row>
    <row r="81" spans="2:13" outlineLevel="2" x14ac:dyDescent="0.25">
      <c r="B81" s="155"/>
      <c r="C81" s="106"/>
      <c r="D81" s="105"/>
      <c r="E81" s="105"/>
      <c r="F81" s="105"/>
      <c r="G81" s="105"/>
      <c r="H81" s="105"/>
    </row>
    <row r="82" spans="2:13" ht="18" outlineLevel="2" collapsed="1" x14ac:dyDescent="0.25">
      <c r="B82" s="154">
        <f>+B79+1</f>
        <v>13</v>
      </c>
      <c r="C82" s="93" t="s">
        <v>58</v>
      </c>
      <c r="D82" s="94"/>
      <c r="E82" s="95"/>
      <c r="F82" s="96"/>
      <c r="G82" s="97"/>
      <c r="H82" s="103">
        <f>SUBTOTAL(9,G82:G87)</f>
        <v>0</v>
      </c>
    </row>
    <row r="83" spans="2:13" s="110" customFormat="1" ht="18" hidden="1" outlineLevel="3" x14ac:dyDescent="0.35">
      <c r="B83" s="114">
        <f t="shared" ref="B83:B84" si="20">+B82+0.01</f>
        <v>13.01</v>
      </c>
      <c r="C83" s="108" t="s">
        <v>36</v>
      </c>
      <c r="D83" s="36">
        <v>3</v>
      </c>
      <c r="E83" s="37" t="s">
        <v>8</v>
      </c>
      <c r="F83" s="111"/>
      <c r="G83" s="109">
        <f>ROUND(D83*F83,2)</f>
        <v>0</v>
      </c>
      <c r="H83" s="112"/>
      <c r="M83" s="150"/>
    </row>
    <row r="84" spans="2:13" s="110" customFormat="1" ht="18" hidden="1" outlineLevel="3" x14ac:dyDescent="0.35">
      <c r="B84" s="114">
        <f t="shared" si="20"/>
        <v>13.02</v>
      </c>
      <c r="C84" s="108" t="s">
        <v>37</v>
      </c>
      <c r="D84" s="36">
        <v>3</v>
      </c>
      <c r="E84" s="37" t="s">
        <v>8</v>
      </c>
      <c r="F84" s="111"/>
      <c r="G84" s="109">
        <f t="shared" ref="G84:G86" si="21">ROUND(D84*F84,2)</f>
        <v>0</v>
      </c>
      <c r="H84" s="112"/>
      <c r="M84" s="150"/>
    </row>
    <row r="85" spans="2:13" s="110" customFormat="1" ht="18" hidden="1" outlineLevel="3" x14ac:dyDescent="0.35">
      <c r="B85" s="114">
        <f>+B84+0.01</f>
        <v>13.03</v>
      </c>
      <c r="C85" s="108" t="s">
        <v>46</v>
      </c>
      <c r="D85" s="36">
        <v>3</v>
      </c>
      <c r="E85" s="37" t="s">
        <v>8</v>
      </c>
      <c r="F85" s="111"/>
      <c r="G85" s="109">
        <f t="shared" ref="G85" si="22">ROUND(D85*F85,2)</f>
        <v>0</v>
      </c>
      <c r="H85" s="112"/>
      <c r="M85" s="150"/>
    </row>
    <row r="86" spans="2:13" s="110" customFormat="1" ht="18" hidden="1" outlineLevel="3" x14ac:dyDescent="0.35">
      <c r="B86" s="114">
        <f>+B85+0.01</f>
        <v>13.04</v>
      </c>
      <c r="C86" s="108" t="s">
        <v>47</v>
      </c>
      <c r="D86" s="36">
        <v>3</v>
      </c>
      <c r="E86" s="37" t="s">
        <v>8</v>
      </c>
      <c r="F86" s="111"/>
      <c r="G86" s="109">
        <f t="shared" si="21"/>
        <v>0</v>
      </c>
      <c r="H86" s="112"/>
      <c r="M86" s="150"/>
    </row>
    <row r="87" spans="2:13" outlineLevel="2" x14ac:dyDescent="0.25">
      <c r="B87" s="155"/>
      <c r="C87" s="106"/>
      <c r="D87" s="105"/>
      <c r="E87" s="105"/>
      <c r="F87" s="105"/>
      <c r="G87" s="105"/>
      <c r="H87" s="105"/>
    </row>
    <row r="88" spans="2:13" ht="18" outlineLevel="2" collapsed="1" x14ac:dyDescent="0.25">
      <c r="B88" s="154">
        <f>+B82+1</f>
        <v>14</v>
      </c>
      <c r="C88" s="93" t="s">
        <v>39</v>
      </c>
      <c r="D88" s="94"/>
      <c r="E88" s="95"/>
      <c r="F88" s="96"/>
      <c r="G88" s="97"/>
      <c r="H88" s="103">
        <f>SUBTOTAL(9,G88:G91)</f>
        <v>0</v>
      </c>
    </row>
    <row r="89" spans="2:13" s="110" customFormat="1" ht="18" hidden="1" outlineLevel="3" x14ac:dyDescent="0.35">
      <c r="B89" s="114">
        <f t="shared" ref="B89" si="23">+B88+0.01</f>
        <v>14.01</v>
      </c>
      <c r="C89" s="108" t="s">
        <v>40</v>
      </c>
      <c r="D89" s="36"/>
      <c r="E89" s="37" t="s">
        <v>43</v>
      </c>
      <c r="F89" s="111"/>
      <c r="G89" s="109">
        <f>ROUND(D89*F89,2)</f>
        <v>0</v>
      </c>
      <c r="H89" s="112"/>
      <c r="M89" s="150"/>
    </row>
    <row r="90" spans="2:13" ht="18" outlineLevel="2" x14ac:dyDescent="0.35">
      <c r="B90" s="155"/>
      <c r="C90" s="106"/>
      <c r="D90" s="105"/>
      <c r="E90" s="105"/>
      <c r="F90" s="27"/>
      <c r="G90" s="34"/>
      <c r="H90" s="104"/>
    </row>
    <row r="91" spans="2:13" ht="18" outlineLevel="2" collapsed="1" x14ac:dyDescent="0.25">
      <c r="B91" s="154">
        <f>+B88+1</f>
        <v>15</v>
      </c>
      <c r="C91" s="93" t="s">
        <v>41</v>
      </c>
      <c r="D91" s="94"/>
      <c r="E91" s="95"/>
      <c r="F91" s="96"/>
      <c r="G91" s="97"/>
      <c r="H91" s="103">
        <f>SUBTOTAL(9,G91:G93)</f>
        <v>0</v>
      </c>
    </row>
    <row r="92" spans="2:13" s="110" customFormat="1" ht="18" hidden="1" outlineLevel="3" x14ac:dyDescent="0.35">
      <c r="B92" s="114">
        <f t="shared" ref="B92:B93" si="24">+B91+0.01</f>
        <v>15.01</v>
      </c>
      <c r="C92" s="108" t="s">
        <v>237</v>
      </c>
      <c r="D92" s="36">
        <f>8.67*2.6</f>
        <v>22.542000000000002</v>
      </c>
      <c r="E92" s="37" t="s">
        <v>43</v>
      </c>
      <c r="F92" s="111"/>
      <c r="G92" s="109">
        <f>ROUND(D92*F92,2)</f>
        <v>0</v>
      </c>
      <c r="H92" s="112"/>
      <c r="M92" s="150"/>
    </row>
    <row r="93" spans="2:13" s="110" customFormat="1" ht="18" hidden="1" outlineLevel="3" x14ac:dyDescent="0.35">
      <c r="B93" s="114">
        <f t="shared" si="24"/>
        <v>15.02</v>
      </c>
      <c r="C93" s="108" t="s">
        <v>44</v>
      </c>
      <c r="D93" s="36">
        <v>4</v>
      </c>
      <c r="E93" s="37" t="s">
        <v>8</v>
      </c>
      <c r="F93" s="111"/>
      <c r="G93" s="109">
        <f t="shared" ref="G93" si="25">ROUND(D93*F93,2)</f>
        <v>0</v>
      </c>
      <c r="H93" s="112"/>
      <c r="M93" s="150"/>
    </row>
    <row r="94" spans="2:13" outlineLevel="2" x14ac:dyDescent="0.25">
      <c r="B94" s="155"/>
      <c r="C94" s="106"/>
      <c r="D94" s="105"/>
      <c r="E94" s="105"/>
      <c r="F94" s="105"/>
      <c r="G94" s="105"/>
      <c r="H94" s="105"/>
    </row>
    <row r="95" spans="2:13" ht="18" outlineLevel="2" collapsed="1" x14ac:dyDescent="0.25">
      <c r="B95" s="154">
        <f>+B91+1</f>
        <v>16</v>
      </c>
      <c r="C95" s="93" t="s">
        <v>67</v>
      </c>
      <c r="D95" s="94"/>
      <c r="E95" s="95"/>
      <c r="F95" s="96"/>
      <c r="G95" s="97"/>
      <c r="H95" s="103">
        <f>SUBTOTAL(9,G95:G191)</f>
        <v>0</v>
      </c>
    </row>
    <row r="96" spans="2:13" s="110" customFormat="1" ht="18" hidden="1" outlineLevel="3" x14ac:dyDescent="0.35">
      <c r="B96" s="114">
        <f t="shared" ref="B96:B97" si="26">+B95+0.01</f>
        <v>16.010000000000002</v>
      </c>
      <c r="C96" s="108" t="s">
        <v>68</v>
      </c>
      <c r="D96" s="36">
        <f>17.91*0.8+160.1*2.55</f>
        <v>422.58299999999991</v>
      </c>
      <c r="E96" s="37" t="s">
        <v>19</v>
      </c>
      <c r="F96" s="111"/>
      <c r="G96" s="109">
        <f>ROUND(D96*F96,2)</f>
        <v>0</v>
      </c>
      <c r="H96" s="112"/>
      <c r="M96" s="150"/>
    </row>
    <row r="97" spans="2:13" s="110" customFormat="1" ht="18" hidden="1" outlineLevel="3" x14ac:dyDescent="0.35">
      <c r="B97" s="114">
        <f t="shared" si="26"/>
        <v>16.020000000000003</v>
      </c>
      <c r="C97" s="108" t="s">
        <v>69</v>
      </c>
      <c r="D97" s="36">
        <v>76.81</v>
      </c>
      <c r="E97" s="37" t="s">
        <v>19</v>
      </c>
      <c r="F97" s="111"/>
      <c r="G97" s="109">
        <f>ROUND(D97*F97,2)</f>
        <v>0</v>
      </c>
      <c r="H97" s="112"/>
      <c r="M97" s="150"/>
    </row>
    <row r="98" spans="2:13" outlineLevel="2" x14ac:dyDescent="0.25">
      <c r="B98" s="155"/>
      <c r="C98" s="106"/>
      <c r="D98" s="105"/>
      <c r="E98" s="105"/>
      <c r="F98" s="105"/>
      <c r="G98" s="105"/>
      <c r="H98" s="105"/>
    </row>
    <row r="99" spans="2:13" ht="18" outlineLevel="1" x14ac:dyDescent="0.35">
      <c r="B99" s="115"/>
      <c r="C99" s="116" t="s">
        <v>70</v>
      </c>
      <c r="D99" s="117"/>
      <c r="E99" s="118"/>
      <c r="F99" s="119"/>
      <c r="G99" s="120"/>
      <c r="H99" s="121"/>
    </row>
    <row r="100" spans="2:13" ht="18" outlineLevel="2" x14ac:dyDescent="0.35">
      <c r="B100" s="122"/>
      <c r="C100" s="123"/>
      <c r="D100" s="124"/>
      <c r="E100" s="125"/>
      <c r="F100" s="126"/>
      <c r="G100" s="127"/>
      <c r="H100" s="128"/>
    </row>
    <row r="101" spans="2:13" ht="18" outlineLevel="2" collapsed="1" x14ac:dyDescent="0.25">
      <c r="B101" s="154">
        <f>+B95+1</f>
        <v>17</v>
      </c>
      <c r="C101" s="93" t="s">
        <v>17</v>
      </c>
      <c r="D101" s="94"/>
      <c r="E101" s="95"/>
      <c r="F101" s="96"/>
      <c r="G101" s="97"/>
      <c r="H101" s="103">
        <f>SUBTOTAL(9,G101:G111)</f>
        <v>0</v>
      </c>
    </row>
    <row r="102" spans="2:13" s="110" customFormat="1" ht="18" hidden="1" outlineLevel="3" x14ac:dyDescent="0.35">
      <c r="B102" s="114">
        <f t="shared" ref="B102:B103" si="27">+B101+0.01</f>
        <v>17.010000000000002</v>
      </c>
      <c r="C102" s="108" t="s">
        <v>71</v>
      </c>
      <c r="D102" s="36">
        <v>204.43</v>
      </c>
      <c r="E102" s="37" t="s">
        <v>19</v>
      </c>
      <c r="F102" s="38"/>
      <c r="G102" s="109">
        <f>ROUND(D102*F102,2)</f>
        <v>0</v>
      </c>
      <c r="H102" s="112"/>
      <c r="M102" s="150"/>
    </row>
    <row r="103" spans="2:13" s="110" customFormat="1" ht="18" hidden="1" outlineLevel="3" x14ac:dyDescent="0.35">
      <c r="B103" s="114">
        <f t="shared" si="27"/>
        <v>17.020000000000003</v>
      </c>
      <c r="C103" s="108" t="s">
        <v>72</v>
      </c>
      <c r="D103" s="36">
        <v>204.43</v>
      </c>
      <c r="E103" s="37" t="s">
        <v>19</v>
      </c>
      <c r="F103" s="38"/>
      <c r="G103" s="109">
        <f>ROUND(D103*F103,2)</f>
        <v>0</v>
      </c>
      <c r="H103" s="112"/>
      <c r="M103" s="150"/>
    </row>
    <row r="104" spans="2:13" ht="18" outlineLevel="2" x14ac:dyDescent="0.35">
      <c r="B104" s="100"/>
      <c r="C104" s="50"/>
      <c r="D104" s="36"/>
      <c r="E104" s="40"/>
      <c r="F104" s="36"/>
      <c r="G104" s="34"/>
      <c r="H104" s="101"/>
    </row>
    <row r="105" spans="2:13" ht="18" outlineLevel="2" collapsed="1" x14ac:dyDescent="0.25">
      <c r="B105" s="154">
        <f>+B101+1</f>
        <v>18</v>
      </c>
      <c r="C105" s="93" t="s">
        <v>16</v>
      </c>
      <c r="D105" s="94"/>
      <c r="E105" s="95"/>
      <c r="F105" s="96"/>
      <c r="G105" s="97"/>
      <c r="H105" s="103">
        <f>SUBTOTAL(9,G105:G110)</f>
        <v>0</v>
      </c>
    </row>
    <row r="106" spans="2:13" s="110" customFormat="1" ht="18" hidden="1" outlineLevel="3" x14ac:dyDescent="0.35">
      <c r="B106" s="114">
        <f t="shared" ref="B106:B110" si="28">+B105+0.01</f>
        <v>18.010000000000002</v>
      </c>
      <c r="C106" s="108" t="s">
        <v>76</v>
      </c>
      <c r="D106" s="36">
        <f>8.13*3.1</f>
        <v>25.203000000000003</v>
      </c>
      <c r="E106" s="37" t="s">
        <v>19</v>
      </c>
      <c r="F106" s="38"/>
      <c r="G106" s="109">
        <f>ROUND(D106*F106,2)</f>
        <v>0</v>
      </c>
      <c r="H106" s="112"/>
      <c r="M106" s="150"/>
    </row>
    <row r="107" spans="2:13" s="110" customFormat="1" ht="18" hidden="1" outlineLevel="3" x14ac:dyDescent="0.35">
      <c r="B107" s="114">
        <f t="shared" si="28"/>
        <v>18.020000000000003</v>
      </c>
      <c r="C107" s="108" t="s">
        <v>77</v>
      </c>
      <c r="D107" s="36">
        <v>2</v>
      </c>
      <c r="E107" s="37" t="s">
        <v>8</v>
      </c>
      <c r="F107" s="38"/>
      <c r="G107" s="109">
        <f t="shared" ref="G107:G110" si="29">ROUND(D107*F107,2)</f>
        <v>0</v>
      </c>
      <c r="H107" s="112"/>
      <c r="M107" s="150"/>
    </row>
    <row r="108" spans="2:13" s="110" customFormat="1" ht="18" hidden="1" outlineLevel="3" x14ac:dyDescent="0.35">
      <c r="B108" s="114">
        <f t="shared" si="28"/>
        <v>18.030000000000005</v>
      </c>
      <c r="C108" s="108" t="s">
        <v>78</v>
      </c>
      <c r="D108" s="36">
        <v>2</v>
      </c>
      <c r="E108" s="37" t="s">
        <v>8</v>
      </c>
      <c r="F108" s="38"/>
      <c r="G108" s="109">
        <f t="shared" si="29"/>
        <v>0</v>
      </c>
      <c r="H108" s="112"/>
      <c r="M108" s="150"/>
    </row>
    <row r="109" spans="2:13" s="110" customFormat="1" ht="18" hidden="1" outlineLevel="3" x14ac:dyDescent="0.35">
      <c r="B109" s="114">
        <f t="shared" si="28"/>
        <v>18.040000000000006</v>
      </c>
      <c r="C109" s="108" t="s">
        <v>29</v>
      </c>
      <c r="D109" s="36">
        <v>1</v>
      </c>
      <c r="E109" s="37" t="s">
        <v>8</v>
      </c>
      <c r="F109" s="36"/>
      <c r="G109" s="109">
        <f t="shared" si="29"/>
        <v>0</v>
      </c>
      <c r="H109" s="129"/>
      <c r="M109" s="150"/>
    </row>
    <row r="110" spans="2:13" ht="18" hidden="1" outlineLevel="3" x14ac:dyDescent="0.35">
      <c r="B110" s="130">
        <f t="shared" si="28"/>
        <v>18.050000000000008</v>
      </c>
      <c r="C110" s="50" t="s">
        <v>31</v>
      </c>
      <c r="D110" s="36">
        <f>ROUNDUP((204.43*0.03+25.5*0.2*1.5)/3,0)</f>
        <v>5</v>
      </c>
      <c r="E110" s="37" t="s">
        <v>30</v>
      </c>
      <c r="F110" s="36"/>
      <c r="G110" s="34">
        <f t="shared" si="29"/>
        <v>0</v>
      </c>
      <c r="H110" s="101"/>
    </row>
    <row r="111" spans="2:13" ht="18" outlineLevel="2" x14ac:dyDescent="0.35">
      <c r="B111" s="100"/>
      <c r="C111" s="50"/>
      <c r="D111" s="36"/>
      <c r="E111" s="40"/>
      <c r="F111" s="36"/>
      <c r="G111" s="34"/>
      <c r="H111" s="101"/>
    </row>
    <row r="112" spans="2:13" ht="18" outlineLevel="2" x14ac:dyDescent="0.25">
      <c r="B112" s="154">
        <f>+B105+1</f>
        <v>19</v>
      </c>
      <c r="C112" s="93" t="s">
        <v>79</v>
      </c>
      <c r="D112" s="94"/>
      <c r="E112" s="95"/>
      <c r="F112" s="96"/>
      <c r="G112" s="97"/>
      <c r="H112" s="103">
        <f>SUBTOTAL(9,G112:G121)</f>
        <v>0</v>
      </c>
    </row>
    <row r="113" spans="2:13" ht="18" outlineLevel="3" x14ac:dyDescent="0.35">
      <c r="B113" s="114">
        <f t="shared" ref="B113:B115" si="30">+B112+0.01</f>
        <v>19.010000000000002</v>
      </c>
      <c r="C113" s="49" t="s">
        <v>234</v>
      </c>
      <c r="D113" s="31">
        <f>112000/2</f>
        <v>56000</v>
      </c>
      <c r="E113" s="32" t="s">
        <v>233</v>
      </c>
      <c r="F113" s="33"/>
      <c r="G113" s="34">
        <f>ROUND(D113*F113,2)</f>
        <v>0</v>
      </c>
      <c r="H113" s="104"/>
    </row>
    <row r="114" spans="2:13" s="110" customFormat="1" ht="18" outlineLevel="3" x14ac:dyDescent="0.35">
      <c r="B114" s="114">
        <f t="shared" si="30"/>
        <v>19.020000000000003</v>
      </c>
      <c r="C114" s="108" t="s">
        <v>235</v>
      </c>
      <c r="D114" s="36">
        <v>235</v>
      </c>
      <c r="E114" s="37" t="s">
        <v>19</v>
      </c>
      <c r="F114" s="38"/>
      <c r="G114" s="109">
        <f>ROUND(D114*F114,2)</f>
        <v>0</v>
      </c>
      <c r="H114" s="112"/>
      <c r="M114" s="150"/>
    </row>
    <row r="115" spans="2:13" s="110" customFormat="1" ht="18" outlineLevel="3" x14ac:dyDescent="0.35">
      <c r="B115" s="114">
        <f t="shared" si="30"/>
        <v>19.030000000000005</v>
      </c>
      <c r="C115" s="108" t="s">
        <v>236</v>
      </c>
      <c r="D115" s="36">
        <f>32.79*2.9</f>
        <v>95.090999999999994</v>
      </c>
      <c r="E115" s="37" t="s">
        <v>19</v>
      </c>
      <c r="F115" s="38"/>
      <c r="G115" s="109">
        <f>ROUND(D115*F115,2)</f>
        <v>0</v>
      </c>
      <c r="H115" s="112"/>
      <c r="M115" s="150"/>
    </row>
    <row r="116" spans="2:13" outlineLevel="2" x14ac:dyDescent="0.25">
      <c r="B116" s="155"/>
      <c r="C116" s="106"/>
      <c r="D116" s="105"/>
      <c r="E116" s="105"/>
      <c r="F116" s="105"/>
      <c r="G116" s="105"/>
      <c r="H116" s="105"/>
    </row>
    <row r="117" spans="2:13" ht="18" outlineLevel="2" collapsed="1" x14ac:dyDescent="0.25">
      <c r="B117" s="154">
        <f>+B112+1</f>
        <v>20</v>
      </c>
      <c r="C117" s="93" t="s">
        <v>80</v>
      </c>
      <c r="D117" s="94"/>
      <c r="E117" s="95"/>
      <c r="F117" s="96"/>
      <c r="G117" s="97"/>
      <c r="H117" s="103">
        <f>SUBTOTAL(9,G117:G121)</f>
        <v>0</v>
      </c>
    </row>
    <row r="118" spans="2:13" s="110" customFormat="1" ht="18" hidden="1" outlineLevel="3" x14ac:dyDescent="0.35">
      <c r="B118" s="114">
        <f t="shared" ref="B118:B120" si="31">+B117+0.01</f>
        <v>20.010000000000002</v>
      </c>
      <c r="C118" s="108" t="s">
        <v>81</v>
      </c>
      <c r="D118" s="36">
        <f>9.76*2.9</f>
        <v>28.303999999999998</v>
      </c>
      <c r="E118" s="37" t="s">
        <v>19</v>
      </c>
      <c r="F118" s="38"/>
      <c r="G118" s="109">
        <f>ROUND(D118*F118,2)</f>
        <v>0</v>
      </c>
      <c r="H118" s="112"/>
      <c r="M118" s="150"/>
    </row>
    <row r="119" spans="2:13" s="110" customFormat="1" ht="18" hidden="1" outlineLevel="3" x14ac:dyDescent="0.35">
      <c r="B119" s="114">
        <f t="shared" si="31"/>
        <v>20.020000000000003</v>
      </c>
      <c r="C119" s="108" t="s">
        <v>82</v>
      </c>
      <c r="D119" s="36">
        <v>12.98</v>
      </c>
      <c r="E119" s="37" t="s">
        <v>19</v>
      </c>
      <c r="F119" s="38"/>
      <c r="G119" s="109">
        <f>ROUND(D119*F119,2)</f>
        <v>0</v>
      </c>
      <c r="H119" s="112"/>
      <c r="M119" s="150"/>
    </row>
    <row r="120" spans="2:13" s="110" customFormat="1" ht="18" hidden="1" outlineLevel="3" x14ac:dyDescent="0.35">
      <c r="B120" s="114">
        <f t="shared" si="31"/>
        <v>20.030000000000005</v>
      </c>
      <c r="C120" s="108" t="s">
        <v>87</v>
      </c>
      <c r="D120" s="36">
        <f>1.4+2*3.1+3*2.1</f>
        <v>13.9</v>
      </c>
      <c r="E120" s="37" t="s">
        <v>7</v>
      </c>
      <c r="F120" s="38"/>
      <c r="G120" s="109">
        <f t="shared" ref="G120" si="32">ROUND(D120*F120,2)</f>
        <v>0</v>
      </c>
      <c r="H120" s="112"/>
      <c r="M120" s="150"/>
    </row>
    <row r="121" spans="2:13" outlineLevel="2" x14ac:dyDescent="0.25">
      <c r="B121" s="155"/>
      <c r="C121" s="106"/>
      <c r="D121" s="105"/>
      <c r="E121" s="105"/>
      <c r="F121" s="105"/>
      <c r="G121" s="105"/>
      <c r="H121" s="105"/>
    </row>
    <row r="122" spans="2:13" ht="18" outlineLevel="2" collapsed="1" x14ac:dyDescent="0.25">
      <c r="B122" s="154">
        <f>+B117+1</f>
        <v>21</v>
      </c>
      <c r="C122" s="93" t="s">
        <v>32</v>
      </c>
      <c r="D122" s="94"/>
      <c r="E122" s="95"/>
      <c r="F122" s="96"/>
      <c r="G122" s="97"/>
      <c r="H122" s="103">
        <f>SUBTOTAL(9,G122:G128)</f>
        <v>0</v>
      </c>
    </row>
    <row r="123" spans="2:13" s="110" customFormat="1" ht="18" hidden="1" outlineLevel="3" x14ac:dyDescent="0.35">
      <c r="B123" s="114">
        <f t="shared" ref="B123:B127" si="33">+B122+0.01</f>
        <v>21.01</v>
      </c>
      <c r="C123" s="108" t="s">
        <v>73</v>
      </c>
      <c r="D123" s="36">
        <v>204.43</v>
      </c>
      <c r="E123" s="37" t="s">
        <v>19</v>
      </c>
      <c r="F123" s="38"/>
      <c r="G123" s="109">
        <f>ROUND(D123*F123,2)</f>
        <v>0</v>
      </c>
      <c r="H123" s="112"/>
      <c r="M123" s="150"/>
    </row>
    <row r="124" spans="2:13" s="110" customFormat="1" ht="18" hidden="1" outlineLevel="3" x14ac:dyDescent="0.35">
      <c r="B124" s="114">
        <f t="shared" si="33"/>
        <v>21.020000000000003</v>
      </c>
      <c r="C124" s="108" t="s">
        <v>74</v>
      </c>
      <c r="D124" s="36">
        <v>204.43</v>
      </c>
      <c r="E124" s="37" t="s">
        <v>19</v>
      </c>
      <c r="F124" s="38"/>
      <c r="G124" s="109">
        <f>ROUND(D124*F124,2)</f>
        <v>0</v>
      </c>
      <c r="H124" s="112"/>
      <c r="M124" s="150"/>
    </row>
    <row r="125" spans="2:13" s="110" customFormat="1" ht="18" hidden="1" outlineLevel="3" x14ac:dyDescent="0.35">
      <c r="B125" s="114">
        <f t="shared" si="33"/>
        <v>21.030000000000005</v>
      </c>
      <c r="C125" s="108" t="s">
        <v>75</v>
      </c>
      <c r="D125" s="36">
        <v>91.49</v>
      </c>
      <c r="E125" s="37" t="s">
        <v>7</v>
      </c>
      <c r="F125" s="38"/>
      <c r="G125" s="109">
        <f t="shared" ref="G125:G127" si="34">ROUND(D125*F125,2)</f>
        <v>0</v>
      </c>
      <c r="H125" s="112"/>
      <c r="M125" s="150"/>
    </row>
    <row r="126" spans="2:13" s="110" customFormat="1" ht="18" hidden="1" outlineLevel="3" x14ac:dyDescent="0.35">
      <c r="B126" s="114">
        <f t="shared" si="33"/>
        <v>21.040000000000006</v>
      </c>
      <c r="C126" s="108" t="s">
        <v>66</v>
      </c>
      <c r="D126" s="36">
        <f>13.94*2.6</f>
        <v>36.244</v>
      </c>
      <c r="E126" s="37" t="s">
        <v>19</v>
      </c>
      <c r="F126" s="38"/>
      <c r="G126" s="109">
        <f t="shared" si="34"/>
        <v>0</v>
      </c>
      <c r="H126" s="112"/>
      <c r="M126" s="150"/>
    </row>
    <row r="127" spans="2:13" s="110" customFormat="1" ht="18" hidden="1" outlineLevel="3" x14ac:dyDescent="0.35">
      <c r="B127" s="114">
        <f t="shared" si="33"/>
        <v>21.050000000000008</v>
      </c>
      <c r="C127" s="108" t="s">
        <v>65</v>
      </c>
      <c r="D127" s="36">
        <v>10.8</v>
      </c>
      <c r="E127" s="37" t="s">
        <v>19</v>
      </c>
      <c r="F127" s="38"/>
      <c r="G127" s="109">
        <f t="shared" si="34"/>
        <v>0</v>
      </c>
      <c r="H127" s="112"/>
      <c r="M127" s="150"/>
    </row>
    <row r="128" spans="2:13" outlineLevel="2" x14ac:dyDescent="0.25">
      <c r="B128" s="155"/>
      <c r="C128" s="106"/>
      <c r="D128" s="105"/>
      <c r="E128" s="105"/>
      <c r="F128" s="105"/>
      <c r="G128" s="105"/>
      <c r="H128" s="105"/>
    </row>
    <row r="129" spans="2:13" ht="18" outlineLevel="2" collapsed="1" x14ac:dyDescent="0.25">
      <c r="B129" s="154">
        <f>+B122+1</f>
        <v>22</v>
      </c>
      <c r="C129" s="93" t="s">
        <v>33</v>
      </c>
      <c r="D129" s="94"/>
      <c r="E129" s="95"/>
      <c r="F129" s="96"/>
      <c r="G129" s="97"/>
      <c r="H129" s="103">
        <f>SUBTOTAL(9,G129:G132)</f>
        <v>0</v>
      </c>
    </row>
    <row r="130" spans="2:13" s="110" customFormat="1" ht="18" hidden="1" outlineLevel="3" x14ac:dyDescent="0.35">
      <c r="B130" s="114">
        <f t="shared" ref="B130:B131" si="35">+B129+0.01</f>
        <v>22.01</v>
      </c>
      <c r="C130" s="108" t="s">
        <v>88</v>
      </c>
      <c r="D130" s="36">
        <v>20.010000000000002</v>
      </c>
      <c r="E130" s="37" t="s">
        <v>19</v>
      </c>
      <c r="F130" s="38"/>
      <c r="G130" s="109">
        <f>ROUND(D130*F130,2)</f>
        <v>0</v>
      </c>
      <c r="H130" s="112"/>
      <c r="M130" s="150"/>
    </row>
    <row r="131" spans="2:13" s="110" customFormat="1" ht="18" hidden="1" outlineLevel="3" x14ac:dyDescent="0.35">
      <c r="B131" s="114">
        <f t="shared" si="35"/>
        <v>22.020000000000003</v>
      </c>
      <c r="C131" s="108" t="s">
        <v>89</v>
      </c>
      <c r="D131" s="36">
        <v>14.86</v>
      </c>
      <c r="E131" s="37" t="s">
        <v>7</v>
      </c>
      <c r="F131" s="38"/>
      <c r="G131" s="109">
        <f>ROUND(D131*F131,2)</f>
        <v>0</v>
      </c>
      <c r="H131" s="112"/>
      <c r="M131" s="150"/>
    </row>
    <row r="132" spans="2:13" outlineLevel="2" x14ac:dyDescent="0.25">
      <c r="B132" s="155"/>
      <c r="C132" s="106"/>
      <c r="D132" s="105"/>
      <c r="E132" s="105"/>
      <c r="F132" s="105"/>
      <c r="G132" s="105"/>
      <c r="H132" s="105"/>
    </row>
    <row r="133" spans="2:13" ht="18" outlineLevel="2" collapsed="1" x14ac:dyDescent="0.25">
      <c r="B133" s="154">
        <f>+B129+1</f>
        <v>23</v>
      </c>
      <c r="C133" s="93" t="s">
        <v>58</v>
      </c>
      <c r="D133" s="94"/>
      <c r="E133" s="95"/>
      <c r="F133" s="96"/>
      <c r="G133" s="97"/>
      <c r="H133" s="103">
        <f>SUBTOTAL(9,G133:G138)</f>
        <v>0</v>
      </c>
    </row>
    <row r="134" spans="2:13" s="110" customFormat="1" ht="18" hidden="1" outlineLevel="3" x14ac:dyDescent="0.35">
      <c r="B134" s="114">
        <f t="shared" ref="B134:B137" si="36">+B133+0.01</f>
        <v>23.01</v>
      </c>
      <c r="C134" s="108" t="s">
        <v>36</v>
      </c>
      <c r="D134" s="36">
        <v>1</v>
      </c>
      <c r="E134" s="37" t="s">
        <v>8</v>
      </c>
      <c r="F134" s="111"/>
      <c r="G134" s="109">
        <f>ROUND(D134*F134,2)</f>
        <v>0</v>
      </c>
      <c r="H134" s="112"/>
      <c r="M134" s="150"/>
    </row>
    <row r="135" spans="2:13" s="110" customFormat="1" ht="18" hidden="1" outlineLevel="3" x14ac:dyDescent="0.35">
      <c r="B135" s="114">
        <f t="shared" si="36"/>
        <v>23.020000000000003</v>
      </c>
      <c r="C135" s="108" t="s">
        <v>37</v>
      </c>
      <c r="D135" s="36">
        <v>1</v>
      </c>
      <c r="E135" s="37" t="s">
        <v>8</v>
      </c>
      <c r="F135" s="111"/>
      <c r="G135" s="109">
        <f t="shared" ref="G135:G137" si="37">ROUND(D135*F135,2)</f>
        <v>0</v>
      </c>
      <c r="H135" s="112"/>
      <c r="M135" s="150"/>
    </row>
    <row r="136" spans="2:13" s="110" customFormat="1" ht="18" hidden="1" outlineLevel="3" x14ac:dyDescent="0.35">
      <c r="B136" s="114">
        <f t="shared" si="36"/>
        <v>23.030000000000005</v>
      </c>
      <c r="C136" s="108" t="s">
        <v>46</v>
      </c>
      <c r="D136" s="36">
        <v>1</v>
      </c>
      <c r="E136" s="37" t="s">
        <v>8</v>
      </c>
      <c r="F136" s="111"/>
      <c r="G136" s="109">
        <f t="shared" si="37"/>
        <v>0</v>
      </c>
      <c r="H136" s="112"/>
      <c r="M136" s="150"/>
    </row>
    <row r="137" spans="2:13" s="110" customFormat="1" ht="18" hidden="1" outlineLevel="3" x14ac:dyDescent="0.35">
      <c r="B137" s="114">
        <f t="shared" si="36"/>
        <v>23.040000000000006</v>
      </c>
      <c r="C137" s="108" t="s">
        <v>47</v>
      </c>
      <c r="D137" s="36">
        <v>1</v>
      </c>
      <c r="E137" s="37" t="s">
        <v>8</v>
      </c>
      <c r="F137" s="111"/>
      <c r="G137" s="109">
        <f t="shared" si="37"/>
        <v>0</v>
      </c>
      <c r="H137" s="112"/>
      <c r="M137" s="150"/>
    </row>
    <row r="138" spans="2:13" outlineLevel="2" x14ac:dyDescent="0.25">
      <c r="B138" s="155"/>
      <c r="C138" s="106"/>
      <c r="D138" s="105"/>
      <c r="E138" s="105"/>
      <c r="F138" s="105"/>
      <c r="G138" s="105"/>
      <c r="H138" s="105"/>
    </row>
    <row r="139" spans="2:13" ht="18" outlineLevel="2" collapsed="1" x14ac:dyDescent="0.25">
      <c r="B139" s="154">
        <f>+B133+1</f>
        <v>24</v>
      </c>
      <c r="C139" s="93" t="s">
        <v>90</v>
      </c>
      <c r="D139" s="94"/>
      <c r="E139" s="95"/>
      <c r="F139" s="96"/>
      <c r="G139" s="97"/>
      <c r="H139" s="103">
        <f>SUBTOTAL(9,G139:G142)</f>
        <v>0</v>
      </c>
    </row>
    <row r="140" spans="2:13" s="110" customFormat="1" ht="18" hidden="1" outlineLevel="3" x14ac:dyDescent="0.35">
      <c r="B140" s="114">
        <f t="shared" ref="B140" si="38">+B139+0.01</f>
        <v>24.01</v>
      </c>
      <c r="C140" s="108" t="s">
        <v>91</v>
      </c>
      <c r="D140" s="36">
        <v>1</v>
      </c>
      <c r="E140" s="37" t="s">
        <v>8</v>
      </c>
      <c r="F140" s="111"/>
      <c r="G140" s="109">
        <f>ROUND(D140*F140,2)</f>
        <v>0</v>
      </c>
      <c r="H140" s="112"/>
      <c r="M140" s="150"/>
    </row>
    <row r="141" spans="2:13" ht="18" outlineLevel="2" x14ac:dyDescent="0.35">
      <c r="B141" s="155"/>
      <c r="C141" s="106"/>
      <c r="D141" s="105"/>
      <c r="E141" s="105"/>
      <c r="F141" s="27"/>
      <c r="G141" s="34"/>
      <c r="H141" s="104"/>
    </row>
    <row r="142" spans="2:13" ht="18" outlineLevel="2" collapsed="1" x14ac:dyDescent="0.25">
      <c r="B142" s="154">
        <v>25</v>
      </c>
      <c r="C142" s="93" t="s">
        <v>41</v>
      </c>
      <c r="D142" s="94"/>
      <c r="E142" s="95"/>
      <c r="F142" s="96"/>
      <c r="G142" s="97"/>
      <c r="H142" s="103">
        <f>SUBTOTAL(9,G142:G145)</f>
        <v>0</v>
      </c>
    </row>
    <row r="143" spans="2:13" s="110" customFormat="1" ht="18" hidden="1" outlineLevel="3" x14ac:dyDescent="0.35">
      <c r="B143" s="114">
        <f t="shared" ref="B143:B145" si="39">+B142+0.01</f>
        <v>25.01</v>
      </c>
      <c r="C143" s="108" t="s">
        <v>237</v>
      </c>
      <c r="D143" s="36">
        <f>8.67*2.6</f>
        <v>22.542000000000002</v>
      </c>
      <c r="E143" s="37" t="s">
        <v>43</v>
      </c>
      <c r="F143" s="111"/>
      <c r="G143" s="109">
        <f>ROUND(D143*F143,2)</f>
        <v>0</v>
      </c>
      <c r="H143" s="112"/>
      <c r="M143" s="150"/>
    </row>
    <row r="144" spans="2:13" s="110" customFormat="1" ht="18" hidden="1" outlineLevel="3" x14ac:dyDescent="0.35">
      <c r="B144" s="114">
        <f t="shared" si="39"/>
        <v>25.020000000000003</v>
      </c>
      <c r="C144" s="108" t="s">
        <v>44</v>
      </c>
      <c r="D144" s="36">
        <v>5</v>
      </c>
      <c r="E144" s="37" t="s">
        <v>8</v>
      </c>
      <c r="F144" s="111"/>
      <c r="G144" s="109">
        <f t="shared" ref="G144:G145" si="40">ROUND(D144*F144,2)</f>
        <v>0</v>
      </c>
      <c r="H144" s="112"/>
      <c r="M144" s="150"/>
    </row>
    <row r="145" spans="2:13" s="110" customFormat="1" ht="18" hidden="1" outlineLevel="3" x14ac:dyDescent="0.35">
      <c r="B145" s="114">
        <f t="shared" si="39"/>
        <v>25.030000000000005</v>
      </c>
      <c r="C145" s="108" t="s">
        <v>92</v>
      </c>
      <c r="D145" s="36">
        <f>0.6*0.6*10.76</f>
        <v>3.8735999999999997</v>
      </c>
      <c r="E145" s="37" t="s">
        <v>93</v>
      </c>
      <c r="F145" s="111"/>
      <c r="G145" s="109">
        <f t="shared" si="40"/>
        <v>0</v>
      </c>
      <c r="H145" s="112"/>
      <c r="M145" s="150"/>
    </row>
    <row r="146" spans="2:13" outlineLevel="2" x14ac:dyDescent="0.25">
      <c r="B146" s="155"/>
      <c r="C146" s="106"/>
      <c r="D146" s="105"/>
      <c r="E146" s="105"/>
      <c r="F146" s="105"/>
      <c r="G146" s="105"/>
      <c r="H146" s="105"/>
    </row>
    <row r="147" spans="2:13" ht="18" outlineLevel="2" collapsed="1" x14ac:dyDescent="0.25">
      <c r="B147" s="154">
        <f>+B142+1</f>
        <v>26</v>
      </c>
      <c r="C147" s="93" t="s">
        <v>67</v>
      </c>
      <c r="D147" s="94"/>
      <c r="E147" s="95"/>
      <c r="F147" s="96"/>
      <c r="G147" s="97"/>
      <c r="H147" s="103">
        <f>SUBTOTAL(9,G147:G194)</f>
        <v>0</v>
      </c>
    </row>
    <row r="148" spans="2:13" s="110" customFormat="1" ht="18" hidden="1" outlineLevel="3" x14ac:dyDescent="0.35">
      <c r="B148" s="114">
        <f t="shared" ref="B148:B149" si="41">+B147+0.01</f>
        <v>26.01</v>
      </c>
      <c r="C148" s="108" t="s">
        <v>68</v>
      </c>
      <c r="D148" s="36">
        <f>115.23*3.1</f>
        <v>357.21300000000002</v>
      </c>
      <c r="E148" s="37" t="s">
        <v>19</v>
      </c>
      <c r="F148" s="111"/>
      <c r="G148" s="109">
        <f>ROUND(D148*F148,2)</f>
        <v>0</v>
      </c>
      <c r="H148" s="112"/>
      <c r="M148" s="150"/>
    </row>
    <row r="149" spans="2:13" s="110" customFormat="1" ht="18" hidden="1" outlineLevel="3" x14ac:dyDescent="0.35">
      <c r="B149" s="114">
        <f t="shared" si="41"/>
        <v>26.020000000000003</v>
      </c>
      <c r="C149" s="108" t="s">
        <v>69</v>
      </c>
      <c r="D149" s="36">
        <f>33.76+20.01</f>
        <v>53.769999999999996</v>
      </c>
      <c r="E149" s="37" t="s">
        <v>19</v>
      </c>
      <c r="F149" s="111"/>
      <c r="G149" s="109">
        <f>ROUND(D149*F149,2)</f>
        <v>0</v>
      </c>
      <c r="H149" s="112"/>
      <c r="M149" s="150"/>
    </row>
    <row r="150" spans="2:13" ht="18" outlineLevel="2" x14ac:dyDescent="0.35">
      <c r="B150" s="100"/>
      <c r="C150" s="50"/>
      <c r="D150" s="36"/>
      <c r="E150" s="40"/>
      <c r="F150" s="36"/>
      <c r="G150" s="34"/>
      <c r="H150" s="101"/>
    </row>
    <row r="151" spans="2:13" ht="18" outlineLevel="2" collapsed="1" x14ac:dyDescent="0.25">
      <c r="B151" s="154">
        <f>+B147+1</f>
        <v>27</v>
      </c>
      <c r="C151" s="93" t="s">
        <v>83</v>
      </c>
      <c r="D151" s="94"/>
      <c r="E151" s="95"/>
      <c r="F151" s="96"/>
      <c r="G151" s="97"/>
      <c r="H151" s="103">
        <f>SUBTOTAL(9,G151:G197)</f>
        <v>0</v>
      </c>
    </row>
    <row r="152" spans="2:13" ht="18" hidden="1" outlineLevel="3" x14ac:dyDescent="0.35">
      <c r="B152" s="130">
        <f t="shared" ref="B152:B154" si="42">+B151+0.01</f>
        <v>27.01</v>
      </c>
      <c r="C152" s="49" t="s">
        <v>85</v>
      </c>
      <c r="D152" s="36">
        <f>14*1.5</f>
        <v>21</v>
      </c>
      <c r="E152" s="32" t="s">
        <v>7</v>
      </c>
      <c r="F152" s="33"/>
      <c r="G152" s="34">
        <f>ROUND(D152*F152,2)</f>
        <v>0</v>
      </c>
      <c r="H152" s="104"/>
    </row>
    <row r="153" spans="2:13" ht="18" hidden="1" outlineLevel="3" x14ac:dyDescent="0.35">
      <c r="B153" s="130">
        <f t="shared" si="42"/>
        <v>27.020000000000003</v>
      </c>
      <c r="C153" s="49" t="s">
        <v>84</v>
      </c>
      <c r="D153" s="36">
        <v>2.4</v>
      </c>
      <c r="E153" s="32" t="s">
        <v>19</v>
      </c>
      <c r="F153" s="33"/>
      <c r="G153" s="34">
        <f>ROUND(D153*F153,2)</f>
        <v>0</v>
      </c>
      <c r="H153" s="104"/>
    </row>
    <row r="154" spans="2:13" ht="18" hidden="1" outlineLevel="3" x14ac:dyDescent="0.35">
      <c r="B154" s="130">
        <f t="shared" si="42"/>
        <v>27.030000000000005</v>
      </c>
      <c r="C154" s="49" t="s">
        <v>86</v>
      </c>
      <c r="D154" s="36">
        <f>10.67*1.15</f>
        <v>12.270499999999998</v>
      </c>
      <c r="E154" s="32" t="s">
        <v>7</v>
      </c>
      <c r="F154" s="33"/>
      <c r="G154" s="34">
        <f>ROUND(D154*F154,2)</f>
        <v>0</v>
      </c>
      <c r="H154" s="104"/>
    </row>
    <row r="155" spans="2:13" outlineLevel="2" x14ac:dyDescent="0.25">
      <c r="B155" s="155"/>
      <c r="C155" s="106"/>
      <c r="D155" s="105"/>
      <c r="E155" s="105"/>
      <c r="F155" s="105"/>
      <c r="G155" s="105"/>
      <c r="H155" s="105"/>
    </row>
    <row r="156" spans="2:13" ht="18" outlineLevel="2" collapsed="1" x14ac:dyDescent="0.25">
      <c r="B156" s="154">
        <f>+B151+1</f>
        <v>28</v>
      </c>
      <c r="C156" s="93" t="s">
        <v>108</v>
      </c>
      <c r="D156" s="94"/>
      <c r="E156" s="95"/>
      <c r="F156" s="96"/>
      <c r="G156" s="97"/>
      <c r="H156" s="103">
        <f>SUM(G159:G190)</f>
        <v>0</v>
      </c>
    </row>
    <row r="157" spans="2:13" ht="18" hidden="1" customHeight="1" outlineLevel="3" x14ac:dyDescent="0.25">
      <c r="B157" s="154">
        <v>28</v>
      </c>
      <c r="C157" s="93" t="s">
        <v>109</v>
      </c>
      <c r="D157" s="94"/>
      <c r="E157" s="95"/>
      <c r="F157" s="96"/>
      <c r="G157" s="97"/>
      <c r="H157" s="103"/>
    </row>
    <row r="158" spans="2:13" ht="18" hidden="1" customHeight="1" outlineLevel="3" x14ac:dyDescent="0.25">
      <c r="B158" s="154">
        <v>28</v>
      </c>
      <c r="C158" s="93" t="s">
        <v>110</v>
      </c>
      <c r="D158" s="94"/>
      <c r="E158" s="95"/>
      <c r="F158" s="96"/>
      <c r="G158" s="97"/>
      <c r="H158" s="103"/>
    </row>
    <row r="159" spans="2:13" s="110" customFormat="1" ht="18" hidden="1" outlineLevel="3" x14ac:dyDescent="0.35">
      <c r="B159" s="114">
        <v>28.01</v>
      </c>
      <c r="C159" s="49" t="s">
        <v>113</v>
      </c>
      <c r="D159" s="36">
        <v>1</v>
      </c>
      <c r="E159" s="37" t="s">
        <v>8</v>
      </c>
      <c r="F159" s="111"/>
      <c r="G159" s="109">
        <f>ROUND(D159*F159,2)</f>
        <v>0</v>
      </c>
      <c r="H159" s="112"/>
      <c r="I159" s="1"/>
      <c r="J159" s="1"/>
      <c r="M159" s="150"/>
    </row>
    <row r="160" spans="2:13" s="110" customFormat="1" ht="18" hidden="1" outlineLevel="3" x14ac:dyDescent="0.35">
      <c r="B160" s="114">
        <v>28.02</v>
      </c>
      <c r="C160" s="49" t="s">
        <v>114</v>
      </c>
      <c r="D160" s="36">
        <v>1</v>
      </c>
      <c r="E160" s="37" t="s">
        <v>8</v>
      </c>
      <c r="F160" s="111"/>
      <c r="G160" s="109">
        <f t="shared" ref="G160:G165" si="43">ROUND(D160*F160,2)</f>
        <v>0</v>
      </c>
      <c r="H160" s="112"/>
      <c r="I160" s="1"/>
      <c r="J160" s="1"/>
      <c r="M160" s="150"/>
    </row>
    <row r="161" spans="2:13" s="110" customFormat="1" ht="18" hidden="1" outlineLevel="3" x14ac:dyDescent="0.35">
      <c r="B161" s="114">
        <v>28.03</v>
      </c>
      <c r="C161" s="49" t="s">
        <v>115</v>
      </c>
      <c r="D161" s="36">
        <v>1</v>
      </c>
      <c r="E161" s="37" t="s">
        <v>8</v>
      </c>
      <c r="F161" s="111"/>
      <c r="G161" s="109">
        <f t="shared" si="43"/>
        <v>0</v>
      </c>
      <c r="H161" s="112"/>
      <c r="I161" s="1"/>
      <c r="J161" s="1"/>
      <c r="M161" s="150"/>
    </row>
    <row r="162" spans="2:13" s="110" customFormat="1" ht="18" hidden="1" outlineLevel="3" x14ac:dyDescent="0.35">
      <c r="B162" s="114">
        <v>28.04</v>
      </c>
      <c r="C162" s="49" t="s">
        <v>116</v>
      </c>
      <c r="D162" s="36">
        <v>1</v>
      </c>
      <c r="E162" s="37" t="s">
        <v>8</v>
      </c>
      <c r="F162" s="111"/>
      <c r="G162" s="109">
        <f t="shared" si="43"/>
        <v>0</v>
      </c>
      <c r="H162" s="112"/>
      <c r="I162" s="1"/>
      <c r="J162" s="1"/>
      <c r="M162" s="150"/>
    </row>
    <row r="163" spans="2:13" s="110" customFormat="1" ht="18" hidden="1" outlineLevel="3" x14ac:dyDescent="0.35">
      <c r="B163" s="114">
        <v>28.05</v>
      </c>
      <c r="C163" s="49" t="s">
        <v>117</v>
      </c>
      <c r="D163" s="36">
        <v>1</v>
      </c>
      <c r="E163" s="37" t="s">
        <v>8</v>
      </c>
      <c r="F163" s="111"/>
      <c r="G163" s="109">
        <f t="shared" si="43"/>
        <v>0</v>
      </c>
      <c r="H163" s="112"/>
      <c r="I163" s="1"/>
      <c r="J163" s="1"/>
      <c r="M163" s="150"/>
    </row>
    <row r="164" spans="2:13" s="110" customFormat="1" ht="18" hidden="1" outlineLevel="3" x14ac:dyDescent="0.35">
      <c r="B164" s="114">
        <v>28.06</v>
      </c>
      <c r="C164" s="49" t="s">
        <v>118</v>
      </c>
      <c r="D164" s="36">
        <v>1</v>
      </c>
      <c r="E164" s="37" t="s">
        <v>8</v>
      </c>
      <c r="F164" s="111"/>
      <c r="G164" s="109">
        <f t="shared" si="43"/>
        <v>0</v>
      </c>
      <c r="H164" s="112"/>
      <c r="I164" s="1"/>
      <c r="J164" s="1"/>
      <c r="M164" s="150"/>
    </row>
    <row r="165" spans="2:13" s="110" customFormat="1" ht="18" hidden="1" outlineLevel="3" x14ac:dyDescent="0.35">
      <c r="B165" s="114">
        <v>28.07</v>
      </c>
      <c r="C165" s="49" t="s">
        <v>119</v>
      </c>
      <c r="D165" s="36">
        <v>1</v>
      </c>
      <c r="E165" s="37" t="s">
        <v>111</v>
      </c>
      <c r="F165" s="111"/>
      <c r="G165" s="109">
        <f t="shared" si="43"/>
        <v>0</v>
      </c>
      <c r="H165" s="112"/>
      <c r="I165" s="1"/>
      <c r="J165" s="1"/>
      <c r="M165" s="150"/>
    </row>
    <row r="166" spans="2:13" s="110" customFormat="1" ht="18" hidden="1" outlineLevel="3" x14ac:dyDescent="0.35">
      <c r="B166" s="114"/>
      <c r="C166" s="49"/>
      <c r="D166" s="36"/>
      <c r="E166" s="37"/>
      <c r="F166" s="111"/>
      <c r="G166" s="109"/>
      <c r="H166" s="112"/>
      <c r="I166" s="1"/>
      <c r="J166" s="1"/>
      <c r="M166" s="150"/>
    </row>
    <row r="167" spans="2:13" s="110" customFormat="1" ht="18" hidden="1" outlineLevel="3" x14ac:dyDescent="0.35">
      <c r="B167" s="114"/>
      <c r="C167" s="113" t="s">
        <v>136</v>
      </c>
      <c r="D167" s="36"/>
      <c r="E167" s="37"/>
      <c r="F167" s="111"/>
      <c r="G167" s="109"/>
      <c r="H167" s="112"/>
      <c r="I167" s="1"/>
      <c r="J167" s="1"/>
      <c r="M167" s="150"/>
    </row>
    <row r="168" spans="2:13" s="110" customFormat="1" ht="36" hidden="1" outlineLevel="3" x14ac:dyDescent="0.35">
      <c r="B168" s="114">
        <v>28.08</v>
      </c>
      <c r="C168" s="49" t="s">
        <v>120</v>
      </c>
      <c r="D168" s="36">
        <v>60</v>
      </c>
      <c r="E168" s="37" t="s">
        <v>112</v>
      </c>
      <c r="F168" s="111"/>
      <c r="G168" s="109">
        <f>ROUND(D168*F168,2)</f>
        <v>0</v>
      </c>
      <c r="H168" s="112"/>
      <c r="I168" s="1"/>
      <c r="J168" s="1"/>
      <c r="M168" s="150"/>
    </row>
    <row r="169" spans="2:13" s="110" customFormat="1" ht="36" hidden="1" outlineLevel="3" x14ac:dyDescent="0.35">
      <c r="B169" s="114">
        <v>28.09</v>
      </c>
      <c r="C169" s="49" t="s">
        <v>121</v>
      </c>
      <c r="D169" s="36">
        <v>20</v>
      </c>
      <c r="E169" s="37" t="s">
        <v>112</v>
      </c>
      <c r="F169" s="111"/>
      <c r="G169" s="109">
        <f t="shared" ref="G169:G171" si="44">ROUND(D169*F169,2)</f>
        <v>0</v>
      </c>
      <c r="H169" s="112"/>
      <c r="I169" s="1"/>
      <c r="J169" s="1"/>
      <c r="M169" s="150"/>
    </row>
    <row r="170" spans="2:13" s="110" customFormat="1" ht="36" hidden="1" outlineLevel="3" x14ac:dyDescent="0.35">
      <c r="B170" s="114">
        <v>28.1</v>
      </c>
      <c r="C170" s="49" t="s">
        <v>122</v>
      </c>
      <c r="D170" s="36">
        <v>25</v>
      </c>
      <c r="E170" s="37" t="s">
        <v>112</v>
      </c>
      <c r="F170" s="111"/>
      <c r="G170" s="109">
        <f t="shared" si="44"/>
        <v>0</v>
      </c>
      <c r="H170" s="112"/>
      <c r="I170" s="1"/>
      <c r="J170" s="1"/>
      <c r="M170" s="150"/>
    </row>
    <row r="171" spans="2:13" s="110" customFormat="1" ht="36" hidden="1" outlineLevel="3" x14ac:dyDescent="0.35">
      <c r="B171" s="114">
        <v>28.11</v>
      </c>
      <c r="C171" s="49" t="s">
        <v>123</v>
      </c>
      <c r="D171" s="36">
        <v>100</v>
      </c>
      <c r="E171" s="37" t="s">
        <v>112</v>
      </c>
      <c r="F171" s="111"/>
      <c r="G171" s="109">
        <f t="shared" si="44"/>
        <v>0</v>
      </c>
      <c r="H171" s="112"/>
      <c r="I171" s="1"/>
      <c r="J171" s="1"/>
      <c r="M171" s="150"/>
    </row>
    <row r="172" spans="2:13" s="110" customFormat="1" ht="18" hidden="1" outlineLevel="3" x14ac:dyDescent="0.35">
      <c r="B172" s="114"/>
      <c r="C172" s="49"/>
      <c r="D172" s="36"/>
      <c r="E172" s="37"/>
      <c r="F172" s="111"/>
      <c r="G172" s="109"/>
      <c r="H172" s="112"/>
      <c r="I172" s="1"/>
      <c r="J172" s="1"/>
      <c r="M172" s="150"/>
    </row>
    <row r="173" spans="2:13" s="110" customFormat="1" ht="18" hidden="1" outlineLevel="3" x14ac:dyDescent="0.35">
      <c r="B173" s="114"/>
      <c r="C173" s="113" t="s">
        <v>135</v>
      </c>
      <c r="D173" s="36"/>
      <c r="E173" s="37"/>
      <c r="F173" s="111"/>
      <c r="G173" s="109"/>
      <c r="H173" s="112"/>
      <c r="I173" s="1"/>
      <c r="J173" s="1"/>
      <c r="M173" s="150"/>
    </row>
    <row r="174" spans="2:13" s="110" customFormat="1" ht="36" hidden="1" outlineLevel="3" x14ac:dyDescent="0.35">
      <c r="B174" s="114">
        <v>28.12</v>
      </c>
      <c r="C174" s="49" t="s">
        <v>124</v>
      </c>
      <c r="D174" s="36">
        <v>80</v>
      </c>
      <c r="E174" s="37" t="s">
        <v>8</v>
      </c>
      <c r="F174" s="111"/>
      <c r="G174" s="109">
        <f t="shared" ref="G174:G184" si="45">ROUND(D174*F174,2)</f>
        <v>0</v>
      </c>
      <c r="H174" s="112"/>
      <c r="I174" s="1"/>
      <c r="J174" s="1"/>
      <c r="M174" s="150"/>
    </row>
    <row r="175" spans="2:13" s="110" customFormat="1" ht="36" hidden="1" outlineLevel="3" x14ac:dyDescent="0.35">
      <c r="B175" s="114">
        <v>28.13</v>
      </c>
      <c r="C175" s="49" t="s">
        <v>125</v>
      </c>
      <c r="D175" s="36">
        <v>6</v>
      </c>
      <c r="E175" s="37" t="s">
        <v>8</v>
      </c>
      <c r="F175" s="111"/>
      <c r="G175" s="109">
        <f t="shared" si="45"/>
        <v>0</v>
      </c>
      <c r="H175" s="112"/>
      <c r="I175" s="1"/>
      <c r="J175" s="1"/>
      <c r="M175" s="150"/>
    </row>
    <row r="176" spans="2:13" s="110" customFormat="1" ht="36" hidden="1" outlineLevel="3" x14ac:dyDescent="0.35">
      <c r="B176" s="114">
        <v>28.14</v>
      </c>
      <c r="C176" s="49" t="s">
        <v>126</v>
      </c>
      <c r="D176" s="36">
        <v>5</v>
      </c>
      <c r="E176" s="37" t="s">
        <v>8</v>
      </c>
      <c r="F176" s="111"/>
      <c r="G176" s="109">
        <f t="shared" si="45"/>
        <v>0</v>
      </c>
      <c r="H176" s="112"/>
      <c r="I176" s="1"/>
      <c r="J176" s="1"/>
      <c r="M176" s="150"/>
    </row>
    <row r="177" spans="2:13" s="110" customFormat="1" ht="36" hidden="1" outlineLevel="3" x14ac:dyDescent="0.35">
      <c r="B177" s="114">
        <v>28.15</v>
      </c>
      <c r="C177" s="49" t="s">
        <v>127</v>
      </c>
      <c r="D177" s="36">
        <v>2</v>
      </c>
      <c r="E177" s="37" t="s">
        <v>8</v>
      </c>
      <c r="F177" s="111"/>
      <c r="G177" s="109">
        <f t="shared" si="45"/>
        <v>0</v>
      </c>
      <c r="H177" s="112"/>
      <c r="I177" s="1"/>
      <c r="J177" s="1"/>
      <c r="M177" s="150"/>
    </row>
    <row r="178" spans="2:13" s="110" customFormat="1" ht="36" hidden="1" outlineLevel="3" x14ac:dyDescent="0.35">
      <c r="B178" s="114">
        <v>28.16</v>
      </c>
      <c r="C178" s="49" t="s">
        <v>128</v>
      </c>
      <c r="D178" s="36">
        <v>21</v>
      </c>
      <c r="E178" s="37" t="s">
        <v>8</v>
      </c>
      <c r="F178" s="111"/>
      <c r="G178" s="109">
        <f t="shared" si="45"/>
        <v>0</v>
      </c>
      <c r="H178" s="112"/>
      <c r="I178" s="1"/>
      <c r="J178" s="1"/>
      <c r="M178" s="150"/>
    </row>
    <row r="179" spans="2:13" s="110" customFormat="1" ht="36" hidden="1" outlineLevel="3" x14ac:dyDescent="0.35">
      <c r="B179" s="114">
        <v>28.17</v>
      </c>
      <c r="C179" s="49" t="s">
        <v>129</v>
      </c>
      <c r="D179" s="36">
        <v>15</v>
      </c>
      <c r="E179" s="37" t="s">
        <v>8</v>
      </c>
      <c r="F179" s="111"/>
      <c r="G179" s="109">
        <f t="shared" si="45"/>
        <v>0</v>
      </c>
      <c r="H179" s="112"/>
      <c r="I179" s="1"/>
      <c r="J179" s="1"/>
      <c r="M179" s="150"/>
    </row>
    <row r="180" spans="2:13" s="110" customFormat="1" ht="36" hidden="1" outlineLevel="3" x14ac:dyDescent="0.35">
      <c r="B180" s="114">
        <v>28.18</v>
      </c>
      <c r="C180" s="49" t="s">
        <v>130</v>
      </c>
      <c r="D180" s="36">
        <v>15</v>
      </c>
      <c r="E180" s="37" t="s">
        <v>8</v>
      </c>
      <c r="F180" s="111"/>
      <c r="G180" s="109">
        <f t="shared" si="45"/>
        <v>0</v>
      </c>
      <c r="H180" s="112"/>
      <c r="I180" s="1"/>
      <c r="J180" s="1"/>
      <c r="M180" s="150"/>
    </row>
    <row r="181" spans="2:13" s="110" customFormat="1" ht="36" hidden="1" outlineLevel="3" x14ac:dyDescent="0.35">
      <c r="B181" s="114">
        <v>28.19</v>
      </c>
      <c r="C181" s="49" t="s">
        <v>131</v>
      </c>
      <c r="D181" s="36">
        <v>6</v>
      </c>
      <c r="E181" s="37" t="s">
        <v>8</v>
      </c>
      <c r="F181" s="111"/>
      <c r="G181" s="109">
        <f t="shared" si="45"/>
        <v>0</v>
      </c>
      <c r="H181" s="112"/>
      <c r="I181" s="1"/>
      <c r="J181" s="1"/>
      <c r="M181" s="150"/>
    </row>
    <row r="182" spans="2:13" s="110" customFormat="1" ht="36" hidden="1" outlineLevel="3" x14ac:dyDescent="0.35">
      <c r="B182" s="114">
        <v>28.2</v>
      </c>
      <c r="C182" s="49" t="s">
        <v>132</v>
      </c>
      <c r="D182" s="36">
        <v>6</v>
      </c>
      <c r="E182" s="37" t="s">
        <v>8</v>
      </c>
      <c r="F182" s="111"/>
      <c r="G182" s="109">
        <f t="shared" si="45"/>
        <v>0</v>
      </c>
      <c r="H182" s="112"/>
      <c r="I182" s="1"/>
      <c r="J182" s="1"/>
      <c r="M182" s="150"/>
    </row>
    <row r="183" spans="2:13" s="110" customFormat="1" ht="18" hidden="1" outlineLevel="3" x14ac:dyDescent="0.35">
      <c r="B183" s="114">
        <v>28.21</v>
      </c>
      <c r="C183" s="49" t="s">
        <v>133</v>
      </c>
      <c r="D183" s="36">
        <v>1</v>
      </c>
      <c r="E183" s="37" t="s">
        <v>8</v>
      </c>
      <c r="F183" s="111"/>
      <c r="G183" s="109">
        <f t="shared" si="45"/>
        <v>0</v>
      </c>
      <c r="H183" s="112"/>
      <c r="I183" s="1"/>
      <c r="J183" s="1"/>
      <c r="M183" s="150"/>
    </row>
    <row r="184" spans="2:13" s="110" customFormat="1" ht="18" hidden="1" outlineLevel="3" x14ac:dyDescent="0.35">
      <c r="B184" s="114">
        <v>28.22</v>
      </c>
      <c r="C184" s="49" t="s">
        <v>134</v>
      </c>
      <c r="D184" s="36">
        <v>1</v>
      </c>
      <c r="E184" s="37" t="s">
        <v>8</v>
      </c>
      <c r="F184" s="111"/>
      <c r="G184" s="109">
        <f t="shared" si="45"/>
        <v>0</v>
      </c>
      <c r="H184" s="112"/>
      <c r="I184" s="1"/>
      <c r="J184" s="1"/>
      <c r="M184" s="150"/>
    </row>
    <row r="185" spans="2:13" s="110" customFormat="1" ht="18" hidden="1" outlineLevel="3" x14ac:dyDescent="0.35">
      <c r="B185" s="114"/>
      <c r="C185" s="49"/>
      <c r="D185" s="36"/>
      <c r="E185" s="37"/>
      <c r="F185" s="111"/>
      <c r="G185" s="109"/>
      <c r="H185" s="112"/>
      <c r="I185" s="1"/>
      <c r="J185" s="1"/>
      <c r="M185" s="150"/>
    </row>
    <row r="186" spans="2:13" s="110" customFormat="1" ht="18" hidden="1" outlineLevel="3" x14ac:dyDescent="0.35">
      <c r="B186" s="114"/>
      <c r="C186" s="113" t="s">
        <v>137</v>
      </c>
      <c r="D186" s="36"/>
      <c r="E186" s="37"/>
      <c r="F186" s="111"/>
      <c r="G186" s="109"/>
      <c r="H186" s="112"/>
      <c r="I186" s="1"/>
      <c r="J186" s="1"/>
      <c r="M186" s="150"/>
    </row>
    <row r="187" spans="2:13" s="110" customFormat="1" ht="18" hidden="1" outlineLevel="3" x14ac:dyDescent="0.35">
      <c r="B187" s="114">
        <v>28.23</v>
      </c>
      <c r="C187" s="49" t="s">
        <v>138</v>
      </c>
      <c r="D187" s="36">
        <v>50</v>
      </c>
      <c r="E187" s="37" t="s">
        <v>8</v>
      </c>
      <c r="F187" s="111"/>
      <c r="G187" s="109">
        <f t="shared" ref="G187:G190" si="46">ROUND(D187*F187,2)</f>
        <v>0</v>
      </c>
      <c r="H187" s="112"/>
      <c r="I187" s="1"/>
      <c r="J187" s="1"/>
      <c r="M187" s="150"/>
    </row>
    <row r="188" spans="2:13" s="110" customFormat="1" ht="18" hidden="1" outlineLevel="3" x14ac:dyDescent="0.35">
      <c r="B188" s="114">
        <v>28.24</v>
      </c>
      <c r="C188" s="49" t="s">
        <v>139</v>
      </c>
      <c r="D188" s="36">
        <v>10</v>
      </c>
      <c r="E188" s="37" t="s">
        <v>8</v>
      </c>
      <c r="F188" s="111"/>
      <c r="G188" s="109">
        <f t="shared" si="46"/>
        <v>0</v>
      </c>
      <c r="H188" s="112"/>
      <c r="I188" s="1"/>
      <c r="J188" s="1"/>
      <c r="M188" s="150"/>
    </row>
    <row r="189" spans="2:13" s="110" customFormat="1" ht="18" hidden="1" outlineLevel="3" x14ac:dyDescent="0.35">
      <c r="B189" s="114">
        <v>28.25</v>
      </c>
      <c r="C189" s="49" t="s">
        <v>140</v>
      </c>
      <c r="D189" s="36">
        <v>10</v>
      </c>
      <c r="E189" s="37" t="s">
        <v>8</v>
      </c>
      <c r="F189" s="111"/>
      <c r="G189" s="109">
        <f t="shared" si="46"/>
        <v>0</v>
      </c>
      <c r="H189" s="112"/>
      <c r="I189" s="1"/>
      <c r="J189" s="1"/>
      <c r="M189" s="150"/>
    </row>
    <row r="190" spans="2:13" s="110" customFormat="1" ht="18" hidden="1" outlineLevel="3" x14ac:dyDescent="0.35">
      <c r="B190" s="114">
        <v>28.26</v>
      </c>
      <c r="C190" s="49" t="s">
        <v>141</v>
      </c>
      <c r="D190" s="36">
        <v>10</v>
      </c>
      <c r="E190" s="37" t="s">
        <v>8</v>
      </c>
      <c r="F190" s="111"/>
      <c r="G190" s="109">
        <f t="shared" si="46"/>
        <v>0</v>
      </c>
      <c r="H190" s="112"/>
      <c r="I190" s="1"/>
      <c r="J190" s="1"/>
      <c r="M190" s="150"/>
    </row>
    <row r="191" spans="2:13" outlineLevel="2" x14ac:dyDescent="0.25">
      <c r="B191" s="155"/>
      <c r="C191" s="106"/>
      <c r="D191" s="105"/>
      <c r="E191" s="105"/>
      <c r="F191" s="105"/>
      <c r="G191" s="105"/>
      <c r="H191" s="105"/>
    </row>
    <row r="192" spans="2:13" ht="18" outlineLevel="1" x14ac:dyDescent="0.35">
      <c r="B192" s="115"/>
      <c r="C192" s="116" t="s">
        <v>94</v>
      </c>
      <c r="D192" s="117"/>
      <c r="E192" s="118"/>
      <c r="F192" s="119"/>
      <c r="G192" s="120"/>
      <c r="H192" s="121"/>
    </row>
    <row r="193" spans="2:13" ht="18" outlineLevel="2" x14ac:dyDescent="0.35">
      <c r="B193" s="122"/>
      <c r="C193" s="123"/>
      <c r="D193" s="124"/>
      <c r="E193" s="125"/>
      <c r="F193" s="126"/>
      <c r="G193" s="127"/>
      <c r="H193" s="128"/>
    </row>
    <row r="194" spans="2:13" ht="18" outlineLevel="2" collapsed="1" x14ac:dyDescent="0.25">
      <c r="B194" s="154">
        <f>+B156+1</f>
        <v>29</v>
      </c>
      <c r="C194" s="93" t="s">
        <v>17</v>
      </c>
      <c r="D194" s="94"/>
      <c r="E194" s="95"/>
      <c r="F194" s="96"/>
      <c r="G194" s="97"/>
      <c r="H194" s="103">
        <f>SUBTOTAL(9,G194:G197)</f>
        <v>0</v>
      </c>
    </row>
    <row r="195" spans="2:13" s="110" customFormat="1" ht="18.75" hidden="1" customHeight="1" outlineLevel="3" x14ac:dyDescent="0.35">
      <c r="B195" s="114">
        <f t="shared" ref="B195:B196" si="47">+B194+0.01</f>
        <v>29.01</v>
      </c>
      <c r="C195" s="108" t="s">
        <v>71</v>
      </c>
      <c r="D195" s="36"/>
      <c r="E195" s="37" t="s">
        <v>19</v>
      </c>
      <c r="F195" s="38"/>
      <c r="G195" s="109">
        <f>ROUND(D195*F195,2)</f>
        <v>0</v>
      </c>
      <c r="H195" s="112"/>
      <c r="I195" s="1"/>
      <c r="J195" s="1"/>
      <c r="M195" s="150"/>
    </row>
    <row r="196" spans="2:13" s="110" customFormat="1" ht="18.75" hidden="1" customHeight="1" outlineLevel="3" x14ac:dyDescent="0.35">
      <c r="B196" s="114">
        <f t="shared" si="47"/>
        <v>29.020000000000003</v>
      </c>
      <c r="C196" s="108" t="s">
        <v>72</v>
      </c>
      <c r="D196" s="36">
        <v>256.17</v>
      </c>
      <c r="E196" s="37" t="s">
        <v>19</v>
      </c>
      <c r="F196" s="38"/>
      <c r="G196" s="109">
        <f>ROUND(D196*F196,2)</f>
        <v>0</v>
      </c>
      <c r="H196" s="112"/>
      <c r="I196" s="1"/>
      <c r="J196" s="1"/>
      <c r="M196" s="150"/>
    </row>
    <row r="197" spans="2:13" ht="18" outlineLevel="2" x14ac:dyDescent="0.35">
      <c r="B197" s="100"/>
      <c r="C197" s="50"/>
      <c r="D197" s="36"/>
      <c r="E197" s="40"/>
      <c r="F197" s="36"/>
      <c r="G197" s="34"/>
      <c r="H197" s="101"/>
    </row>
    <row r="198" spans="2:13" ht="18" outlineLevel="2" collapsed="1" x14ac:dyDescent="0.25">
      <c r="B198" s="154">
        <f>B194+1</f>
        <v>30</v>
      </c>
      <c r="C198" s="93" t="s">
        <v>79</v>
      </c>
      <c r="D198" s="94"/>
      <c r="E198" s="95"/>
      <c r="F198" s="96"/>
      <c r="G198" s="97"/>
      <c r="H198" s="103">
        <f>SUBTOTAL(9,G198:G202)</f>
        <v>0</v>
      </c>
    </row>
    <row r="199" spans="2:13" ht="18" hidden="1" outlineLevel="3" x14ac:dyDescent="0.35">
      <c r="B199" s="114">
        <f t="shared" ref="B199:B201" si="48">+B198+0.01</f>
        <v>30.01</v>
      </c>
      <c r="C199" s="49" t="s">
        <v>234</v>
      </c>
      <c r="D199" s="31">
        <f>112000/2</f>
        <v>56000</v>
      </c>
      <c r="E199" s="32" t="s">
        <v>233</v>
      </c>
      <c r="F199" s="33"/>
      <c r="G199" s="34">
        <f>ROUND(D199*F199,2)</f>
        <v>0</v>
      </c>
      <c r="H199" s="104"/>
    </row>
    <row r="200" spans="2:13" s="110" customFormat="1" ht="18" hidden="1" outlineLevel="3" x14ac:dyDescent="0.35">
      <c r="B200" s="114">
        <f t="shared" si="48"/>
        <v>30.020000000000003</v>
      </c>
      <c r="C200" s="108" t="s">
        <v>235</v>
      </c>
      <c r="D200" s="36">
        <v>235</v>
      </c>
      <c r="E200" s="37" t="s">
        <v>19</v>
      </c>
      <c r="F200" s="38"/>
      <c r="G200" s="109">
        <f>ROUND(D200*F200,2)</f>
        <v>0</v>
      </c>
      <c r="H200" s="112"/>
      <c r="M200" s="150"/>
    </row>
    <row r="201" spans="2:13" s="110" customFormat="1" ht="18" hidden="1" outlineLevel="3" x14ac:dyDescent="0.35">
      <c r="B201" s="114">
        <f t="shared" si="48"/>
        <v>30.030000000000005</v>
      </c>
      <c r="C201" s="108" t="s">
        <v>236</v>
      </c>
      <c r="D201" s="36">
        <f>32.79*2.9</f>
        <v>95.090999999999994</v>
      </c>
      <c r="E201" s="37" t="s">
        <v>19</v>
      </c>
      <c r="F201" s="38"/>
      <c r="G201" s="109">
        <f>ROUND(D201*F201,2)</f>
        <v>0</v>
      </c>
      <c r="H201" s="112"/>
      <c r="M201" s="150"/>
    </row>
    <row r="202" spans="2:13" outlineLevel="2" x14ac:dyDescent="0.25">
      <c r="B202" s="155"/>
      <c r="C202" s="106"/>
      <c r="D202" s="105"/>
      <c r="E202" s="105"/>
      <c r="F202" s="105"/>
      <c r="G202" s="105"/>
      <c r="H202" s="105"/>
    </row>
    <row r="203" spans="2:13" ht="18" outlineLevel="2" collapsed="1" x14ac:dyDescent="0.25">
      <c r="B203" s="154">
        <f>B198+1</f>
        <v>31</v>
      </c>
      <c r="C203" s="93" t="s">
        <v>32</v>
      </c>
      <c r="D203" s="94"/>
      <c r="E203" s="95"/>
      <c r="F203" s="96"/>
      <c r="G203" s="97"/>
      <c r="H203" s="103">
        <f>SUBTOTAL(9,G203:G209)</f>
        <v>0</v>
      </c>
    </row>
    <row r="204" spans="2:13" s="110" customFormat="1" ht="18" hidden="1" outlineLevel="3" x14ac:dyDescent="0.35">
      <c r="B204" s="114">
        <f t="shared" ref="B204:B208" si="49">+B203+0.01</f>
        <v>31.01</v>
      </c>
      <c r="C204" s="108" t="s">
        <v>73</v>
      </c>
      <c r="D204" s="36">
        <f>+D205+D208</f>
        <v>272.71000000000004</v>
      </c>
      <c r="E204" s="37" t="s">
        <v>19</v>
      </c>
      <c r="F204" s="38"/>
      <c r="G204" s="109">
        <f>ROUND(D204*F204,2)</f>
        <v>0</v>
      </c>
      <c r="H204" s="112"/>
      <c r="M204" s="150"/>
    </row>
    <row r="205" spans="2:13" s="110" customFormat="1" ht="18" hidden="1" outlineLevel="3" x14ac:dyDescent="0.35">
      <c r="B205" s="114">
        <f>+B204+0.01</f>
        <v>31.020000000000003</v>
      </c>
      <c r="C205" s="108" t="s">
        <v>74</v>
      </c>
      <c r="D205" s="36">
        <f>239.65+16.53</f>
        <v>256.18</v>
      </c>
      <c r="E205" s="37" t="s">
        <v>19</v>
      </c>
      <c r="F205" s="38"/>
      <c r="G205" s="109">
        <f>ROUND(D205*F205,2)</f>
        <v>0</v>
      </c>
      <c r="H205" s="112"/>
      <c r="M205" s="150"/>
    </row>
    <row r="206" spans="2:13" s="110" customFormat="1" ht="18" hidden="1" outlineLevel="3" x14ac:dyDescent="0.35">
      <c r="B206" s="114">
        <f t="shared" si="49"/>
        <v>31.030000000000005</v>
      </c>
      <c r="C206" s="108" t="s">
        <v>75</v>
      </c>
      <c r="D206" s="36">
        <v>150.78</v>
      </c>
      <c r="E206" s="37" t="s">
        <v>7</v>
      </c>
      <c r="F206" s="38"/>
      <c r="G206" s="109">
        <f t="shared" ref="G206:G208" si="50">ROUND(D206*F206,2)</f>
        <v>0</v>
      </c>
      <c r="H206" s="112"/>
      <c r="M206" s="150"/>
    </row>
    <row r="207" spans="2:13" s="110" customFormat="1" ht="18" hidden="1" outlineLevel="3" x14ac:dyDescent="0.35">
      <c r="B207" s="114">
        <f t="shared" si="49"/>
        <v>31.040000000000006</v>
      </c>
      <c r="C207" s="108" t="s">
        <v>66</v>
      </c>
      <c r="D207" s="36">
        <f>31.05*2.6</f>
        <v>80.73</v>
      </c>
      <c r="E207" s="37" t="s">
        <v>19</v>
      </c>
      <c r="F207" s="38"/>
      <c r="G207" s="109">
        <f t="shared" si="50"/>
        <v>0</v>
      </c>
      <c r="H207" s="112"/>
      <c r="M207" s="150"/>
    </row>
    <row r="208" spans="2:13" s="110" customFormat="1" ht="18" hidden="1" outlineLevel="3" x14ac:dyDescent="0.35">
      <c r="B208" s="114">
        <f t="shared" si="49"/>
        <v>31.050000000000008</v>
      </c>
      <c r="C208" s="108" t="s">
        <v>65</v>
      </c>
      <c r="D208" s="36">
        <v>16.53</v>
      </c>
      <c r="E208" s="37" t="s">
        <v>19</v>
      </c>
      <c r="F208" s="38"/>
      <c r="G208" s="109">
        <f t="shared" si="50"/>
        <v>0</v>
      </c>
      <c r="H208" s="112"/>
      <c r="M208" s="150"/>
    </row>
    <row r="209" spans="2:13" outlineLevel="2" x14ac:dyDescent="0.25">
      <c r="B209" s="155"/>
      <c r="C209" s="106"/>
      <c r="D209" s="105"/>
      <c r="E209" s="105"/>
      <c r="F209" s="105"/>
      <c r="G209" s="105"/>
      <c r="H209" s="105"/>
    </row>
    <row r="210" spans="2:13" ht="18" outlineLevel="2" collapsed="1" x14ac:dyDescent="0.25">
      <c r="B210" s="154">
        <f>+B203+1</f>
        <v>32</v>
      </c>
      <c r="C210" s="93" t="s">
        <v>39</v>
      </c>
      <c r="D210" s="94"/>
      <c r="E210" s="95"/>
      <c r="F210" s="96"/>
      <c r="G210" s="97"/>
      <c r="H210" s="103">
        <f>SUBTOTAL(9,G210:G215)</f>
        <v>0</v>
      </c>
    </row>
    <row r="211" spans="2:13" s="110" customFormat="1" ht="18" hidden="1" outlineLevel="3" x14ac:dyDescent="0.35">
      <c r="B211" s="114">
        <f t="shared" ref="B211:B213" si="51">+B210+0.01</f>
        <v>32.01</v>
      </c>
      <c r="C211" s="108" t="s">
        <v>95</v>
      </c>
      <c r="D211" s="36">
        <f>3.59*3.6</f>
        <v>12.923999999999999</v>
      </c>
      <c r="E211" s="37" t="s">
        <v>43</v>
      </c>
      <c r="F211" s="111"/>
      <c r="G211" s="109">
        <f>ROUND(D211*F211,2)</f>
        <v>0</v>
      </c>
      <c r="H211" s="112"/>
      <c r="M211" s="150"/>
    </row>
    <row r="212" spans="2:13" s="110" customFormat="1" ht="18" hidden="1" outlineLevel="3" x14ac:dyDescent="0.35">
      <c r="B212" s="114">
        <f t="shared" si="51"/>
        <v>32.019999999999996</v>
      </c>
      <c r="C212" s="108" t="s">
        <v>40</v>
      </c>
      <c r="D212" s="36">
        <f>63.99*2.6</f>
        <v>166.37400000000002</v>
      </c>
      <c r="E212" s="37" t="s">
        <v>43</v>
      </c>
      <c r="F212" s="111"/>
      <c r="G212" s="109">
        <f>ROUND(D212*F212,2)</f>
        <v>0</v>
      </c>
      <c r="H212" s="112"/>
      <c r="M212" s="150"/>
    </row>
    <row r="213" spans="2:13" s="110" customFormat="1" ht="18" hidden="1" outlineLevel="3" x14ac:dyDescent="0.35">
      <c r="B213" s="114">
        <f t="shared" si="51"/>
        <v>32.029999999999994</v>
      </c>
      <c r="C213" s="108" t="s">
        <v>96</v>
      </c>
      <c r="D213" s="36">
        <v>8.1</v>
      </c>
      <c r="E213" s="37" t="s">
        <v>7</v>
      </c>
      <c r="F213" s="111"/>
      <c r="G213" s="109">
        <f>ROUND(D213*F213,2)</f>
        <v>0</v>
      </c>
      <c r="H213" s="112"/>
      <c r="M213" s="150"/>
    </row>
    <row r="214" spans="2:13" ht="18" outlineLevel="2" x14ac:dyDescent="0.35">
      <c r="B214" s="155"/>
      <c r="C214" s="106"/>
      <c r="D214" s="105"/>
      <c r="E214" s="105"/>
      <c r="F214" s="27"/>
      <c r="G214" s="34"/>
      <c r="H214" s="104"/>
    </row>
    <row r="215" spans="2:13" ht="18" outlineLevel="2" collapsed="1" x14ac:dyDescent="0.25">
      <c r="B215" s="154">
        <f>+B210+1</f>
        <v>33</v>
      </c>
      <c r="C215" s="93" t="s">
        <v>33</v>
      </c>
      <c r="D215" s="94"/>
      <c r="E215" s="95"/>
      <c r="F215" s="96"/>
      <c r="G215" s="97"/>
      <c r="H215" s="103">
        <f>SUBTOTAL(9,G215:G217)</f>
        <v>0</v>
      </c>
    </row>
    <row r="216" spans="2:13" s="110" customFormat="1" ht="18" hidden="1" outlineLevel="3" x14ac:dyDescent="0.35">
      <c r="B216" s="114">
        <f t="shared" ref="B216" si="52">+B215+0.01</f>
        <v>33.01</v>
      </c>
      <c r="C216" s="108" t="s">
        <v>99</v>
      </c>
      <c r="D216" s="36">
        <v>256.17</v>
      </c>
      <c r="E216" s="37" t="s">
        <v>19</v>
      </c>
      <c r="F216" s="38"/>
      <c r="G216" s="109">
        <f>ROUND(D216*F216,2)</f>
        <v>0</v>
      </c>
      <c r="H216" s="112"/>
      <c r="M216" s="150"/>
    </row>
    <row r="217" spans="2:13" outlineLevel="2" x14ac:dyDescent="0.25">
      <c r="B217" s="155"/>
      <c r="C217" s="106"/>
      <c r="D217" s="105"/>
      <c r="E217" s="105"/>
      <c r="F217" s="105"/>
      <c r="G217" s="105"/>
      <c r="H217" s="105"/>
    </row>
    <row r="218" spans="2:13" ht="18" outlineLevel="2" collapsed="1" x14ac:dyDescent="0.25">
      <c r="B218" s="154">
        <f>+B215+1</f>
        <v>34</v>
      </c>
      <c r="C218" s="93" t="s">
        <v>58</v>
      </c>
      <c r="D218" s="94"/>
      <c r="E218" s="95"/>
      <c r="F218" s="96"/>
      <c r="G218" s="97"/>
      <c r="H218" s="103">
        <f>SUBTOTAL(9,G218:G226)</f>
        <v>0</v>
      </c>
    </row>
    <row r="219" spans="2:13" s="110" customFormat="1" ht="18" hidden="1" outlineLevel="3" x14ac:dyDescent="0.35">
      <c r="B219" s="114">
        <f t="shared" ref="B219:B225" si="53">+B218+0.01</f>
        <v>34.01</v>
      </c>
      <c r="C219" s="108" t="s">
        <v>36</v>
      </c>
      <c r="D219" s="36">
        <v>5</v>
      </c>
      <c r="E219" s="37" t="s">
        <v>8</v>
      </c>
      <c r="F219" s="111"/>
      <c r="G219" s="109">
        <f>ROUND(D219*F219,2)</f>
        <v>0</v>
      </c>
      <c r="H219" s="112"/>
      <c r="M219" s="150"/>
    </row>
    <row r="220" spans="2:13" s="110" customFormat="1" ht="18" hidden="1" outlineLevel="3" x14ac:dyDescent="0.35">
      <c r="B220" s="114">
        <f t="shared" si="53"/>
        <v>34.019999999999996</v>
      </c>
      <c r="C220" s="108" t="s">
        <v>37</v>
      </c>
      <c r="D220" s="36">
        <v>3</v>
      </c>
      <c r="E220" s="37" t="s">
        <v>8</v>
      </c>
      <c r="F220" s="111"/>
      <c r="G220" s="109">
        <f t="shared" ref="G220:G221" si="54">ROUND(D220*F220,2)</f>
        <v>0</v>
      </c>
      <c r="H220" s="112"/>
      <c r="M220" s="150"/>
    </row>
    <row r="221" spans="2:13" s="110" customFormat="1" ht="18" hidden="1" outlineLevel="3" x14ac:dyDescent="0.35">
      <c r="B221" s="114">
        <f t="shared" si="53"/>
        <v>34.029999999999994</v>
      </c>
      <c r="C221" s="108" t="s">
        <v>100</v>
      </c>
      <c r="D221" s="36">
        <v>3</v>
      </c>
      <c r="E221" s="37" t="s">
        <v>8</v>
      </c>
      <c r="F221" s="111"/>
      <c r="G221" s="109">
        <f t="shared" si="54"/>
        <v>0</v>
      </c>
      <c r="H221" s="112"/>
      <c r="M221" s="150"/>
    </row>
    <row r="222" spans="2:13" s="110" customFormat="1" ht="18" hidden="1" outlineLevel="3" x14ac:dyDescent="0.35">
      <c r="B222" s="114">
        <f t="shared" si="53"/>
        <v>34.039999999999992</v>
      </c>
      <c r="C222" s="108" t="s">
        <v>101</v>
      </c>
      <c r="D222" s="36">
        <v>1</v>
      </c>
      <c r="E222" s="37" t="s">
        <v>8</v>
      </c>
      <c r="F222" s="111"/>
      <c r="G222" s="109">
        <f>ROUND(D222*F222,2)</f>
        <v>0</v>
      </c>
      <c r="H222" s="112"/>
      <c r="M222" s="150"/>
    </row>
    <row r="223" spans="2:13" s="110" customFormat="1" ht="18" hidden="1" outlineLevel="3" x14ac:dyDescent="0.35">
      <c r="B223" s="114">
        <f t="shared" si="53"/>
        <v>34.04999999999999</v>
      </c>
      <c r="C223" s="108" t="s">
        <v>102</v>
      </c>
      <c r="D223" s="36">
        <f>1.1+1.8</f>
        <v>2.9000000000000004</v>
      </c>
      <c r="E223" s="37" t="s">
        <v>7</v>
      </c>
      <c r="F223" s="111"/>
      <c r="G223" s="109">
        <f t="shared" ref="G223:G225" si="55">ROUND(D223*F223,2)</f>
        <v>0</v>
      </c>
      <c r="H223" s="112"/>
      <c r="M223" s="150"/>
    </row>
    <row r="224" spans="2:13" s="110" customFormat="1" ht="18" hidden="1" outlineLevel="3" x14ac:dyDescent="0.35">
      <c r="B224" s="114">
        <f t="shared" si="53"/>
        <v>34.059999999999988</v>
      </c>
      <c r="C224" s="108" t="s">
        <v>46</v>
      </c>
      <c r="D224" s="36">
        <v>5</v>
      </c>
      <c r="E224" s="37" t="s">
        <v>8</v>
      </c>
      <c r="F224" s="111"/>
      <c r="G224" s="109">
        <f t="shared" si="55"/>
        <v>0</v>
      </c>
      <c r="H224" s="112"/>
      <c r="M224" s="150"/>
    </row>
    <row r="225" spans="2:13" s="110" customFormat="1" ht="18" hidden="1" outlineLevel="3" x14ac:dyDescent="0.35">
      <c r="B225" s="114">
        <f t="shared" si="53"/>
        <v>34.069999999999986</v>
      </c>
      <c r="C225" s="108" t="s">
        <v>47</v>
      </c>
      <c r="D225" s="36">
        <v>5</v>
      </c>
      <c r="E225" s="37" t="s">
        <v>8</v>
      </c>
      <c r="F225" s="111"/>
      <c r="G225" s="109">
        <f t="shared" si="55"/>
        <v>0</v>
      </c>
      <c r="H225" s="112"/>
      <c r="M225" s="150"/>
    </row>
    <row r="226" spans="2:13" outlineLevel="2" x14ac:dyDescent="0.25">
      <c r="B226" s="155"/>
      <c r="C226" s="106"/>
      <c r="D226" s="105"/>
      <c r="E226" s="105"/>
      <c r="F226" s="105"/>
      <c r="G226" s="105"/>
      <c r="H226" s="105"/>
    </row>
    <row r="227" spans="2:13" ht="18" outlineLevel="2" collapsed="1" x14ac:dyDescent="0.25">
      <c r="B227" s="154">
        <f>+B218+1</f>
        <v>35</v>
      </c>
      <c r="C227" s="93" t="s">
        <v>90</v>
      </c>
      <c r="D227" s="94"/>
      <c r="E227" s="95"/>
      <c r="F227" s="96"/>
      <c r="G227" s="97"/>
      <c r="H227" s="103">
        <f>SUBTOTAL(9,G227:G231)</f>
        <v>0</v>
      </c>
    </row>
    <row r="228" spans="2:13" s="110" customFormat="1" ht="18" hidden="1" outlineLevel="3" x14ac:dyDescent="0.35">
      <c r="B228" s="114">
        <f t="shared" ref="B228:B229" si="56">+B227+0.01</f>
        <v>35.01</v>
      </c>
      <c r="C228" s="108" t="s">
        <v>97</v>
      </c>
      <c r="D228" s="36">
        <v>2</v>
      </c>
      <c r="E228" s="37" t="s">
        <v>8</v>
      </c>
      <c r="F228" s="111"/>
      <c r="G228" s="109">
        <f>ROUND(D228*F228,2)</f>
        <v>0</v>
      </c>
      <c r="H228" s="112"/>
      <c r="M228" s="150"/>
    </row>
    <row r="229" spans="2:13" s="110" customFormat="1" ht="18" hidden="1" outlineLevel="3" x14ac:dyDescent="0.35">
      <c r="B229" s="114">
        <f t="shared" si="56"/>
        <v>35.019999999999996</v>
      </c>
      <c r="C229" s="108" t="s">
        <v>91</v>
      </c>
      <c r="D229" s="36">
        <v>12</v>
      </c>
      <c r="E229" s="37" t="s">
        <v>8</v>
      </c>
      <c r="F229" s="111"/>
      <c r="G229" s="109">
        <f>ROUND(D229*F229,2)</f>
        <v>0</v>
      </c>
      <c r="H229" s="112"/>
      <c r="M229" s="150"/>
    </row>
    <row r="230" spans="2:13" ht="18" outlineLevel="2" x14ac:dyDescent="0.35">
      <c r="B230" s="155"/>
      <c r="C230" s="106"/>
      <c r="D230" s="105"/>
      <c r="E230" s="105"/>
      <c r="F230" s="27"/>
      <c r="G230" s="34"/>
      <c r="H230" s="104"/>
    </row>
    <row r="231" spans="2:13" ht="18" outlineLevel="2" collapsed="1" x14ac:dyDescent="0.25">
      <c r="B231" s="154">
        <f>+B227+1</f>
        <v>36</v>
      </c>
      <c r="C231" s="93" t="s">
        <v>41</v>
      </c>
      <c r="D231" s="94"/>
      <c r="E231" s="95"/>
      <c r="F231" s="96"/>
      <c r="G231" s="97"/>
      <c r="H231" s="103">
        <f>SUBTOTAL(9,G231:G235)</f>
        <v>0</v>
      </c>
    </row>
    <row r="232" spans="2:13" s="110" customFormat="1" ht="18" hidden="1" outlineLevel="3" x14ac:dyDescent="0.35">
      <c r="B232" s="114">
        <f t="shared" ref="B232:B235" si="57">+B231+0.01</f>
        <v>36.01</v>
      </c>
      <c r="C232" s="108" t="s">
        <v>238</v>
      </c>
      <c r="D232" s="36">
        <f>89.86*3.1</f>
        <v>278.56600000000003</v>
      </c>
      <c r="E232" s="37" t="s">
        <v>43</v>
      </c>
      <c r="F232" s="111"/>
      <c r="G232" s="109">
        <f>ROUND(D232*F232,2)</f>
        <v>0</v>
      </c>
      <c r="H232" s="112"/>
      <c r="M232" s="150"/>
    </row>
    <row r="233" spans="2:13" s="110" customFormat="1" ht="18" hidden="1" outlineLevel="3" x14ac:dyDescent="0.35">
      <c r="B233" s="114">
        <f t="shared" si="57"/>
        <v>36.019999999999996</v>
      </c>
      <c r="C233" s="108" t="s">
        <v>98</v>
      </c>
      <c r="D233" s="36">
        <v>2</v>
      </c>
      <c r="E233" s="37" t="s">
        <v>8</v>
      </c>
      <c r="F233" s="111"/>
      <c r="G233" s="109">
        <f t="shared" ref="G233" si="58">ROUND(D233*F233,2)</f>
        <v>0</v>
      </c>
      <c r="H233" s="112"/>
      <c r="M233" s="150"/>
    </row>
    <row r="234" spans="2:13" s="110" customFormat="1" ht="18" hidden="1" outlineLevel="3" x14ac:dyDescent="0.35">
      <c r="B234" s="114">
        <f t="shared" si="57"/>
        <v>36.029999999999994</v>
      </c>
      <c r="C234" s="108" t="s">
        <v>44</v>
      </c>
      <c r="D234" s="36">
        <v>12</v>
      </c>
      <c r="E234" s="37" t="s">
        <v>8</v>
      </c>
      <c r="F234" s="111"/>
      <c r="G234" s="109">
        <f t="shared" ref="G234" si="59">ROUND(D234*F234,2)</f>
        <v>0</v>
      </c>
      <c r="H234" s="112"/>
      <c r="M234" s="150"/>
    </row>
    <row r="235" spans="2:13" s="110" customFormat="1" ht="18" hidden="1" outlineLevel="3" x14ac:dyDescent="0.35">
      <c r="B235" s="114">
        <f t="shared" si="57"/>
        <v>36.039999999999992</v>
      </c>
      <c r="C235" s="108" t="s">
        <v>92</v>
      </c>
      <c r="D235" s="36">
        <f>0.6*0.6*4*10.76</f>
        <v>15.494399999999999</v>
      </c>
      <c r="E235" s="37" t="s">
        <v>93</v>
      </c>
      <c r="F235" s="111"/>
      <c r="G235" s="109">
        <f t="shared" ref="G235" si="60">ROUND(D235*F235,2)</f>
        <v>0</v>
      </c>
      <c r="H235" s="112"/>
      <c r="M235" s="150"/>
    </row>
    <row r="236" spans="2:13" outlineLevel="2" x14ac:dyDescent="0.25">
      <c r="B236" s="155"/>
      <c r="C236" s="106"/>
      <c r="D236" s="105"/>
      <c r="E236" s="105"/>
      <c r="F236" s="105"/>
      <c r="G236" s="105"/>
      <c r="H236" s="105"/>
    </row>
    <row r="237" spans="2:13" ht="18" outlineLevel="2" collapsed="1" x14ac:dyDescent="0.25">
      <c r="B237" s="154">
        <f>+B231+1</f>
        <v>37</v>
      </c>
      <c r="C237" s="93" t="s">
        <v>67</v>
      </c>
      <c r="D237" s="94"/>
      <c r="E237" s="95"/>
      <c r="F237" s="96"/>
      <c r="G237" s="97"/>
      <c r="H237" s="103">
        <f>SUBTOTAL(9,G237:G276)</f>
        <v>0</v>
      </c>
    </row>
    <row r="238" spans="2:13" s="110" customFormat="1" ht="18" hidden="1" outlineLevel="3" x14ac:dyDescent="0.35">
      <c r="B238" s="114">
        <f t="shared" ref="B238:B239" si="61">+B237+0.01</f>
        <v>37.01</v>
      </c>
      <c r="C238" s="108" t="s">
        <v>68</v>
      </c>
      <c r="D238" s="36">
        <f>+D212*2+D211+D213*(0.8*2+0.15)</f>
        <v>359.84700000000004</v>
      </c>
      <c r="E238" s="37" t="s">
        <v>19</v>
      </c>
      <c r="F238" s="111"/>
      <c r="G238" s="109">
        <f>ROUND(D238*F238,2)</f>
        <v>0</v>
      </c>
      <c r="H238" s="112"/>
      <c r="M238" s="150"/>
    </row>
    <row r="239" spans="2:13" s="110" customFormat="1" ht="18" hidden="1" outlineLevel="3" x14ac:dyDescent="0.35">
      <c r="B239" s="114">
        <f t="shared" si="61"/>
        <v>37.019999999999996</v>
      </c>
      <c r="C239" s="108" t="s">
        <v>69</v>
      </c>
      <c r="D239" s="36">
        <v>250</v>
      </c>
      <c r="E239" s="37" t="s">
        <v>19</v>
      </c>
      <c r="F239" s="111"/>
      <c r="G239" s="109">
        <f>ROUND(D239*F239,2)</f>
        <v>0</v>
      </c>
      <c r="H239" s="112"/>
      <c r="M239" s="150"/>
    </row>
    <row r="240" spans="2:13" ht="18" outlineLevel="2" x14ac:dyDescent="0.35">
      <c r="B240" s="100"/>
      <c r="C240" s="50"/>
      <c r="D240" s="36"/>
      <c r="E240" s="40"/>
      <c r="F240" s="36"/>
      <c r="G240" s="34"/>
      <c r="H240" s="101"/>
    </row>
    <row r="241" spans="2:8" ht="18" outlineLevel="2" collapsed="1" x14ac:dyDescent="0.25">
      <c r="B241" s="154">
        <f>+B237+1</f>
        <v>38</v>
      </c>
      <c r="C241" s="93" t="s">
        <v>188</v>
      </c>
      <c r="D241" s="94"/>
      <c r="E241" s="95"/>
      <c r="F241" s="96"/>
      <c r="G241" s="97"/>
      <c r="H241" s="103">
        <f>SUM(G242:G253)</f>
        <v>0</v>
      </c>
    </row>
    <row r="242" spans="2:8" ht="36" hidden="1" outlineLevel="3" x14ac:dyDescent="0.35">
      <c r="B242" s="30">
        <f>B241+0.01</f>
        <v>38.01</v>
      </c>
      <c r="C242" s="49" t="s">
        <v>189</v>
      </c>
      <c r="D242" s="36">
        <v>1</v>
      </c>
      <c r="E242" s="32" t="s">
        <v>111</v>
      </c>
      <c r="F242" s="33"/>
      <c r="G242" s="34">
        <f>ROUND(D242*F242,2)</f>
        <v>0</v>
      </c>
      <c r="H242" s="104"/>
    </row>
    <row r="243" spans="2:8" ht="36" hidden="1" outlineLevel="3" x14ac:dyDescent="0.35">
      <c r="B243" s="30">
        <f t="shared" ref="B243:B253" si="62">B242+0.01</f>
        <v>38.019999999999996</v>
      </c>
      <c r="C243" s="49" t="s">
        <v>190</v>
      </c>
      <c r="D243" s="36">
        <v>1</v>
      </c>
      <c r="E243" s="32" t="s">
        <v>111</v>
      </c>
      <c r="F243" s="33"/>
      <c r="G243" s="34">
        <f t="shared" ref="G243:G253" si="63">ROUND(D243*F243,2)</f>
        <v>0</v>
      </c>
      <c r="H243" s="104"/>
    </row>
    <row r="244" spans="2:8" ht="36" hidden="1" outlineLevel="3" x14ac:dyDescent="0.35">
      <c r="B244" s="30">
        <f t="shared" si="62"/>
        <v>38.029999999999994</v>
      </c>
      <c r="C244" s="49" t="s">
        <v>191</v>
      </c>
      <c r="D244" s="36">
        <v>1</v>
      </c>
      <c r="E244" s="32" t="s">
        <v>111</v>
      </c>
      <c r="F244" s="33"/>
      <c r="G244" s="34">
        <f t="shared" si="63"/>
        <v>0</v>
      </c>
      <c r="H244" s="104"/>
    </row>
    <row r="245" spans="2:8" ht="72" hidden="1" outlineLevel="3" x14ac:dyDescent="0.35">
      <c r="B245" s="30">
        <f t="shared" si="62"/>
        <v>38.039999999999992</v>
      </c>
      <c r="C245" s="49" t="s">
        <v>193</v>
      </c>
      <c r="D245" s="36">
        <v>75</v>
      </c>
      <c r="E245" s="32" t="s">
        <v>192</v>
      </c>
      <c r="F245" s="33"/>
      <c r="G245" s="34">
        <f t="shared" si="63"/>
        <v>0</v>
      </c>
      <c r="H245" s="104"/>
    </row>
    <row r="246" spans="2:8" ht="54" hidden="1" outlineLevel="3" x14ac:dyDescent="0.35">
      <c r="B246" s="30">
        <f t="shared" si="62"/>
        <v>38.04999999999999</v>
      </c>
      <c r="C246" s="49" t="s">
        <v>194</v>
      </c>
      <c r="D246" s="36">
        <v>25</v>
      </c>
      <c r="E246" s="32" t="s">
        <v>192</v>
      </c>
      <c r="F246" s="33"/>
      <c r="G246" s="34">
        <f t="shared" si="63"/>
        <v>0</v>
      </c>
      <c r="H246" s="104"/>
    </row>
    <row r="247" spans="2:8" ht="54" hidden="1" outlineLevel="3" x14ac:dyDescent="0.35">
      <c r="B247" s="30">
        <f t="shared" si="62"/>
        <v>38.059999999999988</v>
      </c>
      <c r="C247" s="49" t="s">
        <v>197</v>
      </c>
      <c r="D247" s="36">
        <v>130</v>
      </c>
      <c r="E247" s="32" t="s">
        <v>192</v>
      </c>
      <c r="F247" s="33"/>
      <c r="G247" s="34">
        <f t="shared" si="63"/>
        <v>0</v>
      </c>
      <c r="H247" s="104"/>
    </row>
    <row r="248" spans="2:8" ht="54" hidden="1" outlineLevel="3" x14ac:dyDescent="0.35">
      <c r="B248" s="30">
        <f t="shared" si="62"/>
        <v>38.069999999999986</v>
      </c>
      <c r="C248" s="49" t="s">
        <v>196</v>
      </c>
      <c r="D248" s="36">
        <v>130</v>
      </c>
      <c r="E248" s="32" t="s">
        <v>192</v>
      </c>
      <c r="F248" s="33"/>
      <c r="G248" s="34">
        <f t="shared" si="63"/>
        <v>0</v>
      </c>
      <c r="H248" s="104"/>
    </row>
    <row r="249" spans="2:8" ht="54" hidden="1" outlineLevel="3" x14ac:dyDescent="0.35">
      <c r="B249" s="30">
        <f t="shared" si="62"/>
        <v>38.079999999999984</v>
      </c>
      <c r="C249" s="49" t="s">
        <v>195</v>
      </c>
      <c r="D249" s="36">
        <v>130</v>
      </c>
      <c r="E249" s="32" t="s">
        <v>192</v>
      </c>
      <c r="F249" s="33"/>
      <c r="G249" s="34">
        <f t="shared" si="63"/>
        <v>0</v>
      </c>
      <c r="H249" s="104"/>
    </row>
    <row r="250" spans="2:8" ht="54" hidden="1" outlineLevel="3" x14ac:dyDescent="0.35">
      <c r="B250" s="30">
        <f t="shared" si="62"/>
        <v>38.089999999999982</v>
      </c>
      <c r="C250" s="49" t="s">
        <v>198</v>
      </c>
      <c r="D250" s="36">
        <v>25</v>
      </c>
      <c r="E250" s="32" t="s">
        <v>192</v>
      </c>
      <c r="F250" s="33"/>
      <c r="G250" s="34">
        <f t="shared" si="63"/>
        <v>0</v>
      </c>
      <c r="H250" s="104"/>
    </row>
    <row r="251" spans="2:8" ht="54" hidden="1" outlineLevel="3" x14ac:dyDescent="0.35">
      <c r="B251" s="30">
        <f t="shared" si="62"/>
        <v>38.09999999999998</v>
      </c>
      <c r="C251" s="49" t="s">
        <v>199</v>
      </c>
      <c r="D251" s="36">
        <v>25</v>
      </c>
      <c r="E251" s="32" t="s">
        <v>200</v>
      </c>
      <c r="F251" s="33"/>
      <c r="G251" s="34">
        <f t="shared" si="63"/>
        <v>0</v>
      </c>
      <c r="H251" s="104"/>
    </row>
    <row r="252" spans="2:8" ht="36" hidden="1" outlineLevel="3" x14ac:dyDescent="0.35">
      <c r="B252" s="30">
        <f t="shared" si="62"/>
        <v>38.109999999999978</v>
      </c>
      <c r="C252" s="49" t="s">
        <v>201</v>
      </c>
      <c r="D252" s="36">
        <v>25</v>
      </c>
      <c r="E252" s="32" t="s">
        <v>192</v>
      </c>
      <c r="F252" s="33"/>
      <c r="G252" s="34">
        <f t="shared" si="63"/>
        <v>0</v>
      </c>
      <c r="H252" s="104"/>
    </row>
    <row r="253" spans="2:8" ht="54" hidden="1" outlineLevel="3" x14ac:dyDescent="0.35">
      <c r="B253" s="30">
        <f t="shared" si="62"/>
        <v>38.119999999999976</v>
      </c>
      <c r="C253" s="49" t="s">
        <v>202</v>
      </c>
      <c r="D253" s="36">
        <v>1</v>
      </c>
      <c r="E253" s="32" t="s">
        <v>111</v>
      </c>
      <c r="F253" s="33"/>
      <c r="G253" s="34">
        <f t="shared" si="63"/>
        <v>0</v>
      </c>
      <c r="H253" s="104"/>
    </row>
    <row r="254" spans="2:8" outlineLevel="2" x14ac:dyDescent="0.25">
      <c r="B254" s="155"/>
      <c r="C254" s="106"/>
      <c r="D254" s="105"/>
      <c r="E254" s="105"/>
      <c r="F254" s="105"/>
      <c r="G254" s="105"/>
      <c r="H254" s="105"/>
    </row>
    <row r="255" spans="2:8" ht="18" outlineLevel="2" collapsed="1" x14ac:dyDescent="0.25">
      <c r="B255" s="154">
        <f>+B241+1</f>
        <v>39</v>
      </c>
      <c r="C255" s="93" t="s">
        <v>163</v>
      </c>
      <c r="D255" s="94"/>
      <c r="E255" s="95"/>
      <c r="F255" s="96"/>
      <c r="G255" s="97"/>
      <c r="H255" s="103">
        <f>SUM(G256:G269)</f>
        <v>0</v>
      </c>
    </row>
    <row r="256" spans="2:8" ht="72" hidden="1" outlineLevel="3" x14ac:dyDescent="0.35">
      <c r="B256" s="30">
        <f>B255+0.01</f>
        <v>39.01</v>
      </c>
      <c r="C256" s="49" t="s">
        <v>176</v>
      </c>
      <c r="D256" s="36">
        <v>17</v>
      </c>
      <c r="E256" s="32" t="s">
        <v>8</v>
      </c>
      <c r="F256" s="33"/>
      <c r="G256" s="34">
        <f>ROUND(D256*F256,2)</f>
        <v>0</v>
      </c>
      <c r="H256" s="104"/>
    </row>
    <row r="257" spans="2:8" ht="36" hidden="1" outlineLevel="3" x14ac:dyDescent="0.35">
      <c r="B257" s="30">
        <f t="shared" ref="B257:B269" si="64">B256+0.01</f>
        <v>39.019999999999996</v>
      </c>
      <c r="C257" s="49" t="s">
        <v>177</v>
      </c>
      <c r="D257" s="36">
        <v>1</v>
      </c>
      <c r="E257" s="32" t="s">
        <v>8</v>
      </c>
      <c r="F257" s="33"/>
      <c r="G257" s="34">
        <f t="shared" ref="G257:G269" si="65">ROUND(D257*F257,2)</f>
        <v>0</v>
      </c>
      <c r="H257" s="104"/>
    </row>
    <row r="258" spans="2:8" ht="36" hidden="1" outlineLevel="3" x14ac:dyDescent="0.35">
      <c r="B258" s="30">
        <f t="shared" si="64"/>
        <v>39.029999999999994</v>
      </c>
      <c r="C258" s="49" t="s">
        <v>175</v>
      </c>
      <c r="D258" s="36">
        <v>1</v>
      </c>
      <c r="E258" s="32" t="s">
        <v>8</v>
      </c>
      <c r="F258" s="33"/>
      <c r="G258" s="34">
        <f t="shared" si="65"/>
        <v>0</v>
      </c>
      <c r="H258" s="104"/>
    </row>
    <row r="259" spans="2:8" ht="54" hidden="1" outlineLevel="3" x14ac:dyDescent="0.35">
      <c r="B259" s="30">
        <f t="shared" si="64"/>
        <v>39.039999999999992</v>
      </c>
      <c r="C259" s="49" t="s">
        <v>174</v>
      </c>
      <c r="D259" s="36">
        <v>1</v>
      </c>
      <c r="E259" s="32" t="s">
        <v>8</v>
      </c>
      <c r="F259" s="33"/>
      <c r="G259" s="34">
        <f t="shared" si="65"/>
        <v>0</v>
      </c>
      <c r="H259" s="104"/>
    </row>
    <row r="260" spans="2:8" ht="54" hidden="1" outlineLevel="3" x14ac:dyDescent="0.35">
      <c r="B260" s="30">
        <f t="shared" si="64"/>
        <v>39.04999999999999</v>
      </c>
      <c r="C260" s="49" t="s">
        <v>178</v>
      </c>
      <c r="D260" s="36">
        <v>3</v>
      </c>
      <c r="E260" s="32" t="s">
        <v>8</v>
      </c>
      <c r="F260" s="33"/>
      <c r="G260" s="34">
        <f t="shared" si="65"/>
        <v>0</v>
      </c>
      <c r="H260" s="104"/>
    </row>
    <row r="261" spans="2:8" ht="36" hidden="1" outlineLevel="3" x14ac:dyDescent="0.35">
      <c r="B261" s="30">
        <f t="shared" si="64"/>
        <v>39.059999999999988</v>
      </c>
      <c r="C261" s="49" t="s">
        <v>179</v>
      </c>
      <c r="D261" s="36">
        <v>1</v>
      </c>
      <c r="E261" s="32" t="s">
        <v>8</v>
      </c>
      <c r="F261" s="33"/>
      <c r="G261" s="34">
        <f t="shared" si="65"/>
        <v>0</v>
      </c>
      <c r="H261" s="104"/>
    </row>
    <row r="262" spans="2:8" ht="36" hidden="1" outlineLevel="3" x14ac:dyDescent="0.35">
      <c r="B262" s="30">
        <f t="shared" si="64"/>
        <v>39.069999999999986</v>
      </c>
      <c r="C262" s="49" t="s">
        <v>180</v>
      </c>
      <c r="D262" s="36">
        <v>3</v>
      </c>
      <c r="E262" s="32" t="s">
        <v>8</v>
      </c>
      <c r="F262" s="33"/>
      <c r="G262" s="34">
        <f t="shared" si="65"/>
        <v>0</v>
      </c>
      <c r="H262" s="104"/>
    </row>
    <row r="263" spans="2:8" ht="54" hidden="1" outlineLevel="3" x14ac:dyDescent="0.35">
      <c r="B263" s="30">
        <f t="shared" si="64"/>
        <v>39.079999999999984</v>
      </c>
      <c r="C263" s="49" t="s">
        <v>181</v>
      </c>
      <c r="D263" s="36">
        <v>1</v>
      </c>
      <c r="E263" s="32" t="s">
        <v>8</v>
      </c>
      <c r="F263" s="33"/>
      <c r="G263" s="34">
        <f t="shared" si="65"/>
        <v>0</v>
      </c>
      <c r="H263" s="104"/>
    </row>
    <row r="264" spans="2:8" ht="54" hidden="1" outlineLevel="3" x14ac:dyDescent="0.35">
      <c r="B264" s="30">
        <f t="shared" si="64"/>
        <v>39.089999999999982</v>
      </c>
      <c r="C264" s="49" t="s">
        <v>182</v>
      </c>
      <c r="D264" s="36">
        <v>1</v>
      </c>
      <c r="E264" s="32" t="s">
        <v>8</v>
      </c>
      <c r="F264" s="33"/>
      <c r="G264" s="34">
        <f t="shared" si="65"/>
        <v>0</v>
      </c>
      <c r="H264" s="104"/>
    </row>
    <row r="265" spans="2:8" ht="36" hidden="1" outlineLevel="3" x14ac:dyDescent="0.35">
      <c r="B265" s="30">
        <f t="shared" si="64"/>
        <v>39.09999999999998</v>
      </c>
      <c r="C265" s="49" t="s">
        <v>183</v>
      </c>
      <c r="D265" s="36">
        <v>10</v>
      </c>
      <c r="E265" s="32" t="s">
        <v>8</v>
      </c>
      <c r="F265" s="33"/>
      <c r="G265" s="34">
        <f t="shared" si="65"/>
        <v>0</v>
      </c>
      <c r="H265" s="104"/>
    </row>
    <row r="266" spans="2:8" ht="72" hidden="1" outlineLevel="3" x14ac:dyDescent="0.35">
      <c r="B266" s="30">
        <f t="shared" si="64"/>
        <v>39.109999999999978</v>
      </c>
      <c r="C266" s="49" t="s">
        <v>184</v>
      </c>
      <c r="D266" s="36">
        <v>1</v>
      </c>
      <c r="E266" s="32" t="s">
        <v>8</v>
      </c>
      <c r="F266" s="33"/>
      <c r="G266" s="34">
        <f t="shared" si="65"/>
        <v>0</v>
      </c>
      <c r="H266" s="104"/>
    </row>
    <row r="267" spans="2:8" ht="54" hidden="1" outlineLevel="3" x14ac:dyDescent="0.35">
      <c r="B267" s="30">
        <f t="shared" si="64"/>
        <v>39.119999999999976</v>
      </c>
      <c r="C267" s="49" t="s">
        <v>185</v>
      </c>
      <c r="D267" s="36">
        <v>2</v>
      </c>
      <c r="E267" s="32" t="s">
        <v>8</v>
      </c>
      <c r="F267" s="33"/>
      <c r="G267" s="34">
        <f t="shared" si="65"/>
        <v>0</v>
      </c>
      <c r="H267" s="104"/>
    </row>
    <row r="268" spans="2:8" ht="54" hidden="1" outlineLevel="3" x14ac:dyDescent="0.35">
      <c r="B268" s="30">
        <f t="shared" si="64"/>
        <v>39.129999999999974</v>
      </c>
      <c r="C268" s="49" t="s">
        <v>186</v>
      </c>
      <c r="D268" s="36">
        <v>3</v>
      </c>
      <c r="E268" s="32" t="s">
        <v>8</v>
      </c>
      <c r="F268" s="33"/>
      <c r="G268" s="34">
        <f t="shared" si="65"/>
        <v>0</v>
      </c>
      <c r="H268" s="104"/>
    </row>
    <row r="269" spans="2:8" ht="54" hidden="1" outlineLevel="3" x14ac:dyDescent="0.35">
      <c r="B269" s="30">
        <f t="shared" si="64"/>
        <v>39.139999999999972</v>
      </c>
      <c r="C269" s="49" t="s">
        <v>187</v>
      </c>
      <c r="D269" s="36">
        <v>1</v>
      </c>
      <c r="E269" s="32" t="s">
        <v>8</v>
      </c>
      <c r="F269" s="33"/>
      <c r="G269" s="34">
        <f t="shared" si="65"/>
        <v>0</v>
      </c>
      <c r="H269" s="104"/>
    </row>
    <row r="270" spans="2:8" outlineLevel="2" x14ac:dyDescent="0.25">
      <c r="B270" s="155"/>
      <c r="C270" s="106"/>
      <c r="D270" s="105"/>
      <c r="E270" s="105"/>
      <c r="F270" s="105"/>
      <c r="G270" s="105"/>
      <c r="H270" s="105"/>
    </row>
    <row r="271" spans="2:8" ht="18" outlineLevel="2" collapsed="1" x14ac:dyDescent="0.25">
      <c r="B271" s="154">
        <f>+B255+1</f>
        <v>40</v>
      </c>
      <c r="C271" s="93" t="s">
        <v>103</v>
      </c>
      <c r="D271" s="94"/>
      <c r="E271" s="95"/>
      <c r="F271" s="96"/>
      <c r="G271" s="97"/>
      <c r="H271" s="103">
        <f>SUBTOTAL(9,G271:G284)</f>
        <v>0</v>
      </c>
    </row>
    <row r="272" spans="2:8" ht="18" hidden="1" outlineLevel="3" x14ac:dyDescent="0.35">
      <c r="B272" s="30">
        <f t="shared" ref="B272" si="66">+B271+0.01</f>
        <v>40.01</v>
      </c>
      <c r="C272" s="49" t="s">
        <v>104</v>
      </c>
      <c r="D272" s="36">
        <v>291.98</v>
      </c>
      <c r="E272" s="32" t="s">
        <v>19</v>
      </c>
      <c r="F272" s="33"/>
      <c r="G272" s="34">
        <f>ROUND(D272*F272,2)</f>
        <v>0</v>
      </c>
      <c r="H272" s="104"/>
    </row>
    <row r="273" spans="2:13" ht="18" hidden="1" outlineLevel="3" x14ac:dyDescent="0.35">
      <c r="B273" s="30">
        <f t="shared" ref="B273" si="67">+B271+0.01</f>
        <v>40.01</v>
      </c>
      <c r="C273" s="49" t="s">
        <v>107</v>
      </c>
      <c r="D273" s="36">
        <v>71.459999999999994</v>
      </c>
      <c r="E273" s="32" t="s">
        <v>7</v>
      </c>
      <c r="F273" s="33"/>
      <c r="G273" s="34">
        <f>ROUND(D273*F273,2)</f>
        <v>0</v>
      </c>
      <c r="H273" s="104"/>
    </row>
    <row r="274" spans="2:13" ht="18" hidden="1" outlineLevel="3" x14ac:dyDescent="0.35">
      <c r="B274" s="30">
        <f>+B272+0.01</f>
        <v>40.019999999999996</v>
      </c>
      <c r="C274" s="49" t="s">
        <v>105</v>
      </c>
      <c r="D274" s="36">
        <f>D273</f>
        <v>71.459999999999994</v>
      </c>
      <c r="E274" s="32" t="s">
        <v>7</v>
      </c>
      <c r="F274" s="33"/>
      <c r="G274" s="34">
        <f>ROUND(D274*F274,2)</f>
        <v>0</v>
      </c>
      <c r="H274" s="104"/>
    </row>
    <row r="275" spans="2:13" ht="18" hidden="1" outlineLevel="3" x14ac:dyDescent="0.35">
      <c r="B275" s="30">
        <f t="shared" ref="B275" si="68">+B273+0.01</f>
        <v>40.019999999999996</v>
      </c>
      <c r="C275" s="49" t="s">
        <v>106</v>
      </c>
      <c r="D275" s="36">
        <f>D272+(D273*0.55)</f>
        <v>331.28300000000002</v>
      </c>
      <c r="E275" s="32" t="s">
        <v>19</v>
      </c>
      <c r="F275" s="33"/>
      <c r="G275" s="34">
        <f>ROUND(D275*F275,2)</f>
        <v>0</v>
      </c>
      <c r="H275" s="104"/>
    </row>
    <row r="276" spans="2:13" ht="14" thickBot="1" x14ac:dyDescent="0.3"/>
    <row r="277" spans="2:13" s="59" customFormat="1" ht="18.5" thickBot="1" x14ac:dyDescent="0.4">
      <c r="B277" s="156"/>
      <c r="C277" s="81" t="s">
        <v>5</v>
      </c>
      <c r="D277" s="82"/>
      <c r="E277" s="144"/>
      <c r="F277" s="83"/>
      <c r="G277" s="84"/>
      <c r="H277" s="85">
        <f>SUM(G9:G275)</f>
        <v>0</v>
      </c>
      <c r="M277" s="151"/>
    </row>
    <row r="278" spans="2:13" ht="18" x14ac:dyDescent="0.35">
      <c r="B278" s="157"/>
      <c r="C278" s="68"/>
      <c r="D278" s="67"/>
      <c r="E278" s="69"/>
      <c r="F278" s="70"/>
      <c r="G278" s="71"/>
      <c r="H278" s="72"/>
      <c r="I278" s="59"/>
    </row>
    <row r="279" spans="2:13" s="59" customFormat="1" ht="18" x14ac:dyDescent="0.35">
      <c r="B279" s="158"/>
      <c r="C279" s="68" t="s">
        <v>48</v>
      </c>
      <c r="D279" s="73"/>
      <c r="E279" s="69"/>
      <c r="F279" s="70"/>
      <c r="G279" s="71"/>
      <c r="H279" s="72">
        <f>+SUBTOTAL(9,H280:H287)</f>
        <v>0</v>
      </c>
      <c r="M279" s="151"/>
    </row>
    <row r="280" spans="2:13" s="59" customFormat="1" ht="18" outlineLevel="1" x14ac:dyDescent="0.35">
      <c r="B280" s="158"/>
      <c r="C280" s="74" t="s">
        <v>232</v>
      </c>
      <c r="D280" s="64">
        <v>0.1</v>
      </c>
      <c r="E280" s="73"/>
      <c r="F280" s="73"/>
      <c r="G280" s="70">
        <f t="shared" ref="G280:G286" si="69">$H$277</f>
        <v>0</v>
      </c>
      <c r="H280" s="71">
        <f>D280*$H$277</f>
        <v>0</v>
      </c>
      <c r="M280" s="151"/>
    </row>
    <row r="281" spans="2:13" s="59" customFormat="1" ht="18" outlineLevel="1" x14ac:dyDescent="0.35">
      <c r="B281" s="158"/>
      <c r="C281" s="74" t="s">
        <v>49</v>
      </c>
      <c r="D281" s="64">
        <v>0.1</v>
      </c>
      <c r="E281" s="73"/>
      <c r="F281" s="73"/>
      <c r="G281" s="70">
        <f t="shared" si="69"/>
        <v>0</v>
      </c>
      <c r="H281" s="71">
        <f>D281*$H$277</f>
        <v>0</v>
      </c>
      <c r="M281" s="151"/>
    </row>
    <row r="282" spans="2:13" s="59" customFormat="1" ht="18" outlineLevel="1" x14ac:dyDescent="0.35">
      <c r="B282" s="158"/>
      <c r="C282" s="75" t="s">
        <v>50</v>
      </c>
      <c r="D282" s="64">
        <v>0.02</v>
      </c>
      <c r="E282" s="73"/>
      <c r="F282" s="70"/>
      <c r="G282" s="70">
        <f t="shared" si="69"/>
        <v>0</v>
      </c>
      <c r="H282" s="71">
        <f t="shared" ref="H282:H286" si="70">D282*$H$277</f>
        <v>0</v>
      </c>
      <c r="M282" s="151"/>
    </row>
    <row r="283" spans="2:13" s="59" customFormat="1" ht="18" outlineLevel="1" x14ac:dyDescent="0.35">
      <c r="B283" s="158"/>
      <c r="C283" s="74" t="s">
        <v>51</v>
      </c>
      <c r="D283" s="64">
        <v>0.04</v>
      </c>
      <c r="E283" s="73"/>
      <c r="F283" s="70"/>
      <c r="G283" s="70">
        <f t="shared" si="69"/>
        <v>0</v>
      </c>
      <c r="H283" s="71">
        <f t="shared" si="70"/>
        <v>0</v>
      </c>
      <c r="M283" s="151"/>
    </row>
    <row r="284" spans="2:13" s="59" customFormat="1" ht="18" outlineLevel="1" x14ac:dyDescent="0.35">
      <c r="B284" s="158"/>
      <c r="C284" s="75" t="s">
        <v>52</v>
      </c>
      <c r="D284" s="64">
        <v>0.01</v>
      </c>
      <c r="E284" s="73"/>
      <c r="F284" s="70"/>
      <c r="G284" s="70">
        <f t="shared" si="69"/>
        <v>0</v>
      </c>
      <c r="H284" s="71">
        <f t="shared" si="70"/>
        <v>0</v>
      </c>
      <c r="M284" s="151"/>
    </row>
    <row r="285" spans="2:13" s="59" customFormat="1" ht="18" outlineLevel="1" x14ac:dyDescent="0.35">
      <c r="B285" s="158"/>
      <c r="C285" s="75" t="s">
        <v>53</v>
      </c>
      <c r="D285" s="64">
        <v>2.5000000000000001E-2</v>
      </c>
      <c r="E285" s="73"/>
      <c r="F285" s="76"/>
      <c r="G285" s="70">
        <f t="shared" si="69"/>
        <v>0</v>
      </c>
      <c r="H285" s="71">
        <f t="shared" si="70"/>
        <v>0</v>
      </c>
      <c r="M285" s="151"/>
    </row>
    <row r="286" spans="2:13" s="59" customFormat="1" ht="18" outlineLevel="1" x14ac:dyDescent="0.35">
      <c r="B286" s="158"/>
      <c r="C286" s="74" t="s">
        <v>57</v>
      </c>
      <c r="D286" s="64">
        <v>1E-4</v>
      </c>
      <c r="E286" s="73"/>
      <c r="F286" s="70"/>
      <c r="G286" s="70">
        <f t="shared" si="69"/>
        <v>0</v>
      </c>
      <c r="H286" s="71">
        <f t="shared" si="70"/>
        <v>0</v>
      </c>
      <c r="M286" s="151"/>
    </row>
    <row r="287" spans="2:13" s="59" customFormat="1" ht="18" outlineLevel="1" x14ac:dyDescent="0.35">
      <c r="B287" s="158"/>
      <c r="C287" s="74" t="s">
        <v>54</v>
      </c>
      <c r="D287" s="64">
        <v>0.18</v>
      </c>
      <c r="E287" s="73"/>
      <c r="F287" s="70"/>
      <c r="G287" s="70">
        <f>$H$281</f>
        <v>0</v>
      </c>
      <c r="H287" s="71">
        <f>D287*$H$281</f>
        <v>0</v>
      </c>
      <c r="M287" s="151"/>
    </row>
    <row r="288" spans="2:13" ht="14" outlineLevel="1" thickBot="1" x14ac:dyDescent="0.3"/>
    <row r="289" spans="2:13" s="59" customFormat="1" ht="18.5" outlineLevel="1" thickBot="1" x14ac:dyDescent="0.4">
      <c r="B289" s="156"/>
      <c r="C289" s="81" t="s">
        <v>5</v>
      </c>
      <c r="D289" s="82"/>
      <c r="E289" s="144"/>
      <c r="F289" s="83"/>
      <c r="G289" s="84"/>
      <c r="H289" s="85">
        <f>+H277+H279</f>
        <v>0</v>
      </c>
      <c r="M289" s="151"/>
    </row>
    <row r="290" spans="2:13" s="59" customFormat="1" ht="18.5" thickBot="1" x14ac:dyDescent="0.4">
      <c r="B290" s="159"/>
      <c r="C290" s="65"/>
      <c r="D290" s="60"/>
      <c r="F290" s="61"/>
      <c r="G290" s="62"/>
      <c r="H290" s="62"/>
      <c r="M290" s="151"/>
    </row>
    <row r="291" spans="2:13" s="59" customFormat="1" ht="18.5" thickBot="1" x14ac:dyDescent="0.4">
      <c r="B291" s="160"/>
      <c r="C291" s="54" t="s">
        <v>55</v>
      </c>
      <c r="D291" s="86">
        <v>0.05</v>
      </c>
      <c r="E291" s="143"/>
      <c r="F291" s="56"/>
      <c r="G291" s="57">
        <f>+H289</f>
        <v>0</v>
      </c>
      <c r="H291" s="58">
        <f>+D291*G291</f>
        <v>0</v>
      </c>
      <c r="M291" s="151"/>
    </row>
    <row r="292" spans="2:13" s="59" customFormat="1" ht="18.5" thickBot="1" x14ac:dyDescent="0.4">
      <c r="B292" s="159"/>
      <c r="C292" s="63"/>
      <c r="E292" s="60"/>
      <c r="F292" s="61"/>
      <c r="G292" s="62"/>
      <c r="H292" s="62"/>
      <c r="M292" s="151"/>
    </row>
    <row r="293" spans="2:13" s="59" customFormat="1" ht="18.5" thickBot="1" x14ac:dyDescent="0.4">
      <c r="B293" s="160"/>
      <c r="C293" s="54" t="s">
        <v>56</v>
      </c>
      <c r="D293" s="53"/>
      <c r="E293" s="55"/>
      <c r="F293" s="56"/>
      <c r="G293" s="57"/>
      <c r="H293" s="58">
        <f>+H291+H289</f>
        <v>0</v>
      </c>
      <c r="M293" s="151"/>
    </row>
    <row r="294" spans="2:13" ht="18" x14ac:dyDescent="0.35">
      <c r="I294" s="59"/>
      <c r="J294" s="59"/>
    </row>
    <row r="295" spans="2:13" ht="18" x14ac:dyDescent="0.35">
      <c r="I295" s="59"/>
      <c r="J295" s="59"/>
    </row>
    <row r="296" spans="2:13" ht="18" x14ac:dyDescent="0.35">
      <c r="I296" s="59"/>
      <c r="J296" s="59"/>
    </row>
  </sheetData>
  <autoFilter ref="B7:H294"/>
  <mergeCells count="1">
    <mergeCell ref="C2:H2"/>
  </mergeCells>
  <pageMargins left="0.7" right="0.7" top="0.75" bottom="0.75" header="0.3" footer="0.3"/>
  <pageSetup scale="42" fitToHeight="0" orientation="portrait" r:id="rId1"/>
  <rowBreaks count="3" manualBreakCount="3">
    <brk id="155" min="1" max="7" man="1"/>
    <brk id="278" min="1" max="7" man="1"/>
    <brk id="288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62"/>
  <sheetViews>
    <sheetView tabSelected="1" zoomScale="70" zoomScaleNormal="70" workbookViewId="0">
      <selection activeCell="G100" sqref="G100"/>
    </sheetView>
    <sheetView tabSelected="1" workbookViewId="1"/>
  </sheetViews>
  <sheetFormatPr baseColWidth="10" defaultColWidth="9.1796875" defaultRowHeight="13.5" outlineLevelRow="3" x14ac:dyDescent="0.25"/>
  <cols>
    <col min="1" max="1" width="11.7265625" style="1" bestFit="1" customWidth="1"/>
    <col min="2" max="2" width="82" style="51" customWidth="1"/>
    <col min="3" max="3" width="13.81640625" style="1" bestFit="1" customWidth="1"/>
    <col min="4" max="4" width="11" style="1" bestFit="1" customWidth="1"/>
    <col min="5" max="5" width="19" style="1" bestFit="1" customWidth="1"/>
    <col min="6" max="6" width="17.26953125" style="1" bestFit="1" customWidth="1"/>
    <col min="7" max="7" width="19.453125" style="1" bestFit="1" customWidth="1"/>
    <col min="8" max="8" width="9.26953125" style="1" bestFit="1" customWidth="1"/>
    <col min="9" max="16384" width="9.1796875" style="1"/>
  </cols>
  <sheetData>
    <row r="1" spans="1:7" ht="17.5" x14ac:dyDescent="0.25">
      <c r="B1" s="43"/>
      <c r="C1" s="2"/>
      <c r="D1" s="2"/>
      <c r="E1" s="2"/>
      <c r="F1" s="2"/>
      <c r="G1" s="2"/>
    </row>
    <row r="2" spans="1:7" ht="17.5" x14ac:dyDescent="0.25">
      <c r="B2" s="165" t="s">
        <v>11</v>
      </c>
      <c r="C2" s="165"/>
      <c r="D2" s="165"/>
      <c r="E2" s="165"/>
      <c r="F2" s="165"/>
      <c r="G2" s="165"/>
    </row>
    <row r="3" spans="1:7" ht="17.5" x14ac:dyDescent="0.25">
      <c r="B3" s="44"/>
      <c r="C3" s="107"/>
      <c r="D3" s="107"/>
      <c r="E3" s="107"/>
      <c r="F3" s="107"/>
      <c r="G3" s="107"/>
    </row>
    <row r="4" spans="1:7" ht="18" x14ac:dyDescent="0.25">
      <c r="B4" s="43" t="s">
        <v>10</v>
      </c>
      <c r="C4" s="2"/>
      <c r="D4" s="4"/>
      <c r="E4" s="5" t="s">
        <v>12</v>
      </c>
      <c r="F4" s="4"/>
      <c r="G4" s="4"/>
    </row>
    <row r="5" spans="1:7" ht="18" x14ac:dyDescent="0.25">
      <c r="B5" s="43" t="s">
        <v>9</v>
      </c>
      <c r="C5" s="2"/>
      <c r="D5" s="7"/>
      <c r="E5" s="5" t="s">
        <v>13</v>
      </c>
      <c r="F5" s="7"/>
      <c r="G5" s="7"/>
    </row>
    <row r="6" spans="1:7" ht="18" thickBot="1" x14ac:dyDescent="0.3">
      <c r="B6" s="45"/>
      <c r="C6" s="107"/>
      <c r="D6" s="107"/>
      <c r="E6" s="107"/>
      <c r="F6" s="107"/>
      <c r="G6" s="107"/>
    </row>
    <row r="7" spans="1:7" s="14" customFormat="1" ht="30.5" thickBot="1" x14ac:dyDescent="0.4">
      <c r="A7" s="10" t="s">
        <v>0</v>
      </c>
      <c r="B7" s="11" t="s">
        <v>1</v>
      </c>
      <c r="C7" s="12" t="s">
        <v>2</v>
      </c>
      <c r="D7" s="12" t="s">
        <v>3</v>
      </c>
      <c r="E7" s="11" t="s">
        <v>4</v>
      </c>
      <c r="F7" s="12" t="s">
        <v>5</v>
      </c>
      <c r="G7" s="13" t="s">
        <v>6</v>
      </c>
    </row>
    <row r="8" spans="1:7" ht="17.5" x14ac:dyDescent="0.35">
      <c r="A8" s="15"/>
      <c r="B8" s="46"/>
      <c r="C8" s="16"/>
      <c r="D8" s="16"/>
      <c r="E8" s="16"/>
      <c r="F8" s="16"/>
      <c r="G8" s="17"/>
    </row>
    <row r="9" spans="1:7" ht="18" x14ac:dyDescent="0.35">
      <c r="A9" s="131"/>
      <c r="B9" s="132" t="s">
        <v>142</v>
      </c>
      <c r="C9" s="133"/>
      <c r="D9" s="134"/>
      <c r="E9" s="135"/>
      <c r="F9" s="136"/>
      <c r="G9" s="137"/>
    </row>
    <row r="10" spans="1:7" ht="18" outlineLevel="1" x14ac:dyDescent="0.35">
      <c r="A10" s="115"/>
      <c r="B10" s="116" t="s">
        <v>143</v>
      </c>
      <c r="C10" s="117"/>
      <c r="D10" s="118"/>
      <c r="E10" s="119"/>
      <c r="F10" s="120"/>
      <c r="G10" s="121"/>
    </row>
    <row r="11" spans="1:7" ht="18" outlineLevel="2" x14ac:dyDescent="0.35">
      <c r="A11" s="122"/>
      <c r="B11" s="123"/>
      <c r="C11" s="124"/>
      <c r="D11" s="125"/>
      <c r="E11" s="126"/>
      <c r="F11" s="127"/>
      <c r="G11" s="128"/>
    </row>
    <row r="12" spans="1:7" ht="18" outlineLevel="2" collapsed="1" x14ac:dyDescent="0.25">
      <c r="A12" s="102">
        <v>1</v>
      </c>
      <c r="B12" s="93" t="s">
        <v>17</v>
      </c>
      <c r="C12" s="94"/>
      <c r="D12" s="95"/>
      <c r="E12" s="96"/>
      <c r="F12" s="97"/>
      <c r="G12" s="103">
        <f>SUBTOTAL(9,F12:F24)</f>
        <v>0</v>
      </c>
    </row>
    <row r="13" spans="1:7" s="110" customFormat="1" ht="18" hidden="1" outlineLevel="3" x14ac:dyDescent="0.35">
      <c r="A13" s="130">
        <f t="shared" ref="A13:A14" si="0">+A12+0.01</f>
        <v>1.01</v>
      </c>
      <c r="B13" s="108" t="s">
        <v>72</v>
      </c>
      <c r="C13" s="36">
        <v>463.57</v>
      </c>
      <c r="D13" s="37" t="s">
        <v>19</v>
      </c>
      <c r="E13" s="38"/>
      <c r="F13" s="109">
        <f>ROUND(C13*E13,2)</f>
        <v>0</v>
      </c>
      <c r="G13" s="112"/>
    </row>
    <row r="14" spans="1:7" s="110" customFormat="1" ht="18" hidden="1" outlineLevel="3" x14ac:dyDescent="0.35">
      <c r="A14" s="130">
        <f t="shared" si="0"/>
        <v>1.02</v>
      </c>
      <c r="B14" s="108" t="s">
        <v>162</v>
      </c>
      <c r="C14" s="36">
        <v>1</v>
      </c>
      <c r="D14" s="37" t="s">
        <v>111</v>
      </c>
      <c r="E14" s="38"/>
      <c r="F14" s="109">
        <v>0</v>
      </c>
      <c r="G14" s="112"/>
    </row>
    <row r="15" spans="1:7" ht="18" outlineLevel="2" x14ac:dyDescent="0.35">
      <c r="A15" s="100"/>
      <c r="B15" s="50"/>
      <c r="C15" s="36"/>
      <c r="D15" s="40"/>
      <c r="E15" s="36"/>
      <c r="F15" s="34"/>
      <c r="G15" s="101"/>
    </row>
    <row r="16" spans="1:7" ht="18" outlineLevel="2" collapsed="1" x14ac:dyDescent="0.25">
      <c r="A16" s="102">
        <f>+A12+1</f>
        <v>2</v>
      </c>
      <c r="B16" s="93" t="s">
        <v>16</v>
      </c>
      <c r="C16" s="94"/>
      <c r="D16" s="95"/>
      <c r="E16" s="96"/>
      <c r="F16" s="97"/>
      <c r="G16" s="103">
        <f>SUBTOTAL(9,F16:F23)</f>
        <v>0</v>
      </c>
    </row>
    <row r="17" spans="1:7" s="110" customFormat="1" ht="18" hidden="1" outlineLevel="3" x14ac:dyDescent="0.35">
      <c r="A17" s="130">
        <f t="shared" ref="A17:A23" si="1">+A16+0.01</f>
        <v>2.0099999999999998</v>
      </c>
      <c r="B17" s="108" t="s">
        <v>148</v>
      </c>
      <c r="C17" s="36">
        <v>247.94</v>
      </c>
      <c r="D17" s="37" t="s">
        <v>19</v>
      </c>
      <c r="E17" s="38"/>
      <c r="F17" s="109">
        <f>ROUND(C17*E17,2)</f>
        <v>0</v>
      </c>
      <c r="G17" s="112"/>
    </row>
    <row r="18" spans="1:7" s="110" customFormat="1" ht="18" hidden="1" outlineLevel="3" x14ac:dyDescent="0.35">
      <c r="A18" s="130">
        <f t="shared" si="1"/>
        <v>2.0199999999999996</v>
      </c>
      <c r="B18" s="108" t="s">
        <v>76</v>
      </c>
      <c r="C18" s="36">
        <v>44.56</v>
      </c>
      <c r="D18" s="37" t="s">
        <v>19</v>
      </c>
      <c r="E18" s="38"/>
      <c r="F18" s="109">
        <f>ROUND(C18*E18,2)</f>
        <v>0</v>
      </c>
      <c r="G18" s="112"/>
    </row>
    <row r="19" spans="1:7" s="110" customFormat="1" ht="18" hidden="1" outlineLevel="3" x14ac:dyDescent="0.35">
      <c r="A19" s="130">
        <f t="shared" si="1"/>
        <v>2.0299999999999994</v>
      </c>
      <c r="B19" s="108" t="s">
        <v>150</v>
      </c>
      <c r="C19" s="36">
        <v>25.33</v>
      </c>
      <c r="D19" s="37" t="s">
        <v>19</v>
      </c>
      <c r="E19" s="38"/>
      <c r="F19" s="109">
        <f>ROUND(C19*E19,2)</f>
        <v>0</v>
      </c>
      <c r="G19" s="112"/>
    </row>
    <row r="20" spans="1:7" s="110" customFormat="1" ht="18" hidden="1" outlineLevel="3" x14ac:dyDescent="0.35">
      <c r="A20" s="130">
        <f t="shared" si="1"/>
        <v>2.0399999999999991</v>
      </c>
      <c r="B20" s="108" t="s">
        <v>151</v>
      </c>
      <c r="C20" s="36">
        <f>26.32*2.55</f>
        <v>67.116</v>
      </c>
      <c r="D20" s="37" t="s">
        <v>19</v>
      </c>
      <c r="E20" s="38"/>
      <c r="F20" s="109">
        <f>ROUND(C20*E20,2)</f>
        <v>0</v>
      </c>
      <c r="G20" s="112"/>
    </row>
    <row r="21" spans="1:7" s="110" customFormat="1" ht="18" hidden="1" outlineLevel="3" x14ac:dyDescent="0.35">
      <c r="A21" s="130">
        <f t="shared" si="1"/>
        <v>2.0499999999999989</v>
      </c>
      <c r="B21" s="108" t="s">
        <v>149</v>
      </c>
      <c r="C21" s="36">
        <v>4</v>
      </c>
      <c r="D21" s="37" t="s">
        <v>8</v>
      </c>
      <c r="E21" s="38"/>
      <c r="F21" s="109">
        <f t="shared" ref="F21:F23" si="2">ROUND(C21*E21,2)</f>
        <v>0</v>
      </c>
      <c r="G21" s="112"/>
    </row>
    <row r="22" spans="1:7" s="110" customFormat="1" ht="18" hidden="1" outlineLevel="3" x14ac:dyDescent="0.35">
      <c r="A22" s="130">
        <f t="shared" si="1"/>
        <v>2.0599999999999987</v>
      </c>
      <c r="B22" s="108" t="s">
        <v>29</v>
      </c>
      <c r="C22" s="36">
        <v>1</v>
      </c>
      <c r="D22" s="37" t="s">
        <v>8</v>
      </c>
      <c r="E22" s="36"/>
      <c r="F22" s="109">
        <f t="shared" si="2"/>
        <v>0</v>
      </c>
      <c r="G22" s="129"/>
    </row>
    <row r="23" spans="1:7" ht="18" hidden="1" outlineLevel="3" x14ac:dyDescent="0.35">
      <c r="A23" s="130">
        <f t="shared" si="1"/>
        <v>2.0699999999999985</v>
      </c>
      <c r="B23" s="50" t="s">
        <v>31</v>
      </c>
      <c r="C23" s="36">
        <v>7</v>
      </c>
      <c r="D23" s="37" t="s">
        <v>30</v>
      </c>
      <c r="E23" s="36"/>
      <c r="F23" s="34">
        <f t="shared" si="2"/>
        <v>0</v>
      </c>
      <c r="G23" s="101"/>
    </row>
    <row r="24" spans="1:7" ht="18" outlineLevel="2" x14ac:dyDescent="0.35">
      <c r="A24" s="100"/>
      <c r="B24" s="50"/>
      <c r="C24" s="36"/>
      <c r="D24" s="40"/>
      <c r="E24" s="36"/>
      <c r="F24" s="34"/>
      <c r="G24" s="101"/>
    </row>
    <row r="25" spans="1:7" ht="18" outlineLevel="2" collapsed="1" x14ac:dyDescent="0.25">
      <c r="A25" s="102">
        <f>+A16+1</f>
        <v>3</v>
      </c>
      <c r="B25" s="93" t="s">
        <v>32</v>
      </c>
      <c r="C25" s="94"/>
      <c r="D25" s="95"/>
      <c r="E25" s="96"/>
      <c r="F25" s="97"/>
      <c r="G25" s="103">
        <f>SUBTOTAL(9,F25:F35)</f>
        <v>0</v>
      </c>
    </row>
    <row r="26" spans="1:7" s="110" customFormat="1" ht="18" hidden="1" outlineLevel="3" x14ac:dyDescent="0.35">
      <c r="A26" s="130">
        <f t="shared" ref="A26:A34" si="3">+A25+0.01</f>
        <v>3.01</v>
      </c>
      <c r="B26" s="108" t="s">
        <v>152</v>
      </c>
      <c r="C26" s="36">
        <v>247.94</v>
      </c>
      <c r="D26" s="37" t="s">
        <v>19</v>
      </c>
      <c r="E26" s="38"/>
      <c r="F26" s="109">
        <f>ROUND(C26*E26,2)</f>
        <v>0</v>
      </c>
      <c r="G26" s="112"/>
    </row>
    <row r="27" spans="1:7" s="110" customFormat="1" ht="18" hidden="1" outlineLevel="3" x14ac:dyDescent="0.35">
      <c r="A27" s="130">
        <f t="shared" si="3"/>
        <v>3.0199999999999996</v>
      </c>
      <c r="B27" s="108" t="s">
        <v>156</v>
      </c>
      <c r="C27" s="36">
        <v>247.94</v>
      </c>
      <c r="D27" s="37" t="s">
        <v>19</v>
      </c>
      <c r="E27" s="38"/>
      <c r="F27" s="109">
        <f>ROUND(C27*E27,2)</f>
        <v>0</v>
      </c>
      <c r="G27" s="112"/>
    </row>
    <row r="28" spans="1:7" s="110" customFormat="1" ht="18" hidden="1" outlineLevel="3" x14ac:dyDescent="0.35">
      <c r="A28" s="130">
        <f t="shared" si="3"/>
        <v>3.0299999999999994</v>
      </c>
      <c r="B28" s="108" t="s">
        <v>154</v>
      </c>
      <c r="C28" s="36">
        <f>81.07+36.82*2</f>
        <v>154.70999999999998</v>
      </c>
      <c r="D28" s="37" t="s">
        <v>7</v>
      </c>
      <c r="E28" s="38"/>
      <c r="F28" s="109">
        <f>ROUND(C28*E28,2)</f>
        <v>0</v>
      </c>
      <c r="G28" s="112"/>
    </row>
    <row r="29" spans="1:7" s="110" customFormat="1" ht="18" hidden="1" outlineLevel="3" x14ac:dyDescent="0.35">
      <c r="A29" s="130"/>
      <c r="B29" s="108"/>
      <c r="C29" s="36"/>
      <c r="D29" s="37"/>
      <c r="E29" s="38"/>
      <c r="F29" s="109"/>
      <c r="G29" s="112"/>
    </row>
    <row r="30" spans="1:7" s="110" customFormat="1" ht="18" hidden="1" outlineLevel="3" x14ac:dyDescent="0.35">
      <c r="A30" s="130">
        <f>+A28+0.01</f>
        <v>3.0399999999999991</v>
      </c>
      <c r="B30" s="108" t="s">
        <v>153</v>
      </c>
      <c r="C30" s="36">
        <v>189.25</v>
      </c>
      <c r="D30" s="37" t="s">
        <v>19</v>
      </c>
      <c r="E30" s="38"/>
      <c r="F30" s="109">
        <f>ROUND(C30*E30,2)</f>
        <v>0</v>
      </c>
      <c r="G30" s="112"/>
    </row>
    <row r="31" spans="1:7" s="110" customFormat="1" ht="36" hidden="1" outlineLevel="3" x14ac:dyDescent="0.35">
      <c r="A31" s="130">
        <f t="shared" si="3"/>
        <v>3.0499999999999989</v>
      </c>
      <c r="B31" s="108" t="s">
        <v>155</v>
      </c>
      <c r="C31" s="36">
        <v>204.85</v>
      </c>
      <c r="D31" s="37" t="s">
        <v>7</v>
      </c>
      <c r="E31" s="38"/>
      <c r="F31" s="109">
        <f t="shared" ref="F31" si="4">ROUND(C31*E31,2)</f>
        <v>0</v>
      </c>
      <c r="G31" s="112"/>
    </row>
    <row r="32" spans="1:7" s="110" customFormat="1" ht="18" hidden="1" outlineLevel="3" x14ac:dyDescent="0.35">
      <c r="A32" s="130"/>
      <c r="B32" s="108"/>
      <c r="C32" s="36"/>
      <c r="D32" s="37"/>
      <c r="E32" s="38"/>
      <c r="F32" s="109"/>
      <c r="G32" s="112"/>
    </row>
    <row r="33" spans="1:7" s="110" customFormat="1" ht="18" hidden="1" outlineLevel="3" x14ac:dyDescent="0.35">
      <c r="A33" s="130">
        <f>+A31+0.01</f>
        <v>3.0599999999999987</v>
      </c>
      <c r="B33" s="108" t="s">
        <v>66</v>
      </c>
      <c r="C33" s="36">
        <f>26.32*2.6</f>
        <v>68.432000000000002</v>
      </c>
      <c r="D33" s="37" t="s">
        <v>19</v>
      </c>
      <c r="E33" s="38"/>
      <c r="F33" s="109">
        <f t="shared" ref="F33:F34" si="5">ROUND(C33*E33,2)</f>
        <v>0</v>
      </c>
      <c r="G33" s="112"/>
    </row>
    <row r="34" spans="1:7" s="110" customFormat="1" ht="18" hidden="1" outlineLevel="3" x14ac:dyDescent="0.35">
      <c r="A34" s="130">
        <f t="shared" si="3"/>
        <v>3.0699999999999985</v>
      </c>
      <c r="B34" s="108" t="s">
        <v>65</v>
      </c>
      <c r="C34" s="36">
        <v>25.33</v>
      </c>
      <c r="D34" s="37" t="s">
        <v>19</v>
      </c>
      <c r="E34" s="38"/>
      <c r="F34" s="109">
        <f t="shared" si="5"/>
        <v>0</v>
      </c>
      <c r="G34" s="112"/>
    </row>
    <row r="35" spans="1:7" outlineLevel="2" x14ac:dyDescent="0.25">
      <c r="A35" s="105"/>
      <c r="B35" s="106"/>
      <c r="C35" s="105"/>
      <c r="D35" s="105"/>
      <c r="E35" s="105"/>
      <c r="F35" s="105"/>
      <c r="G35" s="105"/>
    </row>
    <row r="36" spans="1:7" ht="18" outlineLevel="2" collapsed="1" x14ac:dyDescent="0.25">
      <c r="A36" s="102">
        <f>+A25+1</f>
        <v>4</v>
      </c>
      <c r="B36" s="93" t="s">
        <v>203</v>
      </c>
      <c r="C36" s="94"/>
      <c r="D36" s="95"/>
      <c r="E36" s="96"/>
      <c r="F36" s="97"/>
      <c r="G36" s="103">
        <f>SUBTOTAL(9,F36:F38)</f>
        <v>0</v>
      </c>
    </row>
    <row r="37" spans="1:7" s="110" customFormat="1" ht="18" hidden="1" outlineLevel="3" x14ac:dyDescent="0.35">
      <c r="A37" s="130">
        <f>+A36+0.01</f>
        <v>4.01</v>
      </c>
      <c r="B37" s="108" t="s">
        <v>204</v>
      </c>
      <c r="C37" s="36">
        <v>150</v>
      </c>
      <c r="D37" s="37" t="s">
        <v>8</v>
      </c>
      <c r="E37" s="38"/>
      <c r="F37" s="109">
        <f t="shared" ref="F37:F38" si="6">ROUND(C37*E37,2)</f>
        <v>0</v>
      </c>
      <c r="G37" s="112"/>
    </row>
    <row r="38" spans="1:7" s="110" customFormat="1" ht="18" hidden="1" outlineLevel="3" x14ac:dyDescent="0.35">
      <c r="A38" s="130">
        <f t="shared" ref="A38" si="7">+A37+0.01</f>
        <v>4.0199999999999996</v>
      </c>
      <c r="B38" s="108" t="s">
        <v>239</v>
      </c>
      <c r="C38" s="36">
        <v>150</v>
      </c>
      <c r="D38" s="37" t="s">
        <v>8</v>
      </c>
      <c r="E38" s="38"/>
      <c r="F38" s="109">
        <f t="shared" si="6"/>
        <v>0</v>
      </c>
      <c r="G38" s="112"/>
    </row>
    <row r="39" spans="1:7" outlineLevel="2" x14ac:dyDescent="0.25">
      <c r="A39" s="105"/>
      <c r="B39" s="106"/>
      <c r="C39" s="105"/>
      <c r="D39" s="105"/>
      <c r="E39" s="105"/>
      <c r="F39" s="105"/>
      <c r="G39" s="105"/>
    </row>
    <row r="40" spans="1:7" ht="18" outlineLevel="2" collapsed="1" x14ac:dyDescent="0.25">
      <c r="A40" s="102">
        <f>+A36+1</f>
        <v>5</v>
      </c>
      <c r="B40" s="93" t="s">
        <v>33</v>
      </c>
      <c r="C40" s="94"/>
      <c r="D40" s="95"/>
      <c r="E40" s="96"/>
      <c r="F40" s="97"/>
      <c r="G40" s="103">
        <f>SUBTOTAL(9,F40:F42)</f>
        <v>0</v>
      </c>
    </row>
    <row r="41" spans="1:7" s="110" customFormat="1" ht="18" hidden="1" outlineLevel="3" x14ac:dyDescent="0.35">
      <c r="A41" s="130">
        <f t="shared" ref="A41" si="8">+A40+0.01</f>
        <v>5.01</v>
      </c>
      <c r="B41" s="108" t="s">
        <v>157</v>
      </c>
      <c r="C41" s="36">
        <v>463.57</v>
      </c>
      <c r="D41" s="37" t="s">
        <v>19</v>
      </c>
      <c r="E41" s="38"/>
      <c r="F41" s="109">
        <f>ROUND(C41*E41,2)</f>
        <v>0</v>
      </c>
      <c r="G41" s="112"/>
    </row>
    <row r="42" spans="1:7" outlineLevel="2" x14ac:dyDescent="0.25">
      <c r="A42" s="105"/>
      <c r="B42" s="106"/>
      <c r="C42" s="105"/>
      <c r="D42" s="105"/>
      <c r="E42" s="105"/>
      <c r="F42" s="105"/>
      <c r="G42" s="105"/>
    </row>
    <row r="43" spans="1:7" ht="18" outlineLevel="2" collapsed="1" x14ac:dyDescent="0.25">
      <c r="A43" s="102">
        <f>+A40+1</f>
        <v>6</v>
      </c>
      <c r="B43" s="93" t="s">
        <v>58</v>
      </c>
      <c r="C43" s="94"/>
      <c r="D43" s="95"/>
      <c r="E43" s="96"/>
      <c r="F43" s="97"/>
      <c r="G43" s="103">
        <f>SUBTOTAL(9,F43:F52)</f>
        <v>0</v>
      </c>
    </row>
    <row r="44" spans="1:7" s="110" customFormat="1" ht="18" hidden="1" outlineLevel="3" x14ac:dyDescent="0.35">
      <c r="A44" s="130">
        <f t="shared" ref="A44:A51" si="9">+A43+0.01</f>
        <v>6.01</v>
      </c>
      <c r="B44" s="108" t="s">
        <v>36</v>
      </c>
      <c r="C44" s="36">
        <v>6</v>
      </c>
      <c r="D44" s="37" t="s">
        <v>8</v>
      </c>
      <c r="E44" s="111"/>
      <c r="F44" s="109">
        <f>ROUND(C44*E44,2)</f>
        <v>0</v>
      </c>
      <c r="G44" s="112"/>
    </row>
    <row r="45" spans="1:7" s="110" customFormat="1" ht="18" hidden="1" outlineLevel="3" x14ac:dyDescent="0.35">
      <c r="A45" s="130">
        <f t="shared" si="9"/>
        <v>6.02</v>
      </c>
      <c r="B45" s="108" t="s">
        <v>101</v>
      </c>
      <c r="C45" s="36">
        <v>2</v>
      </c>
      <c r="D45" s="37" t="s">
        <v>8</v>
      </c>
      <c r="E45" s="111"/>
      <c r="F45" s="109">
        <f>ROUND(C45*E45,2)</f>
        <v>0</v>
      </c>
      <c r="G45" s="112"/>
    </row>
    <row r="46" spans="1:7" s="110" customFormat="1" ht="18" hidden="1" outlineLevel="3" x14ac:dyDescent="0.35">
      <c r="A46" s="130">
        <f t="shared" si="9"/>
        <v>6.0299999999999994</v>
      </c>
      <c r="B46" s="108" t="s">
        <v>159</v>
      </c>
      <c r="C46" s="36">
        <v>6</v>
      </c>
      <c r="D46" s="37" t="s">
        <v>8</v>
      </c>
      <c r="E46" s="111"/>
      <c r="F46" s="109">
        <f t="shared" ref="F46" si="10">ROUND(C46*E46,2)</f>
        <v>0</v>
      </c>
      <c r="G46" s="112"/>
    </row>
    <row r="47" spans="1:7" s="110" customFormat="1" ht="18" hidden="1" outlineLevel="3" x14ac:dyDescent="0.35">
      <c r="A47" s="130">
        <f t="shared" si="9"/>
        <v>6.0399999999999991</v>
      </c>
      <c r="B47" s="108" t="s">
        <v>160</v>
      </c>
      <c r="C47" s="36">
        <v>1</v>
      </c>
      <c r="D47" s="37" t="s">
        <v>8</v>
      </c>
      <c r="E47" s="111"/>
      <c r="F47" s="109">
        <f t="shared" ref="F47:F48" si="11">ROUND(C47*E47,2)</f>
        <v>0</v>
      </c>
      <c r="G47" s="112"/>
    </row>
    <row r="48" spans="1:7" s="110" customFormat="1" ht="18" hidden="1" outlineLevel="3" x14ac:dyDescent="0.35">
      <c r="A48" s="130">
        <f t="shared" si="9"/>
        <v>6.0499999999999989</v>
      </c>
      <c r="B48" s="108" t="s">
        <v>100</v>
      </c>
      <c r="C48" s="36">
        <v>6</v>
      </c>
      <c r="D48" s="37" t="s">
        <v>8</v>
      </c>
      <c r="E48" s="111"/>
      <c r="F48" s="109">
        <f t="shared" si="11"/>
        <v>0</v>
      </c>
      <c r="G48" s="112"/>
    </row>
    <row r="49" spans="1:7" s="110" customFormat="1" ht="18" hidden="1" outlineLevel="3" x14ac:dyDescent="0.35">
      <c r="A49" s="130">
        <f t="shared" si="9"/>
        <v>6.0599999999999987</v>
      </c>
      <c r="B49" s="108" t="s">
        <v>102</v>
      </c>
      <c r="C49" s="36">
        <f>1.9*2</f>
        <v>3.8</v>
      </c>
      <c r="D49" s="37" t="s">
        <v>7</v>
      </c>
      <c r="E49" s="111"/>
      <c r="F49" s="109">
        <f t="shared" ref="F49:F51" si="12">ROUND(C49*E49,2)</f>
        <v>0</v>
      </c>
      <c r="G49" s="112"/>
    </row>
    <row r="50" spans="1:7" s="110" customFormat="1" ht="18" hidden="1" outlineLevel="3" x14ac:dyDescent="0.35">
      <c r="A50" s="130">
        <f t="shared" si="9"/>
        <v>6.0699999999999985</v>
      </c>
      <c r="B50" s="108" t="s">
        <v>46</v>
      </c>
      <c r="C50" s="36">
        <v>2</v>
      </c>
      <c r="D50" s="37" t="s">
        <v>8</v>
      </c>
      <c r="E50" s="111"/>
      <c r="F50" s="109">
        <f t="shared" si="12"/>
        <v>0</v>
      </c>
      <c r="G50" s="112"/>
    </row>
    <row r="51" spans="1:7" s="110" customFormat="1" ht="18" hidden="1" outlineLevel="3" x14ac:dyDescent="0.35">
      <c r="A51" s="130">
        <f t="shared" si="9"/>
        <v>6.0799999999999983</v>
      </c>
      <c r="B51" s="108" t="s">
        <v>158</v>
      </c>
      <c r="C51" s="36">
        <v>2</v>
      </c>
      <c r="D51" s="37" t="s">
        <v>8</v>
      </c>
      <c r="E51" s="111"/>
      <c r="F51" s="109">
        <f t="shared" si="12"/>
        <v>0</v>
      </c>
      <c r="G51" s="112"/>
    </row>
    <row r="52" spans="1:7" outlineLevel="2" x14ac:dyDescent="0.25">
      <c r="A52" s="105"/>
      <c r="B52" s="106"/>
      <c r="C52" s="105"/>
      <c r="D52" s="105"/>
      <c r="E52" s="105"/>
      <c r="F52" s="105"/>
      <c r="G52" s="105"/>
    </row>
    <row r="53" spans="1:7" ht="18" outlineLevel="2" collapsed="1" x14ac:dyDescent="0.25">
      <c r="A53" s="102">
        <f>+A43+1</f>
        <v>7</v>
      </c>
      <c r="B53" s="93" t="s">
        <v>90</v>
      </c>
      <c r="C53" s="94"/>
      <c r="D53" s="95"/>
      <c r="E53" s="96"/>
      <c r="F53" s="97"/>
      <c r="G53" s="103">
        <f>SUBTOTAL(9,F53:F56)</f>
        <v>0</v>
      </c>
    </row>
    <row r="54" spans="1:7" s="110" customFormat="1" ht="18" hidden="1" outlineLevel="3" x14ac:dyDescent="0.35">
      <c r="A54" s="130">
        <f t="shared" ref="A54" si="13">+A53+0.01</f>
        <v>7.01</v>
      </c>
      <c r="B54" s="108" t="s">
        <v>91</v>
      </c>
      <c r="C54" s="36">
        <v>2</v>
      </c>
      <c r="D54" s="37" t="s">
        <v>8</v>
      </c>
      <c r="E54" s="111"/>
      <c r="F54" s="109">
        <f>ROUND(C54*E54,2)</f>
        <v>0</v>
      </c>
      <c r="G54" s="112"/>
    </row>
    <row r="55" spans="1:7" ht="18" outlineLevel="2" x14ac:dyDescent="0.35">
      <c r="A55" s="105"/>
      <c r="B55" s="106"/>
      <c r="C55" s="105"/>
      <c r="D55" s="105"/>
      <c r="E55" s="27"/>
      <c r="F55" s="34"/>
      <c r="G55" s="104"/>
    </row>
    <row r="56" spans="1:7" ht="18" outlineLevel="2" collapsed="1" x14ac:dyDescent="0.25">
      <c r="A56" s="102">
        <f>+A53+1</f>
        <v>8</v>
      </c>
      <c r="B56" s="93" t="s">
        <v>41</v>
      </c>
      <c r="C56" s="94"/>
      <c r="D56" s="95"/>
      <c r="E56" s="96"/>
      <c r="F56" s="97"/>
      <c r="G56" s="103">
        <f>SUBTOTAL(9,F56:F59)</f>
        <v>0</v>
      </c>
    </row>
    <row r="57" spans="1:7" s="110" customFormat="1" ht="18" hidden="1" outlineLevel="3" x14ac:dyDescent="0.35">
      <c r="A57" s="130">
        <f t="shared" ref="A57:A59" si="14">+A56+0.01</f>
        <v>8.01</v>
      </c>
      <c r="B57" s="108" t="s">
        <v>42</v>
      </c>
      <c r="C57" s="36">
        <f>138.37*2.6</f>
        <v>359.762</v>
      </c>
      <c r="D57" s="37" t="s">
        <v>43</v>
      </c>
      <c r="E57" s="111"/>
      <c r="F57" s="109">
        <f>ROUND(C57*E57,2)</f>
        <v>0</v>
      </c>
      <c r="G57" s="112"/>
    </row>
    <row r="58" spans="1:7" s="110" customFormat="1" ht="18" hidden="1" outlineLevel="3" x14ac:dyDescent="0.35">
      <c r="A58" s="130">
        <f t="shared" si="14"/>
        <v>8.02</v>
      </c>
      <c r="B58" s="108" t="s">
        <v>44</v>
      </c>
      <c r="C58" s="36">
        <v>24</v>
      </c>
      <c r="D58" s="37" t="s">
        <v>8</v>
      </c>
      <c r="E58" s="111"/>
      <c r="F58" s="109">
        <f t="shared" ref="F58:F59" si="15">ROUND(C58*E58,2)</f>
        <v>0</v>
      </c>
      <c r="G58" s="112"/>
    </row>
    <row r="59" spans="1:7" s="110" customFormat="1" ht="18" hidden="1" outlineLevel="3" x14ac:dyDescent="0.35">
      <c r="A59" s="130">
        <f t="shared" si="14"/>
        <v>8.0299999999999994</v>
      </c>
      <c r="B59" s="108" t="s">
        <v>92</v>
      </c>
      <c r="C59" s="36"/>
      <c r="D59" s="37" t="s">
        <v>93</v>
      </c>
      <c r="E59" s="111"/>
      <c r="F59" s="109">
        <f t="shared" si="15"/>
        <v>0</v>
      </c>
      <c r="G59" s="112"/>
    </row>
    <row r="60" spans="1:7" outlineLevel="2" x14ac:dyDescent="0.25">
      <c r="A60" s="105"/>
      <c r="B60" s="106"/>
      <c r="C60" s="105"/>
      <c r="D60" s="105"/>
      <c r="E60" s="105"/>
      <c r="F60" s="105"/>
      <c r="G60" s="105"/>
    </row>
    <row r="61" spans="1:7" ht="18" outlineLevel="2" collapsed="1" x14ac:dyDescent="0.25">
      <c r="A61" s="102">
        <f>+A56+1</f>
        <v>9</v>
      </c>
      <c r="B61" s="93" t="s">
        <v>67</v>
      </c>
      <c r="C61" s="94"/>
      <c r="D61" s="95"/>
      <c r="E61" s="96"/>
      <c r="F61" s="97"/>
      <c r="G61" s="103">
        <f>SUBTOTAL(9,F61:F140)</f>
        <v>0</v>
      </c>
    </row>
    <row r="62" spans="1:7" s="110" customFormat="1" ht="18" hidden="1" outlineLevel="3" x14ac:dyDescent="0.35">
      <c r="A62" s="130">
        <f t="shared" ref="A62" si="16">+A61+0.01</f>
        <v>9.01</v>
      </c>
      <c r="B62" s="108" t="s">
        <v>68</v>
      </c>
      <c r="C62" s="36">
        <f>217.93*2.6</f>
        <v>566.61800000000005</v>
      </c>
      <c r="D62" s="37" t="s">
        <v>19</v>
      </c>
      <c r="E62" s="111"/>
      <c r="F62" s="109">
        <f>ROUND(C62*E62,2)</f>
        <v>0</v>
      </c>
      <c r="G62" s="112"/>
    </row>
    <row r="63" spans="1:7" ht="18" outlineLevel="2" x14ac:dyDescent="0.35">
      <c r="A63" s="100"/>
      <c r="B63" s="50"/>
      <c r="C63" s="36"/>
      <c r="D63" s="40"/>
      <c r="E63" s="36"/>
      <c r="F63" s="34"/>
      <c r="G63" s="101"/>
    </row>
    <row r="64" spans="1:7" ht="18" outlineLevel="2" collapsed="1" x14ac:dyDescent="0.25">
      <c r="A64" s="169">
        <f>+A61+1</f>
        <v>10</v>
      </c>
      <c r="B64" s="93" t="s">
        <v>108</v>
      </c>
      <c r="C64" s="94"/>
      <c r="D64" s="95"/>
      <c r="E64" s="96"/>
      <c r="F64" s="97"/>
      <c r="G64" s="166">
        <f>SUM(F67:F99)</f>
        <v>0</v>
      </c>
    </row>
    <row r="65" spans="1:9" ht="18" hidden="1" outlineLevel="3" x14ac:dyDescent="0.25">
      <c r="A65" s="170"/>
      <c r="B65" s="93" t="s">
        <v>109</v>
      </c>
      <c r="C65" s="94"/>
      <c r="D65" s="95"/>
      <c r="E65" s="96"/>
      <c r="F65" s="97"/>
      <c r="G65" s="167"/>
    </row>
    <row r="66" spans="1:9" ht="18" hidden="1" outlineLevel="3" x14ac:dyDescent="0.25">
      <c r="A66" s="171"/>
      <c r="B66" s="93" t="s">
        <v>110</v>
      </c>
      <c r="C66" s="94"/>
      <c r="D66" s="95"/>
      <c r="E66" s="96"/>
      <c r="F66" s="97"/>
      <c r="G66" s="168"/>
    </row>
    <row r="67" spans="1:9" s="110" customFormat="1" ht="36" hidden="1" outlineLevel="3" x14ac:dyDescent="0.35">
      <c r="A67" s="130">
        <f>+A64+0.01</f>
        <v>10.01</v>
      </c>
      <c r="B67" s="49" t="s">
        <v>144</v>
      </c>
      <c r="C67" s="36"/>
      <c r="D67" s="37"/>
      <c r="E67" s="111"/>
      <c r="F67" s="109">
        <f>ROUND(C67*E67,2)</f>
        <v>0</v>
      </c>
      <c r="G67" s="112"/>
      <c r="H67" s="1"/>
      <c r="I67" s="1"/>
    </row>
    <row r="68" spans="1:9" s="110" customFormat="1" ht="18" hidden="1" outlineLevel="3" x14ac:dyDescent="0.35">
      <c r="A68" s="130">
        <f t="shared" ref="A68:A74" si="17">+A67+0.01</f>
        <v>10.02</v>
      </c>
      <c r="B68" s="49" t="s">
        <v>145</v>
      </c>
      <c r="C68" s="36">
        <v>1</v>
      </c>
      <c r="D68" s="37" t="s">
        <v>8</v>
      </c>
      <c r="E68" s="111"/>
      <c r="F68" s="109">
        <f>ROUND(C68*E68,2)</f>
        <v>0</v>
      </c>
      <c r="G68" s="112"/>
      <c r="H68" s="1"/>
      <c r="I68" s="1"/>
    </row>
    <row r="69" spans="1:9" s="110" customFormat="1" ht="18" hidden="1" outlineLevel="3" x14ac:dyDescent="0.35">
      <c r="A69" s="130">
        <f t="shared" si="17"/>
        <v>10.029999999999999</v>
      </c>
      <c r="B69" s="49" t="s">
        <v>146</v>
      </c>
      <c r="C69" s="36">
        <v>1</v>
      </c>
      <c r="D69" s="37" t="s">
        <v>8</v>
      </c>
      <c r="E69" s="111"/>
      <c r="F69" s="109">
        <f t="shared" ref="F69:F74" si="18">ROUND(C69*E69,2)</f>
        <v>0</v>
      </c>
      <c r="G69" s="112"/>
      <c r="H69" s="1"/>
      <c r="I69" s="1"/>
    </row>
    <row r="70" spans="1:9" s="110" customFormat="1" ht="18" hidden="1" outlineLevel="3" x14ac:dyDescent="0.35">
      <c r="A70" s="130">
        <f t="shared" si="17"/>
        <v>10.039999999999999</v>
      </c>
      <c r="B70" s="49" t="s">
        <v>115</v>
      </c>
      <c r="C70" s="36">
        <v>1</v>
      </c>
      <c r="D70" s="37" t="s">
        <v>8</v>
      </c>
      <c r="E70" s="111"/>
      <c r="F70" s="109">
        <f t="shared" si="18"/>
        <v>0</v>
      </c>
      <c r="G70" s="112"/>
      <c r="H70" s="1"/>
      <c r="I70" s="1"/>
    </row>
    <row r="71" spans="1:9" s="110" customFormat="1" ht="18" hidden="1" outlineLevel="3" x14ac:dyDescent="0.35">
      <c r="A71" s="130">
        <f t="shared" si="17"/>
        <v>10.049999999999999</v>
      </c>
      <c r="B71" s="49" t="s">
        <v>116</v>
      </c>
      <c r="C71" s="36">
        <v>1</v>
      </c>
      <c r="D71" s="37" t="s">
        <v>8</v>
      </c>
      <c r="E71" s="111"/>
      <c r="F71" s="109">
        <f t="shared" si="18"/>
        <v>0</v>
      </c>
      <c r="G71" s="112"/>
      <c r="H71" s="1"/>
      <c r="I71" s="1"/>
    </row>
    <row r="72" spans="1:9" s="110" customFormat="1" ht="18" hidden="1" outlineLevel="3" x14ac:dyDescent="0.35">
      <c r="A72" s="130">
        <f t="shared" si="17"/>
        <v>10.059999999999999</v>
      </c>
      <c r="B72" s="49" t="s">
        <v>117</v>
      </c>
      <c r="C72" s="36">
        <v>1</v>
      </c>
      <c r="D72" s="37" t="s">
        <v>8</v>
      </c>
      <c r="E72" s="111"/>
      <c r="F72" s="109">
        <f t="shared" si="18"/>
        <v>0</v>
      </c>
      <c r="G72" s="112"/>
      <c r="H72" s="1"/>
      <c r="I72" s="1"/>
    </row>
    <row r="73" spans="1:9" s="110" customFormat="1" ht="18" hidden="1" outlineLevel="3" x14ac:dyDescent="0.35">
      <c r="A73" s="130">
        <f t="shared" si="17"/>
        <v>10.069999999999999</v>
      </c>
      <c r="B73" s="49" t="s">
        <v>118</v>
      </c>
      <c r="C73" s="36">
        <v>1</v>
      </c>
      <c r="D73" s="37" t="s">
        <v>8</v>
      </c>
      <c r="E73" s="111"/>
      <c r="F73" s="109">
        <f t="shared" si="18"/>
        <v>0</v>
      </c>
      <c r="G73" s="112"/>
      <c r="H73" s="1"/>
      <c r="I73" s="1"/>
    </row>
    <row r="74" spans="1:9" s="110" customFormat="1" ht="18" hidden="1" outlineLevel="3" x14ac:dyDescent="0.35">
      <c r="A74" s="130">
        <f t="shared" si="17"/>
        <v>10.079999999999998</v>
      </c>
      <c r="B74" s="49" t="s">
        <v>119</v>
      </c>
      <c r="C74" s="36">
        <v>1</v>
      </c>
      <c r="D74" s="37" t="s">
        <v>111</v>
      </c>
      <c r="E74" s="111"/>
      <c r="F74" s="109">
        <f t="shared" si="18"/>
        <v>0</v>
      </c>
      <c r="G74" s="112"/>
      <c r="H74" s="1"/>
      <c r="I74" s="1"/>
    </row>
    <row r="75" spans="1:9" s="110" customFormat="1" ht="18" hidden="1" outlineLevel="3" x14ac:dyDescent="0.35">
      <c r="A75" s="114"/>
      <c r="B75" s="49"/>
      <c r="C75" s="36"/>
      <c r="D75" s="37"/>
      <c r="E75" s="111"/>
      <c r="F75" s="109"/>
      <c r="G75" s="112"/>
      <c r="H75" s="1"/>
      <c r="I75" s="1"/>
    </row>
    <row r="76" spans="1:9" s="110" customFormat="1" ht="18" hidden="1" outlineLevel="3" x14ac:dyDescent="0.35">
      <c r="A76" s="114"/>
      <c r="B76" s="113" t="s">
        <v>136</v>
      </c>
      <c r="C76" s="36"/>
      <c r="D76" s="37"/>
      <c r="E76" s="111"/>
      <c r="F76" s="109"/>
      <c r="G76" s="112"/>
      <c r="H76" s="1"/>
      <c r="I76" s="1"/>
    </row>
    <row r="77" spans="1:9" s="110" customFormat="1" ht="54" hidden="1" outlineLevel="3" x14ac:dyDescent="0.35">
      <c r="A77" s="114">
        <f>A74+0.01</f>
        <v>10.089999999999998</v>
      </c>
      <c r="B77" s="49" t="s">
        <v>120</v>
      </c>
      <c r="C77" s="36">
        <v>60</v>
      </c>
      <c r="D77" s="37" t="s">
        <v>112</v>
      </c>
      <c r="E77" s="111"/>
      <c r="F77" s="109">
        <f t="shared" ref="F77:F80" si="19">ROUND(C77*E77,2)</f>
        <v>0</v>
      </c>
      <c r="G77" s="112"/>
      <c r="H77" s="1"/>
      <c r="I77" s="1"/>
    </row>
    <row r="78" spans="1:9" s="110" customFormat="1" ht="54" hidden="1" outlineLevel="3" x14ac:dyDescent="0.35">
      <c r="A78" s="114">
        <f>A77+0.01</f>
        <v>10.099999999999998</v>
      </c>
      <c r="B78" s="49" t="s">
        <v>121</v>
      </c>
      <c r="C78" s="36">
        <v>20</v>
      </c>
      <c r="D78" s="37" t="s">
        <v>112</v>
      </c>
      <c r="E78" s="111"/>
      <c r="F78" s="109">
        <f t="shared" si="19"/>
        <v>0</v>
      </c>
      <c r="G78" s="112"/>
      <c r="H78" s="1"/>
      <c r="I78" s="1"/>
    </row>
    <row r="79" spans="1:9" s="110" customFormat="1" ht="54" hidden="1" outlineLevel="3" x14ac:dyDescent="0.35">
      <c r="A79" s="114">
        <f t="shared" ref="A79:A80" si="20">A78+0.01</f>
        <v>10.109999999999998</v>
      </c>
      <c r="B79" s="49" t="s">
        <v>122</v>
      </c>
      <c r="C79" s="36">
        <v>25</v>
      </c>
      <c r="D79" s="37" t="s">
        <v>112</v>
      </c>
      <c r="E79" s="111"/>
      <c r="F79" s="109">
        <f t="shared" si="19"/>
        <v>0</v>
      </c>
      <c r="G79" s="112"/>
      <c r="H79" s="1"/>
      <c r="I79" s="1"/>
    </row>
    <row r="80" spans="1:9" s="110" customFormat="1" ht="54" hidden="1" outlineLevel="3" x14ac:dyDescent="0.35">
      <c r="A80" s="114">
        <f t="shared" si="20"/>
        <v>10.119999999999997</v>
      </c>
      <c r="B80" s="49" t="s">
        <v>147</v>
      </c>
      <c r="C80" s="36">
        <v>100</v>
      </c>
      <c r="D80" s="37" t="s">
        <v>112</v>
      </c>
      <c r="E80" s="111"/>
      <c r="F80" s="109">
        <f t="shared" si="19"/>
        <v>0</v>
      </c>
      <c r="G80" s="112"/>
      <c r="H80" s="1"/>
      <c r="I80" s="1"/>
    </row>
    <row r="81" spans="1:9" s="110" customFormat="1" ht="18" hidden="1" outlineLevel="3" x14ac:dyDescent="0.35">
      <c r="A81" s="114"/>
      <c r="B81" s="49"/>
      <c r="C81" s="36"/>
      <c r="D81" s="37"/>
      <c r="E81" s="111"/>
      <c r="F81" s="109"/>
      <c r="G81" s="112"/>
      <c r="H81" s="1"/>
      <c r="I81" s="1"/>
    </row>
    <row r="82" spans="1:9" s="110" customFormat="1" ht="18" hidden="1" outlineLevel="3" x14ac:dyDescent="0.35">
      <c r="A82" s="114"/>
      <c r="B82" s="113" t="s">
        <v>135</v>
      </c>
      <c r="C82" s="36"/>
      <c r="D82" s="37"/>
      <c r="E82" s="111"/>
      <c r="F82" s="109"/>
      <c r="G82" s="112"/>
      <c r="H82" s="1"/>
      <c r="I82" s="1"/>
    </row>
    <row r="83" spans="1:9" s="110" customFormat="1" ht="54" hidden="1" outlineLevel="3" x14ac:dyDescent="0.35">
      <c r="A83" s="114">
        <f>A80+0.01</f>
        <v>10.129999999999997</v>
      </c>
      <c r="B83" s="49" t="s">
        <v>124</v>
      </c>
      <c r="C83" s="36">
        <v>193</v>
      </c>
      <c r="D83" s="37" t="s">
        <v>8</v>
      </c>
      <c r="E83" s="111"/>
      <c r="F83" s="109">
        <f>ROUND(C83*E83,2)</f>
        <v>0</v>
      </c>
      <c r="G83" s="112"/>
      <c r="H83" s="1"/>
      <c r="I83" s="1"/>
    </row>
    <row r="84" spans="1:9" s="110" customFormat="1" ht="54" hidden="1" outlineLevel="3" x14ac:dyDescent="0.35">
      <c r="A84" s="114">
        <f>A83+0.01</f>
        <v>10.139999999999997</v>
      </c>
      <c r="B84" s="49" t="s">
        <v>125</v>
      </c>
      <c r="C84" s="36">
        <v>20</v>
      </c>
      <c r="D84" s="37" t="s">
        <v>8</v>
      </c>
      <c r="E84" s="111"/>
      <c r="F84" s="109">
        <f t="shared" ref="F84:F93" si="21">ROUND(C84*E84,2)</f>
        <v>0</v>
      </c>
      <c r="G84" s="112"/>
      <c r="H84" s="1"/>
      <c r="I84" s="1"/>
    </row>
    <row r="85" spans="1:9" s="110" customFormat="1" ht="54" hidden="1" outlineLevel="3" x14ac:dyDescent="0.35">
      <c r="A85" s="114">
        <f t="shared" ref="A85:A93" si="22">A84+0.01</f>
        <v>10.149999999999997</v>
      </c>
      <c r="B85" s="49" t="s">
        <v>126</v>
      </c>
      <c r="C85" s="36">
        <v>15</v>
      </c>
      <c r="D85" s="37" t="s">
        <v>8</v>
      </c>
      <c r="E85" s="111"/>
      <c r="F85" s="109">
        <f t="shared" si="21"/>
        <v>0</v>
      </c>
      <c r="G85" s="112"/>
      <c r="H85" s="1"/>
      <c r="I85" s="1"/>
    </row>
    <row r="86" spans="1:9" s="110" customFormat="1" ht="54" hidden="1" outlineLevel="3" x14ac:dyDescent="0.35">
      <c r="A86" s="114">
        <f t="shared" si="22"/>
        <v>10.159999999999997</v>
      </c>
      <c r="B86" s="49" t="s">
        <v>127</v>
      </c>
      <c r="C86" s="36">
        <v>4</v>
      </c>
      <c r="D86" s="37" t="s">
        <v>8</v>
      </c>
      <c r="E86" s="111"/>
      <c r="F86" s="109">
        <f t="shared" si="21"/>
        <v>0</v>
      </c>
      <c r="G86" s="112"/>
      <c r="H86" s="1"/>
      <c r="I86" s="1"/>
    </row>
    <row r="87" spans="1:9" s="110" customFormat="1" ht="54" hidden="1" outlineLevel="3" x14ac:dyDescent="0.35">
      <c r="A87" s="114">
        <f t="shared" si="22"/>
        <v>10.169999999999996</v>
      </c>
      <c r="B87" s="49" t="s">
        <v>128</v>
      </c>
      <c r="C87" s="36">
        <v>80</v>
      </c>
      <c r="D87" s="37" t="s">
        <v>8</v>
      </c>
      <c r="E87" s="111"/>
      <c r="F87" s="109">
        <f t="shared" si="21"/>
        <v>0</v>
      </c>
      <c r="G87" s="112"/>
      <c r="H87" s="1"/>
      <c r="I87" s="1"/>
    </row>
    <row r="88" spans="1:9" s="110" customFormat="1" ht="54" hidden="1" outlineLevel="3" x14ac:dyDescent="0.35">
      <c r="A88" s="114">
        <f t="shared" si="22"/>
        <v>10.179999999999996</v>
      </c>
      <c r="B88" s="49" t="s">
        <v>129</v>
      </c>
      <c r="C88" s="36">
        <v>67</v>
      </c>
      <c r="D88" s="37" t="s">
        <v>8</v>
      </c>
      <c r="E88" s="111"/>
      <c r="F88" s="109">
        <f t="shared" si="21"/>
        <v>0</v>
      </c>
      <c r="G88" s="112"/>
      <c r="H88" s="1"/>
      <c r="I88" s="1"/>
    </row>
    <row r="89" spans="1:9" s="110" customFormat="1" ht="54" hidden="1" outlineLevel="3" x14ac:dyDescent="0.35">
      <c r="A89" s="114">
        <f t="shared" si="22"/>
        <v>10.189999999999996</v>
      </c>
      <c r="B89" s="49" t="s">
        <v>130</v>
      </c>
      <c r="C89" s="36">
        <v>67</v>
      </c>
      <c r="D89" s="37" t="s">
        <v>8</v>
      </c>
      <c r="E89" s="111"/>
      <c r="F89" s="109">
        <f t="shared" si="21"/>
        <v>0</v>
      </c>
      <c r="G89" s="112"/>
      <c r="H89" s="1"/>
      <c r="I89" s="1"/>
    </row>
    <row r="90" spans="1:9" s="110" customFormat="1" ht="54" hidden="1" outlineLevel="3" x14ac:dyDescent="0.35">
      <c r="A90" s="114">
        <f t="shared" si="22"/>
        <v>10.199999999999996</v>
      </c>
      <c r="B90" s="49" t="s">
        <v>131</v>
      </c>
      <c r="C90" s="36">
        <v>6</v>
      </c>
      <c r="D90" s="37" t="s">
        <v>8</v>
      </c>
      <c r="E90" s="111"/>
      <c r="F90" s="109">
        <f t="shared" si="21"/>
        <v>0</v>
      </c>
      <c r="G90" s="112"/>
      <c r="H90" s="1"/>
      <c r="I90" s="1"/>
    </row>
    <row r="91" spans="1:9" s="110" customFormat="1" ht="54" hidden="1" outlineLevel="3" x14ac:dyDescent="0.35">
      <c r="A91" s="114">
        <f t="shared" si="22"/>
        <v>10.209999999999996</v>
      </c>
      <c r="B91" s="49" t="s">
        <v>132</v>
      </c>
      <c r="C91" s="36">
        <v>6</v>
      </c>
      <c r="D91" s="37" t="s">
        <v>8</v>
      </c>
      <c r="E91" s="111"/>
      <c r="F91" s="109">
        <f t="shared" si="21"/>
        <v>0</v>
      </c>
      <c r="G91" s="112"/>
      <c r="H91" s="1"/>
      <c r="I91" s="1"/>
    </row>
    <row r="92" spans="1:9" s="110" customFormat="1" ht="18" hidden="1" outlineLevel="3" x14ac:dyDescent="0.35">
      <c r="A92" s="114">
        <f t="shared" si="22"/>
        <v>10.219999999999995</v>
      </c>
      <c r="B92" s="49" t="s">
        <v>133</v>
      </c>
      <c r="C92" s="36">
        <v>1</v>
      </c>
      <c r="D92" s="37" t="s">
        <v>8</v>
      </c>
      <c r="E92" s="111"/>
      <c r="F92" s="109">
        <f t="shared" si="21"/>
        <v>0</v>
      </c>
      <c r="G92" s="112"/>
      <c r="H92" s="1"/>
      <c r="I92" s="1"/>
    </row>
    <row r="93" spans="1:9" s="110" customFormat="1" ht="18" hidden="1" outlineLevel="3" x14ac:dyDescent="0.35">
      <c r="A93" s="114">
        <f t="shared" si="22"/>
        <v>10.229999999999995</v>
      </c>
      <c r="B93" s="49" t="s">
        <v>134</v>
      </c>
      <c r="C93" s="36">
        <v>1</v>
      </c>
      <c r="D93" s="37" t="s">
        <v>8</v>
      </c>
      <c r="E93" s="111"/>
      <c r="F93" s="109">
        <f t="shared" si="21"/>
        <v>0</v>
      </c>
      <c r="G93" s="112"/>
      <c r="H93" s="1"/>
      <c r="I93" s="1"/>
    </row>
    <row r="94" spans="1:9" s="110" customFormat="1" ht="18" hidden="1" outlineLevel="3" x14ac:dyDescent="0.35">
      <c r="A94" s="114"/>
      <c r="B94" s="49"/>
      <c r="C94" s="36"/>
      <c r="D94" s="37"/>
      <c r="E94" s="111"/>
      <c r="F94" s="109"/>
      <c r="G94" s="112"/>
      <c r="H94" s="1"/>
      <c r="I94" s="1"/>
    </row>
    <row r="95" spans="1:9" s="110" customFormat="1" ht="18" hidden="1" outlineLevel="3" x14ac:dyDescent="0.35">
      <c r="A95" s="114"/>
      <c r="B95" s="113" t="s">
        <v>137</v>
      </c>
      <c r="C95" s="36"/>
      <c r="D95" s="37"/>
      <c r="E95" s="111"/>
      <c r="F95" s="109"/>
      <c r="G95" s="112"/>
      <c r="H95" s="1"/>
      <c r="I95" s="1"/>
    </row>
    <row r="96" spans="1:9" s="110" customFormat="1" ht="36" hidden="1" outlineLevel="3" x14ac:dyDescent="0.35">
      <c r="A96" s="114">
        <f>A93+0.01</f>
        <v>10.239999999999995</v>
      </c>
      <c r="B96" s="49" t="s">
        <v>138</v>
      </c>
      <c r="C96" s="36">
        <v>103</v>
      </c>
      <c r="D96" s="37" t="s">
        <v>8</v>
      </c>
      <c r="E96" s="111"/>
      <c r="F96" s="109">
        <f t="shared" ref="F96:F99" si="23">ROUND(C96*E96,2)</f>
        <v>0</v>
      </c>
      <c r="G96" s="112"/>
      <c r="H96" s="1"/>
      <c r="I96" s="1"/>
    </row>
    <row r="97" spans="1:9" s="110" customFormat="1" ht="36" hidden="1" outlineLevel="3" x14ac:dyDescent="0.35">
      <c r="A97" s="114">
        <f>A96+0.01</f>
        <v>10.249999999999995</v>
      </c>
      <c r="B97" s="49" t="s">
        <v>139</v>
      </c>
      <c r="C97" s="36">
        <v>50</v>
      </c>
      <c r="D97" s="37" t="s">
        <v>8</v>
      </c>
      <c r="E97" s="111"/>
      <c r="F97" s="109">
        <f t="shared" si="23"/>
        <v>0</v>
      </c>
      <c r="G97" s="112"/>
      <c r="H97" s="1"/>
      <c r="I97" s="1"/>
    </row>
    <row r="98" spans="1:9" s="110" customFormat="1" ht="36" hidden="1" outlineLevel="3" x14ac:dyDescent="0.35">
      <c r="A98" s="114">
        <f t="shared" ref="A98:A99" si="24">A97+0.01</f>
        <v>10.259999999999994</v>
      </c>
      <c r="B98" s="49" t="s">
        <v>140</v>
      </c>
      <c r="C98" s="36">
        <v>30</v>
      </c>
      <c r="D98" s="37" t="s">
        <v>8</v>
      </c>
      <c r="E98" s="111"/>
      <c r="F98" s="109">
        <f t="shared" si="23"/>
        <v>0</v>
      </c>
      <c r="G98" s="112"/>
      <c r="H98" s="1"/>
      <c r="I98" s="1"/>
    </row>
    <row r="99" spans="1:9" s="110" customFormat="1" ht="18" hidden="1" outlineLevel="3" x14ac:dyDescent="0.35">
      <c r="A99" s="114">
        <f t="shared" si="24"/>
        <v>10.269999999999994</v>
      </c>
      <c r="B99" s="49" t="s">
        <v>141</v>
      </c>
      <c r="C99" s="36">
        <v>10</v>
      </c>
      <c r="D99" s="37" t="s">
        <v>8</v>
      </c>
      <c r="E99" s="111"/>
      <c r="F99" s="109">
        <f t="shared" si="23"/>
        <v>0</v>
      </c>
      <c r="G99" s="112"/>
      <c r="H99" s="1"/>
      <c r="I99" s="1"/>
    </row>
    <row r="100" spans="1:9" s="110" customFormat="1" ht="18" outlineLevel="2" x14ac:dyDescent="0.35">
      <c r="A100" s="114"/>
      <c r="B100" s="49"/>
      <c r="C100" s="36"/>
      <c r="D100" s="37"/>
      <c r="E100" s="111"/>
      <c r="F100" s="109"/>
      <c r="G100" s="112"/>
      <c r="H100" s="1"/>
      <c r="I100" s="1"/>
    </row>
    <row r="101" spans="1:9" s="110" customFormat="1" ht="18" outlineLevel="2" collapsed="1" x14ac:dyDescent="0.25">
      <c r="A101" s="102">
        <f>+A64+1</f>
        <v>11</v>
      </c>
      <c r="B101" s="93" t="s">
        <v>163</v>
      </c>
      <c r="C101" s="94"/>
      <c r="D101" s="95"/>
      <c r="E101" s="96"/>
      <c r="F101" s="97"/>
      <c r="G101" s="103">
        <f>SUM(F102:F111)</f>
        <v>0</v>
      </c>
      <c r="H101" s="1"/>
      <c r="I101" s="1"/>
    </row>
    <row r="102" spans="1:9" s="110" customFormat="1" ht="72" hidden="1" outlineLevel="3" x14ac:dyDescent="0.35">
      <c r="A102" s="114">
        <f>A101+0.01</f>
        <v>11.01</v>
      </c>
      <c r="B102" s="49" t="s">
        <v>164</v>
      </c>
      <c r="C102" s="111">
        <v>84</v>
      </c>
      <c r="D102" s="142" t="s">
        <v>8</v>
      </c>
      <c r="E102" s="111"/>
      <c r="F102" s="109">
        <f t="shared" ref="F102:F111" si="25">ROUND(C102*E102,2)</f>
        <v>0</v>
      </c>
      <c r="G102" s="112"/>
      <c r="H102" s="1"/>
      <c r="I102" s="1"/>
    </row>
    <row r="103" spans="1:9" s="110" customFormat="1" ht="36" hidden="1" outlineLevel="3" x14ac:dyDescent="0.35">
      <c r="A103" s="114">
        <f t="shared" ref="A103:A111" si="26">A102+0.01</f>
        <v>11.02</v>
      </c>
      <c r="B103" s="49" t="s">
        <v>165</v>
      </c>
      <c r="C103" s="36">
        <v>1</v>
      </c>
      <c r="D103" s="37" t="s">
        <v>8</v>
      </c>
      <c r="E103" s="111"/>
      <c r="F103" s="109">
        <f t="shared" si="25"/>
        <v>0</v>
      </c>
      <c r="G103" s="112"/>
      <c r="H103" s="1"/>
      <c r="I103" s="1"/>
    </row>
    <row r="104" spans="1:9" s="110" customFormat="1" ht="36" hidden="1" outlineLevel="3" x14ac:dyDescent="0.35">
      <c r="A104" s="114">
        <f t="shared" si="26"/>
        <v>11.03</v>
      </c>
      <c r="B104" s="49" t="s">
        <v>166</v>
      </c>
      <c r="C104" s="36">
        <v>18</v>
      </c>
      <c r="D104" s="37" t="s">
        <v>8</v>
      </c>
      <c r="E104" s="111"/>
      <c r="F104" s="109">
        <f t="shared" si="25"/>
        <v>0</v>
      </c>
      <c r="G104" s="112"/>
      <c r="H104" s="1"/>
      <c r="I104" s="1"/>
    </row>
    <row r="105" spans="1:9" s="110" customFormat="1" ht="54" hidden="1" outlineLevel="3" x14ac:dyDescent="0.35">
      <c r="A105" s="114">
        <f t="shared" si="26"/>
        <v>11.04</v>
      </c>
      <c r="B105" s="49" t="s">
        <v>167</v>
      </c>
      <c r="C105" s="36">
        <v>43</v>
      </c>
      <c r="D105" s="37" t="s">
        <v>8</v>
      </c>
      <c r="E105" s="111"/>
      <c r="F105" s="109">
        <f t="shared" si="25"/>
        <v>0</v>
      </c>
      <c r="G105" s="112"/>
      <c r="H105" s="1"/>
      <c r="I105" s="1"/>
    </row>
    <row r="106" spans="1:9" s="110" customFormat="1" ht="36" hidden="1" outlineLevel="3" x14ac:dyDescent="0.35">
      <c r="A106" s="114">
        <f t="shared" si="26"/>
        <v>11.049999999999999</v>
      </c>
      <c r="B106" s="49" t="s">
        <v>168</v>
      </c>
      <c r="C106" s="36">
        <v>1</v>
      </c>
      <c r="D106" s="37" t="s">
        <v>8</v>
      </c>
      <c r="E106" s="111"/>
      <c r="F106" s="109">
        <f t="shared" si="25"/>
        <v>0</v>
      </c>
      <c r="G106" s="112"/>
      <c r="H106" s="1"/>
      <c r="I106" s="1"/>
    </row>
    <row r="107" spans="1:9" s="110" customFormat="1" ht="54" hidden="1" outlineLevel="3" x14ac:dyDescent="0.35">
      <c r="A107" s="114">
        <f t="shared" si="26"/>
        <v>11.059999999999999</v>
      </c>
      <c r="B107" s="49" t="s">
        <v>169</v>
      </c>
      <c r="C107" s="36">
        <v>13</v>
      </c>
      <c r="D107" s="37" t="s">
        <v>8</v>
      </c>
      <c r="E107" s="111"/>
      <c r="F107" s="109">
        <f t="shared" si="25"/>
        <v>0</v>
      </c>
      <c r="G107" s="112"/>
      <c r="H107" s="1"/>
      <c r="I107" s="1"/>
    </row>
    <row r="108" spans="1:9" s="110" customFormat="1" ht="36" hidden="1" outlineLevel="3" x14ac:dyDescent="0.35">
      <c r="A108" s="114">
        <f t="shared" si="26"/>
        <v>11.069999999999999</v>
      </c>
      <c r="B108" s="49" t="s">
        <v>170</v>
      </c>
      <c r="C108" s="36">
        <v>4</v>
      </c>
      <c r="D108" s="37" t="s">
        <v>8</v>
      </c>
      <c r="E108" s="111"/>
      <c r="F108" s="109">
        <f t="shared" si="25"/>
        <v>0</v>
      </c>
      <c r="G108" s="112"/>
      <c r="H108" s="1"/>
      <c r="I108" s="1"/>
    </row>
    <row r="109" spans="1:9" s="110" customFormat="1" ht="72" hidden="1" outlineLevel="3" x14ac:dyDescent="0.35">
      <c r="A109" s="114">
        <f t="shared" si="26"/>
        <v>11.079999999999998</v>
      </c>
      <c r="B109" s="49" t="s">
        <v>171</v>
      </c>
      <c r="C109" s="36">
        <v>67</v>
      </c>
      <c r="D109" s="37" t="s">
        <v>8</v>
      </c>
      <c r="E109" s="111"/>
      <c r="F109" s="109">
        <f t="shared" si="25"/>
        <v>0</v>
      </c>
      <c r="G109" s="112"/>
      <c r="H109" s="1"/>
      <c r="I109" s="1"/>
    </row>
    <row r="110" spans="1:9" s="110" customFormat="1" ht="36" hidden="1" outlineLevel="3" x14ac:dyDescent="0.35">
      <c r="A110" s="114">
        <f t="shared" si="26"/>
        <v>11.089999999999998</v>
      </c>
      <c r="B110" s="49" t="s">
        <v>172</v>
      </c>
      <c r="C110" s="36">
        <v>15</v>
      </c>
      <c r="D110" s="37" t="s">
        <v>8</v>
      </c>
      <c r="E110" s="111"/>
      <c r="F110" s="109">
        <f t="shared" si="25"/>
        <v>0</v>
      </c>
      <c r="G110" s="112"/>
      <c r="H110" s="1"/>
      <c r="I110" s="1"/>
    </row>
    <row r="111" spans="1:9" s="110" customFormat="1" ht="54" hidden="1" outlineLevel="3" x14ac:dyDescent="0.35">
      <c r="A111" s="114">
        <f t="shared" si="26"/>
        <v>11.099999999999998</v>
      </c>
      <c r="B111" s="49" t="s">
        <v>173</v>
      </c>
      <c r="C111" s="36">
        <v>3</v>
      </c>
      <c r="D111" s="37" t="s">
        <v>8</v>
      </c>
      <c r="E111" s="111"/>
      <c r="F111" s="109">
        <f t="shared" si="25"/>
        <v>0</v>
      </c>
      <c r="G111" s="112"/>
      <c r="H111" s="1"/>
      <c r="I111" s="1"/>
    </row>
    <row r="112" spans="1:9" s="110" customFormat="1" ht="18" outlineLevel="2" x14ac:dyDescent="0.35">
      <c r="A112" s="145"/>
      <c r="B112" s="146"/>
      <c r="C112" s="147"/>
      <c r="D112" s="37"/>
      <c r="E112" s="111"/>
      <c r="F112" s="109"/>
      <c r="G112" s="112"/>
      <c r="H112" s="1"/>
      <c r="I112" s="1"/>
    </row>
    <row r="113" spans="1:9" s="110" customFormat="1" ht="18" outlineLevel="2" collapsed="1" x14ac:dyDescent="0.25">
      <c r="A113" s="102">
        <f>+A101+1</f>
        <v>12</v>
      </c>
      <c r="B113" s="93" t="s">
        <v>205</v>
      </c>
      <c r="C113" s="94"/>
      <c r="D113" s="95"/>
      <c r="E113" s="96"/>
      <c r="F113" s="97"/>
      <c r="G113" s="103">
        <f>SUM(F114:F123)</f>
        <v>0</v>
      </c>
      <c r="H113" s="1"/>
      <c r="I113" s="1"/>
    </row>
    <row r="114" spans="1:9" s="110" customFormat="1" ht="18" hidden="1" outlineLevel="3" x14ac:dyDescent="0.35">
      <c r="A114" s="114">
        <f>A113+0.01</f>
        <v>12.01</v>
      </c>
      <c r="B114" s="49" t="s">
        <v>206</v>
      </c>
      <c r="C114" s="36">
        <v>99</v>
      </c>
      <c r="D114" s="37" t="s">
        <v>8</v>
      </c>
      <c r="E114" s="111"/>
      <c r="F114" s="109">
        <f t="shared" ref="F114:F139" si="27">ROUND(C114*E114,2)</f>
        <v>0</v>
      </c>
      <c r="G114" s="112"/>
      <c r="H114" s="1"/>
      <c r="I114" s="1"/>
    </row>
    <row r="115" spans="1:9" s="110" customFormat="1" ht="18" hidden="1" outlineLevel="3" x14ac:dyDescent="0.35">
      <c r="A115" s="114">
        <f t="shared" ref="A115:A139" si="28">A114+0.01</f>
        <v>12.02</v>
      </c>
      <c r="B115" s="49" t="s">
        <v>207</v>
      </c>
      <c r="C115" s="36">
        <v>20</v>
      </c>
      <c r="D115" s="37" t="s">
        <v>8</v>
      </c>
      <c r="E115" s="111"/>
      <c r="F115" s="109">
        <f t="shared" si="27"/>
        <v>0</v>
      </c>
      <c r="G115" s="112"/>
      <c r="H115" s="1"/>
      <c r="I115" s="1"/>
    </row>
    <row r="116" spans="1:9" s="110" customFormat="1" ht="18" hidden="1" outlineLevel="3" x14ac:dyDescent="0.35">
      <c r="A116" s="114">
        <f t="shared" si="28"/>
        <v>12.03</v>
      </c>
      <c r="B116" s="49" t="s">
        <v>208</v>
      </c>
      <c r="C116" s="36">
        <v>99</v>
      </c>
      <c r="D116" s="37" t="s">
        <v>8</v>
      </c>
      <c r="E116" s="111"/>
      <c r="F116" s="109">
        <f t="shared" si="27"/>
        <v>0</v>
      </c>
      <c r="G116" s="112"/>
      <c r="H116" s="1"/>
      <c r="I116" s="1"/>
    </row>
    <row r="117" spans="1:9" s="110" customFormat="1" ht="18" hidden="1" outlineLevel="3" x14ac:dyDescent="0.35">
      <c r="A117" s="114">
        <f t="shared" si="28"/>
        <v>12.04</v>
      </c>
      <c r="B117" s="49" t="s">
        <v>209</v>
      </c>
      <c r="C117" s="36">
        <v>1</v>
      </c>
      <c r="D117" s="37" t="s">
        <v>8</v>
      </c>
      <c r="E117" s="111"/>
      <c r="F117" s="109">
        <f t="shared" si="27"/>
        <v>0</v>
      </c>
      <c r="G117" s="112"/>
      <c r="H117" s="1"/>
      <c r="I117" s="1"/>
    </row>
    <row r="118" spans="1:9" s="110" customFormat="1" ht="18" hidden="1" outlineLevel="3" x14ac:dyDescent="0.35">
      <c r="A118" s="114">
        <f t="shared" si="28"/>
        <v>12.049999999999999</v>
      </c>
      <c r="B118" s="49" t="s">
        <v>210</v>
      </c>
      <c r="C118" s="36">
        <v>61</v>
      </c>
      <c r="D118" s="37" t="s">
        <v>8</v>
      </c>
      <c r="E118" s="111"/>
      <c r="F118" s="109">
        <f t="shared" si="27"/>
        <v>0</v>
      </c>
      <c r="G118" s="112"/>
      <c r="H118" s="1"/>
      <c r="I118" s="1"/>
    </row>
    <row r="119" spans="1:9" s="110" customFormat="1" ht="18" hidden="1" outlineLevel="3" x14ac:dyDescent="0.35">
      <c r="A119" s="114">
        <f t="shared" si="28"/>
        <v>12.059999999999999</v>
      </c>
      <c r="B119" s="49" t="s">
        <v>211</v>
      </c>
      <c r="C119" s="36">
        <v>41</v>
      </c>
      <c r="D119" s="37" t="s">
        <v>8</v>
      </c>
      <c r="E119" s="111"/>
      <c r="F119" s="109">
        <f t="shared" si="27"/>
        <v>0</v>
      </c>
      <c r="G119" s="112"/>
      <c r="H119" s="1"/>
      <c r="I119" s="1"/>
    </row>
    <row r="120" spans="1:9" s="110" customFormat="1" ht="18" hidden="1" outlineLevel="3" x14ac:dyDescent="0.35">
      <c r="A120" s="114">
        <f t="shared" si="28"/>
        <v>12.069999999999999</v>
      </c>
      <c r="B120" s="49" t="s">
        <v>212</v>
      </c>
      <c r="C120" s="36">
        <v>8</v>
      </c>
      <c r="D120" s="37" t="s">
        <v>8</v>
      </c>
      <c r="E120" s="111"/>
      <c r="F120" s="109">
        <f t="shared" si="27"/>
        <v>0</v>
      </c>
      <c r="G120" s="112"/>
      <c r="H120" s="1"/>
      <c r="I120" s="1"/>
    </row>
    <row r="121" spans="1:9" s="110" customFormat="1" ht="36" hidden="1" outlineLevel="3" x14ac:dyDescent="0.35">
      <c r="A121" s="114">
        <f t="shared" si="28"/>
        <v>12.079999999999998</v>
      </c>
      <c r="B121" s="49" t="s">
        <v>213</v>
      </c>
      <c r="C121" s="36">
        <v>1</v>
      </c>
      <c r="D121" s="37" t="s">
        <v>8</v>
      </c>
      <c r="E121" s="111"/>
      <c r="F121" s="109">
        <f t="shared" si="27"/>
        <v>0</v>
      </c>
      <c r="G121" s="112"/>
      <c r="H121" s="1"/>
      <c r="I121" s="1"/>
    </row>
    <row r="122" spans="1:9" s="110" customFormat="1" ht="18" hidden="1" outlineLevel="3" x14ac:dyDescent="0.35">
      <c r="A122" s="114">
        <f t="shared" si="28"/>
        <v>12.089999999999998</v>
      </c>
      <c r="B122" s="49" t="s">
        <v>214</v>
      </c>
      <c r="C122" s="36">
        <v>5</v>
      </c>
      <c r="D122" s="37" t="s">
        <v>8</v>
      </c>
      <c r="E122" s="111"/>
      <c r="F122" s="109">
        <f t="shared" si="27"/>
        <v>0</v>
      </c>
      <c r="G122" s="112"/>
      <c r="H122" s="1"/>
      <c r="I122" s="1"/>
    </row>
    <row r="123" spans="1:9" s="110" customFormat="1" ht="18" hidden="1" outlineLevel="3" x14ac:dyDescent="0.35">
      <c r="A123" s="114">
        <f t="shared" si="28"/>
        <v>12.099999999999998</v>
      </c>
      <c r="B123" s="49" t="s">
        <v>215</v>
      </c>
      <c r="C123" s="36">
        <v>1</v>
      </c>
      <c r="D123" s="37" t="s">
        <v>8</v>
      </c>
      <c r="E123" s="111"/>
      <c r="F123" s="109">
        <f t="shared" si="27"/>
        <v>0</v>
      </c>
      <c r="G123" s="112"/>
      <c r="H123" s="1"/>
      <c r="I123" s="1"/>
    </row>
    <row r="124" spans="1:9" s="110" customFormat="1" ht="18" hidden="1" outlineLevel="3" x14ac:dyDescent="0.35">
      <c r="A124" s="114">
        <f t="shared" si="28"/>
        <v>12.109999999999998</v>
      </c>
      <c r="B124" s="49" t="s">
        <v>216</v>
      </c>
      <c r="C124" s="36">
        <v>50</v>
      </c>
      <c r="D124" s="37" t="s">
        <v>8</v>
      </c>
      <c r="E124" s="111"/>
      <c r="F124" s="109">
        <f t="shared" si="27"/>
        <v>0</v>
      </c>
      <c r="G124" s="112"/>
      <c r="H124" s="1"/>
      <c r="I124" s="1"/>
    </row>
    <row r="125" spans="1:9" s="110" customFormat="1" ht="18" hidden="1" outlineLevel="3" x14ac:dyDescent="0.35">
      <c r="A125" s="114">
        <f t="shared" si="28"/>
        <v>12.119999999999997</v>
      </c>
      <c r="B125" s="49" t="s">
        <v>217</v>
      </c>
      <c r="C125" s="36">
        <v>2</v>
      </c>
      <c r="D125" s="37" t="s">
        <v>8</v>
      </c>
      <c r="E125" s="111"/>
      <c r="F125" s="109">
        <f t="shared" si="27"/>
        <v>0</v>
      </c>
      <c r="G125" s="112"/>
      <c r="H125" s="1"/>
      <c r="I125" s="1"/>
    </row>
    <row r="126" spans="1:9" s="110" customFormat="1" ht="72" hidden="1" outlineLevel="3" x14ac:dyDescent="0.35">
      <c r="A126" s="114">
        <f t="shared" si="28"/>
        <v>12.129999999999997</v>
      </c>
      <c r="B126" s="49" t="s">
        <v>218</v>
      </c>
      <c r="C126" s="36">
        <v>2</v>
      </c>
      <c r="D126" s="37" t="s">
        <v>8</v>
      </c>
      <c r="E126" s="111"/>
      <c r="F126" s="109">
        <f t="shared" si="27"/>
        <v>0</v>
      </c>
      <c r="G126" s="112"/>
      <c r="H126" s="1"/>
      <c r="I126" s="1"/>
    </row>
    <row r="127" spans="1:9" s="110" customFormat="1" ht="18" hidden="1" outlineLevel="3" x14ac:dyDescent="0.35">
      <c r="A127" s="114">
        <f t="shared" si="28"/>
        <v>12.139999999999997</v>
      </c>
      <c r="B127" s="49" t="s">
        <v>219</v>
      </c>
      <c r="C127" s="36">
        <v>45</v>
      </c>
      <c r="D127" s="37" t="s">
        <v>8</v>
      </c>
      <c r="E127" s="111"/>
      <c r="F127" s="109">
        <f t="shared" si="27"/>
        <v>0</v>
      </c>
      <c r="G127" s="112"/>
      <c r="H127" s="1"/>
      <c r="I127" s="1"/>
    </row>
    <row r="128" spans="1:9" s="110" customFormat="1" ht="18" hidden="1" outlineLevel="3" x14ac:dyDescent="0.35">
      <c r="A128" s="114">
        <f t="shared" si="28"/>
        <v>12.149999999999997</v>
      </c>
      <c r="B128" s="49" t="s">
        <v>220</v>
      </c>
      <c r="C128" s="36">
        <v>28</v>
      </c>
      <c r="D128" s="37" t="s">
        <v>8</v>
      </c>
      <c r="E128" s="111"/>
      <c r="F128" s="109">
        <f t="shared" si="27"/>
        <v>0</v>
      </c>
      <c r="G128" s="112"/>
      <c r="H128" s="1"/>
      <c r="I128" s="1"/>
    </row>
    <row r="129" spans="1:9" s="110" customFormat="1" ht="36" hidden="1" outlineLevel="3" x14ac:dyDescent="0.35">
      <c r="A129" s="114">
        <f t="shared" si="28"/>
        <v>12.159999999999997</v>
      </c>
      <c r="B129" s="49" t="s">
        <v>221</v>
      </c>
      <c r="C129" s="36">
        <v>1</v>
      </c>
      <c r="D129" s="37" t="s">
        <v>8</v>
      </c>
      <c r="E129" s="111"/>
      <c r="F129" s="109">
        <f t="shared" si="27"/>
        <v>0</v>
      </c>
      <c r="G129" s="112"/>
      <c r="H129" s="1"/>
      <c r="I129" s="1"/>
    </row>
    <row r="130" spans="1:9" s="110" customFormat="1" ht="18" hidden="1" outlineLevel="3" x14ac:dyDescent="0.35">
      <c r="A130" s="114">
        <f t="shared" si="28"/>
        <v>12.169999999999996</v>
      </c>
      <c r="B130" s="49" t="s">
        <v>222</v>
      </c>
      <c r="C130" s="36">
        <v>10</v>
      </c>
      <c r="D130" s="37" t="s">
        <v>8</v>
      </c>
      <c r="E130" s="111"/>
      <c r="F130" s="109">
        <f t="shared" si="27"/>
        <v>0</v>
      </c>
      <c r="G130" s="112"/>
      <c r="H130" s="1"/>
      <c r="I130" s="1"/>
    </row>
    <row r="131" spans="1:9" s="110" customFormat="1" ht="18" hidden="1" outlineLevel="3" x14ac:dyDescent="0.35">
      <c r="A131" s="114">
        <f t="shared" si="28"/>
        <v>12.179999999999996</v>
      </c>
      <c r="B131" s="49" t="s">
        <v>223</v>
      </c>
      <c r="C131" s="36">
        <v>1</v>
      </c>
      <c r="D131" s="37" t="s">
        <v>8</v>
      </c>
      <c r="E131" s="111"/>
      <c r="F131" s="109">
        <f t="shared" si="27"/>
        <v>0</v>
      </c>
      <c r="G131" s="112"/>
      <c r="H131" s="1"/>
      <c r="I131" s="1"/>
    </row>
    <row r="132" spans="1:9" s="110" customFormat="1" ht="18" hidden="1" outlineLevel="3" x14ac:dyDescent="0.35">
      <c r="A132" s="114">
        <f t="shared" si="28"/>
        <v>12.189999999999996</v>
      </c>
      <c r="B132" s="49" t="s">
        <v>224</v>
      </c>
      <c r="C132" s="36">
        <v>1</v>
      </c>
      <c r="D132" s="37" t="s">
        <v>8</v>
      </c>
      <c r="E132" s="111"/>
      <c r="F132" s="109">
        <f t="shared" si="27"/>
        <v>0</v>
      </c>
      <c r="G132" s="112"/>
      <c r="H132" s="1"/>
      <c r="I132" s="1"/>
    </row>
    <row r="133" spans="1:9" s="110" customFormat="1" ht="18" hidden="1" outlineLevel="3" x14ac:dyDescent="0.35">
      <c r="A133" s="114">
        <f t="shared" si="28"/>
        <v>12.199999999999996</v>
      </c>
      <c r="B133" s="49" t="s">
        <v>225</v>
      </c>
      <c r="C133" s="36">
        <v>2</v>
      </c>
      <c r="D133" s="37" t="s">
        <v>8</v>
      </c>
      <c r="E133" s="111"/>
      <c r="F133" s="109">
        <f t="shared" si="27"/>
        <v>0</v>
      </c>
      <c r="G133" s="112"/>
      <c r="H133" s="1"/>
      <c r="I133" s="1"/>
    </row>
    <row r="134" spans="1:9" s="110" customFormat="1" ht="18" hidden="1" outlineLevel="3" x14ac:dyDescent="0.35">
      <c r="A134" s="114">
        <f t="shared" si="28"/>
        <v>12.209999999999996</v>
      </c>
      <c r="B134" s="49" t="s">
        <v>226</v>
      </c>
      <c r="C134" s="36">
        <v>8</v>
      </c>
      <c r="D134" s="37" t="s">
        <v>8</v>
      </c>
      <c r="E134" s="111"/>
      <c r="F134" s="109">
        <f t="shared" si="27"/>
        <v>0</v>
      </c>
      <c r="G134" s="112"/>
      <c r="H134" s="1"/>
      <c r="I134" s="1"/>
    </row>
    <row r="135" spans="1:9" s="110" customFormat="1" ht="36" hidden="1" outlineLevel="3" x14ac:dyDescent="0.35">
      <c r="A135" s="114">
        <f t="shared" si="28"/>
        <v>12.219999999999995</v>
      </c>
      <c r="B135" s="49" t="s">
        <v>227</v>
      </c>
      <c r="C135" s="36">
        <v>4</v>
      </c>
      <c r="D135" s="37" t="s">
        <v>8</v>
      </c>
      <c r="E135" s="111"/>
      <c r="F135" s="109">
        <f t="shared" si="27"/>
        <v>0</v>
      </c>
      <c r="G135" s="112"/>
      <c r="H135" s="1"/>
      <c r="I135" s="1"/>
    </row>
    <row r="136" spans="1:9" s="110" customFormat="1" ht="18" hidden="1" outlineLevel="3" x14ac:dyDescent="0.35">
      <c r="A136" s="114">
        <f t="shared" si="28"/>
        <v>12.229999999999995</v>
      </c>
      <c r="B136" s="49" t="s">
        <v>228</v>
      </c>
      <c r="C136" s="36">
        <v>85</v>
      </c>
      <c r="D136" s="37" t="s">
        <v>8</v>
      </c>
      <c r="E136" s="111"/>
      <c r="F136" s="109">
        <f t="shared" si="27"/>
        <v>0</v>
      </c>
      <c r="G136" s="112"/>
      <c r="H136" s="1"/>
      <c r="I136" s="1"/>
    </row>
    <row r="137" spans="1:9" s="110" customFormat="1" ht="18" hidden="1" outlineLevel="3" x14ac:dyDescent="0.35">
      <c r="A137" s="114">
        <f t="shared" si="28"/>
        <v>12.239999999999995</v>
      </c>
      <c r="B137" s="49" t="s">
        <v>229</v>
      </c>
      <c r="C137" s="36">
        <v>2</v>
      </c>
      <c r="D137" s="37" t="s">
        <v>8</v>
      </c>
      <c r="E137" s="111"/>
      <c r="F137" s="109">
        <f t="shared" si="27"/>
        <v>0</v>
      </c>
      <c r="G137" s="112"/>
      <c r="H137" s="1"/>
      <c r="I137" s="1"/>
    </row>
    <row r="138" spans="1:9" s="110" customFormat="1" ht="18" hidden="1" outlineLevel="3" x14ac:dyDescent="0.35">
      <c r="A138" s="114">
        <f t="shared" si="28"/>
        <v>12.249999999999995</v>
      </c>
      <c r="B138" s="49" t="s">
        <v>230</v>
      </c>
      <c r="C138" s="36">
        <v>9</v>
      </c>
      <c r="D138" s="37" t="s">
        <v>8</v>
      </c>
      <c r="E138" s="111"/>
      <c r="F138" s="109">
        <f t="shared" si="27"/>
        <v>0</v>
      </c>
      <c r="G138" s="112"/>
      <c r="H138" s="1"/>
      <c r="I138" s="1"/>
    </row>
    <row r="139" spans="1:9" s="110" customFormat="1" ht="18" hidden="1" outlineLevel="3" x14ac:dyDescent="0.35">
      <c r="A139" s="114">
        <f t="shared" si="28"/>
        <v>12.259999999999994</v>
      </c>
      <c r="B139" s="49" t="s">
        <v>231</v>
      </c>
      <c r="C139" s="36">
        <v>2</v>
      </c>
      <c r="D139" s="37" t="s">
        <v>8</v>
      </c>
      <c r="E139" s="111"/>
      <c r="F139" s="109">
        <f t="shared" si="27"/>
        <v>0</v>
      </c>
      <c r="G139" s="112"/>
      <c r="H139" s="1"/>
      <c r="I139" s="1"/>
    </row>
    <row r="140" spans="1:9" outlineLevel="2" x14ac:dyDescent="0.25">
      <c r="A140" s="105"/>
      <c r="B140" s="106"/>
      <c r="C140" s="105"/>
      <c r="D140" s="105"/>
      <c r="E140" s="105"/>
      <c r="F140" s="105"/>
      <c r="G140" s="105"/>
    </row>
    <row r="141" spans="1:9" ht="14" outlineLevel="2" thickBot="1" x14ac:dyDescent="0.3">
      <c r="A141" s="161"/>
      <c r="B141" s="162"/>
      <c r="C141" s="163"/>
      <c r="D141" s="66"/>
    </row>
    <row r="142" spans="1:9" s="59" customFormat="1" ht="18.5" outlineLevel="1" thickBot="1" x14ac:dyDescent="0.4">
      <c r="A142" s="80"/>
      <c r="B142" s="81" t="s">
        <v>5</v>
      </c>
      <c r="C142" s="82"/>
      <c r="D142" s="144"/>
      <c r="E142" s="83"/>
      <c r="F142" s="84"/>
      <c r="G142" s="85">
        <f>SUM(F9:F140)</f>
        <v>0</v>
      </c>
    </row>
    <row r="143" spans="1:9" ht="18" x14ac:dyDescent="0.35">
      <c r="A143" s="67"/>
      <c r="B143" s="68"/>
      <c r="C143" s="67"/>
      <c r="D143" s="69"/>
      <c r="E143" s="70"/>
      <c r="F143" s="71"/>
      <c r="G143" s="72"/>
      <c r="H143" s="59"/>
    </row>
    <row r="144" spans="1:9" s="59" customFormat="1" ht="18" x14ac:dyDescent="0.35">
      <c r="A144" s="73"/>
      <c r="B144" s="68" t="s">
        <v>48</v>
      </c>
      <c r="C144" s="73"/>
      <c r="D144" s="69"/>
      <c r="E144" s="70"/>
      <c r="F144" s="71"/>
      <c r="G144" s="72">
        <f>+SUBTOTAL(9,G145:G152)</f>
        <v>0</v>
      </c>
    </row>
    <row r="145" spans="1:9" s="59" customFormat="1" ht="18" outlineLevel="1" x14ac:dyDescent="0.35">
      <c r="A145" s="73"/>
      <c r="B145" s="74" t="s">
        <v>232</v>
      </c>
      <c r="C145" s="64">
        <v>0.1</v>
      </c>
      <c r="D145" s="73"/>
      <c r="E145" s="73"/>
      <c r="F145" s="70"/>
      <c r="G145" s="71">
        <f>C145*$G$142</f>
        <v>0</v>
      </c>
    </row>
    <row r="146" spans="1:9" s="59" customFormat="1" ht="18" outlineLevel="1" x14ac:dyDescent="0.35">
      <c r="A146" s="73"/>
      <c r="B146" s="74" t="s">
        <v>49</v>
      </c>
      <c r="C146" s="64">
        <v>0.1</v>
      </c>
      <c r="D146" s="73"/>
      <c r="E146" s="73"/>
      <c r="F146" s="70"/>
      <c r="G146" s="71">
        <f>C146*$G$142</f>
        <v>0</v>
      </c>
    </row>
    <row r="147" spans="1:9" s="59" customFormat="1" ht="18" outlineLevel="1" x14ac:dyDescent="0.35">
      <c r="A147" s="73"/>
      <c r="B147" s="75" t="s">
        <v>50</v>
      </c>
      <c r="C147" s="64">
        <v>0.02</v>
      </c>
      <c r="D147" s="73"/>
      <c r="E147" s="70"/>
      <c r="F147" s="70"/>
      <c r="G147" s="71">
        <f t="shared" ref="G147:G151" si="29">C147*$G$142</f>
        <v>0</v>
      </c>
    </row>
    <row r="148" spans="1:9" s="59" customFormat="1" ht="18" outlineLevel="1" x14ac:dyDescent="0.35">
      <c r="A148" s="73"/>
      <c r="B148" s="74" t="s">
        <v>51</v>
      </c>
      <c r="C148" s="64">
        <v>0.04</v>
      </c>
      <c r="D148" s="73"/>
      <c r="E148" s="70"/>
      <c r="F148" s="70"/>
      <c r="G148" s="71">
        <f t="shared" si="29"/>
        <v>0</v>
      </c>
    </row>
    <row r="149" spans="1:9" s="59" customFormat="1" ht="18" outlineLevel="1" x14ac:dyDescent="0.35">
      <c r="A149" s="73"/>
      <c r="B149" s="75" t="s">
        <v>52</v>
      </c>
      <c r="C149" s="64">
        <v>0.01</v>
      </c>
      <c r="D149" s="73"/>
      <c r="E149" s="70"/>
      <c r="F149" s="70"/>
      <c r="G149" s="71">
        <f t="shared" si="29"/>
        <v>0</v>
      </c>
    </row>
    <row r="150" spans="1:9" s="59" customFormat="1" ht="18" outlineLevel="1" x14ac:dyDescent="0.35">
      <c r="A150" s="73"/>
      <c r="B150" s="75" t="s">
        <v>53</v>
      </c>
      <c r="C150" s="64">
        <v>2.5000000000000001E-2</v>
      </c>
      <c r="D150" s="73"/>
      <c r="E150" s="76"/>
      <c r="F150" s="70"/>
      <c r="G150" s="71">
        <f t="shared" si="29"/>
        <v>0</v>
      </c>
    </row>
    <row r="151" spans="1:9" s="59" customFormat="1" ht="18" outlineLevel="1" x14ac:dyDescent="0.35">
      <c r="A151" s="73"/>
      <c r="B151" s="74" t="s">
        <v>57</v>
      </c>
      <c r="C151" s="64">
        <v>1E-4</v>
      </c>
      <c r="D151" s="73"/>
      <c r="E151" s="70"/>
      <c r="F151" s="70"/>
      <c r="G151" s="71">
        <f t="shared" si="29"/>
        <v>0</v>
      </c>
    </row>
    <row r="152" spans="1:9" s="59" customFormat="1" ht="18" outlineLevel="1" x14ac:dyDescent="0.35">
      <c r="A152" s="73"/>
      <c r="B152" s="74" t="s">
        <v>54</v>
      </c>
      <c r="C152" s="64">
        <v>0.18</v>
      </c>
      <c r="D152" s="73"/>
      <c r="E152" s="70"/>
      <c r="F152" s="70"/>
      <c r="G152" s="71">
        <f>C152*$G$146</f>
        <v>0</v>
      </c>
    </row>
    <row r="153" spans="1:9" s="59" customFormat="1" ht="18.5" outlineLevel="1" thickBot="1" x14ac:dyDescent="0.4">
      <c r="A153" s="73"/>
      <c r="B153" s="77"/>
      <c r="C153" s="78"/>
      <c r="D153" s="73"/>
      <c r="E153" s="70"/>
      <c r="F153" s="71"/>
      <c r="G153" s="79"/>
    </row>
    <row r="154" spans="1:9" s="59" customFormat="1" ht="18.5" outlineLevel="1" thickBot="1" x14ac:dyDescent="0.4">
      <c r="A154" s="80"/>
      <c r="B154" s="81" t="s">
        <v>5</v>
      </c>
      <c r="C154" s="82"/>
      <c r="D154" s="144"/>
      <c r="E154" s="83"/>
      <c r="F154" s="84"/>
      <c r="G154" s="85">
        <f>+G142+G144</f>
        <v>0</v>
      </c>
    </row>
    <row r="155" spans="1:9" s="59" customFormat="1" ht="18.5" thickBot="1" x14ac:dyDescent="0.4">
      <c r="B155" s="65"/>
      <c r="C155" s="60"/>
      <c r="E155" s="61"/>
      <c r="F155" s="62"/>
      <c r="G155" s="62"/>
    </row>
    <row r="156" spans="1:9" s="59" customFormat="1" ht="18.5" thickBot="1" x14ac:dyDescent="0.4">
      <c r="A156" s="52"/>
      <c r="B156" s="54" t="s">
        <v>55</v>
      </c>
      <c r="C156" s="86">
        <v>0.05</v>
      </c>
      <c r="D156" s="143"/>
      <c r="E156" s="56"/>
      <c r="F156" s="57">
        <f>+G154</f>
        <v>0</v>
      </c>
      <c r="G156" s="58">
        <f>+C156*F156</f>
        <v>0</v>
      </c>
    </row>
    <row r="157" spans="1:9" s="59" customFormat="1" ht="18.5" thickBot="1" x14ac:dyDescent="0.4">
      <c r="B157" s="63"/>
      <c r="D157" s="60"/>
      <c r="E157" s="61"/>
      <c r="F157" s="62"/>
      <c r="G157" s="62"/>
    </row>
    <row r="158" spans="1:9" s="59" customFormat="1" ht="18.5" thickBot="1" x14ac:dyDescent="0.4">
      <c r="A158" s="52"/>
      <c r="B158" s="54" t="s">
        <v>56</v>
      </c>
      <c r="C158" s="53"/>
      <c r="D158" s="143"/>
      <c r="E158" s="56"/>
      <c r="F158" s="57"/>
      <c r="G158" s="58">
        <f>+G156+G154</f>
        <v>0</v>
      </c>
    </row>
    <row r="159" spans="1:9" ht="18" x14ac:dyDescent="0.35">
      <c r="H159" s="59"/>
      <c r="I159" s="59"/>
    </row>
    <row r="160" spans="1:9" ht="18" x14ac:dyDescent="0.35">
      <c r="H160" s="59"/>
      <c r="I160" s="59"/>
    </row>
    <row r="161" spans="2:9" ht="18" x14ac:dyDescent="0.35">
      <c r="H161" s="59"/>
      <c r="I161" s="59"/>
    </row>
    <row r="162" spans="2:9" x14ac:dyDescent="0.25">
      <c r="B162" s="51" t="s">
        <v>240</v>
      </c>
    </row>
  </sheetData>
  <autoFilter ref="A7:G159"/>
  <mergeCells count="3">
    <mergeCell ref="B2:G2"/>
    <mergeCell ref="G64:G66"/>
    <mergeCell ref="A64:A66"/>
  </mergeCells>
  <pageMargins left="0.7" right="0.7" top="0.75" bottom="0.75" header="0.3" footer="0.3"/>
  <pageSetup scale="51" fitToHeight="0" orientation="portrait" r:id="rId1"/>
  <rowBreaks count="3" manualBreakCount="3">
    <brk id="63" max="6" man="1"/>
    <brk id="143" max="6" man="1"/>
    <brk id="15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/>
    <sheetView workbookViewId="1"/>
  </sheetViews>
  <sheetFormatPr baseColWidth="10" defaultColWidth="9.1796875" defaultRowHeight="13.5" x14ac:dyDescent="0.25"/>
  <cols>
    <col min="1" max="1" width="6.7265625" style="1" bestFit="1" customWidth="1"/>
    <col min="2" max="2" width="82" style="51" customWidth="1"/>
    <col min="3" max="3" width="9.81640625" style="1" bestFit="1" customWidth="1"/>
    <col min="4" max="4" width="8.453125" style="1" bestFit="1" customWidth="1"/>
    <col min="5" max="5" width="19" style="1" bestFit="1" customWidth="1"/>
    <col min="6" max="6" width="17.1796875" style="1" bestFit="1" customWidth="1"/>
    <col min="7" max="7" width="17.81640625" style="1" bestFit="1" customWidth="1"/>
    <col min="8" max="16384" width="9.1796875" style="1"/>
  </cols>
  <sheetData>
    <row r="1" spans="1:8" ht="17.5" x14ac:dyDescent="0.25">
      <c r="B1" s="43"/>
      <c r="C1" s="2"/>
      <c r="D1" s="2"/>
      <c r="E1" s="2"/>
      <c r="F1" s="2"/>
      <c r="G1" s="2"/>
      <c r="H1" s="2"/>
    </row>
    <row r="2" spans="1:8" ht="17.5" x14ac:dyDescent="0.25">
      <c r="B2" s="165" t="s">
        <v>11</v>
      </c>
      <c r="C2" s="165"/>
      <c r="D2" s="165"/>
      <c r="E2" s="165"/>
      <c r="F2" s="165"/>
      <c r="G2" s="165"/>
      <c r="H2" s="3"/>
    </row>
    <row r="3" spans="1:8" ht="17.5" x14ac:dyDescent="0.25">
      <c r="B3" s="44"/>
      <c r="C3" s="8"/>
      <c r="D3" s="8"/>
      <c r="E3" s="8"/>
      <c r="F3" s="8"/>
      <c r="G3" s="8"/>
      <c r="H3" s="3"/>
    </row>
    <row r="4" spans="1:8" ht="18" x14ac:dyDescent="0.25">
      <c r="B4" s="43" t="s">
        <v>10</v>
      </c>
      <c r="C4" s="2"/>
      <c r="D4" s="4"/>
      <c r="E4" s="5" t="s">
        <v>12</v>
      </c>
      <c r="F4" s="4"/>
      <c r="G4" s="4"/>
      <c r="H4" s="6"/>
    </row>
    <row r="5" spans="1:8" ht="18" x14ac:dyDescent="0.25">
      <c r="B5" s="43" t="s">
        <v>9</v>
      </c>
      <c r="C5" s="2"/>
      <c r="D5" s="7"/>
      <c r="E5" s="5" t="s">
        <v>13</v>
      </c>
      <c r="F5" s="7"/>
      <c r="G5" s="7"/>
      <c r="H5" s="6"/>
    </row>
    <row r="6" spans="1:8" ht="18" thickBot="1" x14ac:dyDescent="0.3">
      <c r="B6" s="45"/>
      <c r="C6" s="8"/>
      <c r="D6" s="8"/>
      <c r="E6" s="8"/>
      <c r="F6" s="8"/>
      <c r="G6" s="8"/>
      <c r="H6" s="9"/>
    </row>
    <row r="7" spans="1:8" s="14" customFormat="1" ht="30.5" thickBot="1" x14ac:dyDescent="0.4">
      <c r="A7" s="10" t="s">
        <v>0</v>
      </c>
      <c r="B7" s="11" t="s">
        <v>1</v>
      </c>
      <c r="C7" s="12" t="s">
        <v>2</v>
      </c>
      <c r="D7" s="12" t="s">
        <v>3</v>
      </c>
      <c r="E7" s="11" t="s">
        <v>4</v>
      </c>
      <c r="F7" s="12" t="s">
        <v>5</v>
      </c>
      <c r="G7" s="13" t="s">
        <v>6</v>
      </c>
    </row>
    <row r="8" spans="1:8" ht="17.5" x14ac:dyDescent="0.35">
      <c r="A8" s="15"/>
      <c r="B8" s="46"/>
      <c r="C8" s="16"/>
      <c r="D8" s="16"/>
      <c r="E8" s="16"/>
      <c r="F8" s="16"/>
      <c r="G8" s="17"/>
    </row>
    <row r="9" spans="1:8" ht="18" x14ac:dyDescent="0.35">
      <c r="A9" s="18"/>
      <c r="B9" s="47" t="s">
        <v>15</v>
      </c>
      <c r="C9" s="20"/>
      <c r="D9" s="19"/>
      <c r="E9" s="21"/>
      <c r="F9" s="22"/>
      <c r="G9" s="23"/>
    </row>
    <row r="10" spans="1:8" ht="18" x14ac:dyDescent="0.35">
      <c r="A10" s="18"/>
      <c r="B10" s="47" t="s">
        <v>14</v>
      </c>
      <c r="C10" s="20"/>
      <c r="D10" s="19"/>
      <c r="E10" s="21"/>
      <c r="F10" s="22"/>
      <c r="G10" s="23"/>
    </row>
    <row r="11" spans="1:8" ht="18" x14ac:dyDescent="0.35">
      <c r="A11" s="18"/>
      <c r="B11" s="47"/>
      <c r="C11" s="20"/>
      <c r="D11" s="19"/>
      <c r="E11" s="21"/>
      <c r="F11" s="22"/>
      <c r="G11" s="23"/>
    </row>
    <row r="12" spans="1:8" ht="18" x14ac:dyDescent="0.25">
      <c r="A12" s="24">
        <v>1</v>
      </c>
      <c r="B12" s="48" t="s">
        <v>17</v>
      </c>
      <c r="C12" s="25"/>
      <c r="D12" s="26"/>
      <c r="E12" s="27"/>
      <c r="F12" s="28"/>
      <c r="G12" s="42">
        <f>+SUM(F12:F17)</f>
        <v>0</v>
      </c>
    </row>
    <row r="13" spans="1:8" ht="18" x14ac:dyDescent="0.35">
      <c r="A13" s="30">
        <f>+A12+0.01</f>
        <v>1.01</v>
      </c>
      <c r="B13" s="49" t="s">
        <v>18</v>
      </c>
      <c r="C13" s="31">
        <v>251.59</v>
      </c>
      <c r="D13" s="32" t="s">
        <v>19</v>
      </c>
      <c r="E13" s="33"/>
      <c r="F13" s="34">
        <f>ROUND(C13*E13,2)</f>
        <v>0</v>
      </c>
      <c r="G13" s="29"/>
    </row>
    <row r="14" spans="1:8" ht="18" x14ac:dyDescent="0.35">
      <c r="A14" s="30">
        <f t="shared" ref="A14:A16" si="0">+A13+0.01</f>
        <v>1.02</v>
      </c>
      <c r="B14" s="49"/>
      <c r="C14" s="31"/>
      <c r="D14" s="32"/>
      <c r="E14" s="33"/>
      <c r="F14" s="34">
        <f t="shared" ref="F14:F16" si="1">ROUND(C14*E14,2)</f>
        <v>0</v>
      </c>
      <c r="G14" s="29"/>
    </row>
    <row r="15" spans="1:8" ht="18" x14ac:dyDescent="0.35">
      <c r="A15" s="30">
        <f t="shared" si="0"/>
        <v>1.03</v>
      </c>
      <c r="B15" s="50"/>
      <c r="C15" s="36"/>
      <c r="D15" s="37"/>
      <c r="E15" s="38"/>
      <c r="F15" s="34">
        <f t="shared" si="1"/>
        <v>0</v>
      </c>
      <c r="G15" s="39"/>
    </row>
    <row r="16" spans="1:8" ht="18" x14ac:dyDescent="0.35">
      <c r="A16" s="30">
        <f t="shared" si="0"/>
        <v>1.04</v>
      </c>
      <c r="B16" s="50"/>
      <c r="C16" s="36"/>
      <c r="D16" s="40"/>
      <c r="E16" s="36"/>
      <c r="F16" s="34">
        <f t="shared" si="1"/>
        <v>0</v>
      </c>
      <c r="G16" s="41"/>
    </row>
    <row r="17" spans="1:7" ht="18" x14ac:dyDescent="0.35">
      <c r="A17" s="35"/>
      <c r="B17" s="50"/>
      <c r="C17" s="36"/>
      <c r="D17" s="40"/>
      <c r="E17" s="36"/>
      <c r="F17" s="34"/>
      <c r="G17" s="41"/>
    </row>
    <row r="18" spans="1:7" ht="18" x14ac:dyDescent="0.25">
      <c r="A18" s="24">
        <v>2</v>
      </c>
      <c r="B18" s="48" t="s">
        <v>16</v>
      </c>
      <c r="C18" s="25"/>
      <c r="D18" s="26"/>
      <c r="E18" s="27"/>
      <c r="F18" s="28"/>
      <c r="G18" s="42">
        <f>+SUM(F18:F26)</f>
        <v>0</v>
      </c>
    </row>
    <row r="19" spans="1:7" ht="18" x14ac:dyDescent="0.35">
      <c r="A19" s="30">
        <f t="shared" ref="A19:A26" si="2">+A18+0.01</f>
        <v>2.0099999999999998</v>
      </c>
      <c r="B19" s="49" t="s">
        <v>20</v>
      </c>
      <c r="C19" s="31"/>
      <c r="D19" s="32"/>
      <c r="E19" s="33"/>
      <c r="F19" s="34">
        <f>ROUND(C19*E19,2)</f>
        <v>0</v>
      </c>
      <c r="G19" s="29"/>
    </row>
    <row r="20" spans="1:7" ht="18" x14ac:dyDescent="0.35">
      <c r="A20" s="30">
        <f t="shared" si="2"/>
        <v>2.0199999999999996</v>
      </c>
      <c r="B20" s="49"/>
      <c r="C20" s="31"/>
      <c r="D20" s="32"/>
      <c r="E20" s="33"/>
      <c r="F20" s="34">
        <f t="shared" ref="F20:F26" si="3">ROUND(C20*E20,2)</f>
        <v>0</v>
      </c>
      <c r="G20" s="29"/>
    </row>
    <row r="21" spans="1:7" ht="18" x14ac:dyDescent="0.35">
      <c r="A21" s="30">
        <f t="shared" si="2"/>
        <v>2.0299999999999994</v>
      </c>
      <c r="B21" s="50"/>
      <c r="C21" s="36"/>
      <c r="D21" s="37"/>
      <c r="E21" s="38"/>
      <c r="F21" s="34">
        <f t="shared" si="3"/>
        <v>0</v>
      </c>
      <c r="G21" s="39"/>
    </row>
    <row r="22" spans="1:7" ht="18" x14ac:dyDescent="0.35">
      <c r="A22" s="30">
        <f t="shared" si="2"/>
        <v>2.0399999999999991</v>
      </c>
      <c r="B22" s="50"/>
      <c r="C22" s="36"/>
      <c r="D22" s="40"/>
      <c r="E22" s="36"/>
      <c r="F22" s="34">
        <f t="shared" si="3"/>
        <v>0</v>
      </c>
      <c r="G22" s="41"/>
    </row>
    <row r="23" spans="1:7" ht="18" x14ac:dyDescent="0.35">
      <c r="A23" s="30">
        <f t="shared" si="2"/>
        <v>2.0499999999999989</v>
      </c>
      <c r="B23" s="50"/>
      <c r="C23" s="36"/>
      <c r="D23" s="40"/>
      <c r="E23" s="36"/>
      <c r="F23" s="34">
        <f t="shared" si="3"/>
        <v>0</v>
      </c>
      <c r="G23" s="41"/>
    </row>
    <row r="24" spans="1:7" ht="18" x14ac:dyDescent="0.35">
      <c r="A24" s="30">
        <f t="shared" si="2"/>
        <v>2.0599999999999987</v>
      </c>
      <c r="B24" s="50"/>
      <c r="C24" s="36"/>
      <c r="D24" s="37"/>
      <c r="E24" s="36"/>
      <c r="F24" s="34">
        <f t="shared" si="3"/>
        <v>0</v>
      </c>
      <c r="G24" s="41"/>
    </row>
    <row r="25" spans="1:7" ht="18" x14ac:dyDescent="0.35">
      <c r="A25" s="30">
        <f t="shared" si="2"/>
        <v>2.0699999999999985</v>
      </c>
      <c r="B25" s="49"/>
      <c r="C25" s="31"/>
      <c r="D25" s="32"/>
      <c r="E25" s="31"/>
      <c r="F25" s="34">
        <f t="shared" si="3"/>
        <v>0</v>
      </c>
      <c r="G25" s="42"/>
    </row>
    <row r="26" spans="1:7" ht="18" x14ac:dyDescent="0.35">
      <c r="A26" s="30">
        <f t="shared" si="2"/>
        <v>2.0799999999999983</v>
      </c>
      <c r="B26" s="50"/>
      <c r="C26" s="36"/>
      <c r="D26" s="37"/>
      <c r="E26" s="36"/>
      <c r="F26" s="34">
        <f t="shared" si="3"/>
        <v>0</v>
      </c>
      <c r="G26" s="41"/>
    </row>
  </sheetData>
  <mergeCells count="1">
    <mergeCell ref="B2:G2"/>
  </mergeCells>
  <pageMargins left="0.7" right="0.7" top="0.75" bottom="0.75" header="0.3" footer="0.3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RESUMEN</vt:lpstr>
      <vt:lpstr>EDIF #1</vt:lpstr>
      <vt:lpstr>EDIF #2</vt:lpstr>
      <vt:lpstr>HORIZONTAL</vt:lpstr>
      <vt:lpstr>'EDIF #1'!Área_de_impresión</vt:lpstr>
      <vt:lpstr>'EDIF #2'!Área_de_impresión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Nunez</dc:creator>
  <cp:lastModifiedBy>Aldemir Lachapelle</cp:lastModifiedBy>
  <cp:lastPrinted>2020-12-25T22:40:27Z</cp:lastPrinted>
  <dcterms:created xsi:type="dcterms:W3CDTF">2020-12-24T15:35:52Z</dcterms:created>
  <dcterms:modified xsi:type="dcterms:W3CDTF">2021-01-13T15:56:35Z</dcterms:modified>
</cp:coreProperties>
</file>