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ml.chartshapes+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drawings/drawing32.xml" ContentType="application/vnd.openxmlformats-officedocument.drawing+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xml"/>
  <Override PartName="/xl/charts/chart2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9.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0.xml" ContentType="application/vnd.openxmlformats-officedocument.drawingml.chart+xml"/>
  <Override PartName="/xl/drawings/drawing46.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omments1.xml" ContentType="application/vnd.openxmlformats-officedocument.spreadsheetml.comments+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xml"/>
  <Override PartName="/xl/charts/chart43.xml" ContentType="application/vnd.openxmlformats-officedocument.drawingml.chart+xml"/>
  <Override PartName="/xl/drawings/drawing57.xml" ContentType="application/vnd.openxmlformats-officedocument.drawing+xml"/>
  <Override PartName="/xl/charts/chart44.xml" ContentType="application/vnd.openxmlformats-officedocument.drawingml.chart+xml"/>
  <Override PartName="/xl/drawings/drawing58.xml" ContentType="application/vnd.openxmlformats-officedocument.drawing+xml"/>
  <Override PartName="/xl/charts/chart45.xml" ContentType="application/vnd.openxmlformats-officedocument.drawingml.chart+xml"/>
  <Override PartName="/xl/drawings/drawing59.xml" ContentType="application/vnd.openxmlformats-officedocument.drawing+xml"/>
  <Override PartName="/xl/charts/chart46.xml" ContentType="application/vnd.openxmlformats-officedocument.drawingml.chart+xml"/>
  <Override PartName="/xl/drawings/drawing60.xml" ContentType="application/vnd.openxmlformats-officedocument.drawing+xml"/>
  <Override PartName="/xl/charts/chart47.xml" ContentType="application/vnd.openxmlformats-officedocument.drawingml.chart+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0.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charts/chart52.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omments2.xml" ContentType="application/vnd.openxmlformats-officedocument.spreadsheetml.comments+xml"/>
  <Override PartName="/xl/charts/chart53.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4.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55.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56.xml" ContentType="application/vnd.openxmlformats-officedocument.drawingml.chart+xml"/>
  <Override PartName="/xl/drawings/drawing77.xml" ContentType="application/vnd.openxmlformats-officedocument.drawing+xml"/>
  <Override PartName="/xl/charts/chart57.xml" ContentType="application/vnd.openxmlformats-officedocument.drawingml.chart+xml"/>
  <Override PartName="/xl/drawings/drawing78.xml" ContentType="application/vnd.openxmlformats-officedocument.drawing+xml"/>
  <Override PartName="/xl/charts/chart5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59.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62.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3.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64.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65.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66.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67.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charts/chart68.xml" ContentType="application/vnd.openxmlformats-officedocument.drawingml.chart+xml"/>
  <Override PartName="/xl/drawings/drawing100.xml" ContentType="application/vnd.openxmlformats-officedocument.drawing+xml"/>
  <Override PartName="/xl/charts/chart69.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omments3.xml" ContentType="application/vnd.openxmlformats-officedocument.spreadsheetml.comments+xml"/>
  <Override PartName="/xl/charts/chart70.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71.xml" ContentType="application/vnd.openxmlformats-officedocument.drawingml.chart+xml"/>
  <Override PartName="/xl/drawings/drawing105.xml" ContentType="application/vnd.openxmlformats-officedocument.drawingml.chartshapes+xml"/>
  <Override PartName="/xl/charts/chart72.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73.xml" ContentType="application/vnd.openxmlformats-officedocument.drawingml.chart+xml"/>
  <Override PartName="/xl/drawings/drawing108.xml" ContentType="application/vnd.openxmlformats-officedocument.drawingml.chartshapes+xml"/>
  <Override PartName="/xl/charts/chart74.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75.xml" ContentType="application/vnd.openxmlformats-officedocument.drawingml.chart+xml"/>
  <Override PartName="/xl/drawings/drawing111.xml" ContentType="application/vnd.openxmlformats-officedocument.drawing+xml"/>
  <Override PartName="/xl/charts/chart76.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7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7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7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80.xml" ContentType="application/vnd.openxmlformats-officedocument.drawingml.chart+xml"/>
  <Override PartName="/xl/drawings/drawing120.xml" ContentType="application/vnd.openxmlformats-officedocument.drawingml.chartshapes+xml"/>
  <Override PartName="/xl/charts/chart81.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82.xml" ContentType="application/vnd.openxmlformats-officedocument.drawingml.chart+xml"/>
  <Override PartName="/xl/drawings/drawing123.xml" ContentType="application/vnd.openxmlformats-officedocument.drawing+xml"/>
  <Override PartName="/xl/charts/chart83.xml" ContentType="application/vnd.openxmlformats-officedocument.drawingml.chart+xml"/>
  <Override PartName="/xl/drawings/drawing124.xml" ContentType="application/vnd.openxmlformats-officedocument.drawing+xml"/>
  <Override PartName="/xl/charts/chart84.xml" ContentType="application/vnd.openxmlformats-officedocument.drawingml.chart+xml"/>
  <Override PartName="/xl/drawings/drawing125.xml" ContentType="application/vnd.openxmlformats-officedocument.drawing+xml"/>
  <Override PartName="/xl/charts/chart85.xml" ContentType="application/vnd.openxmlformats-officedocument.drawingml.chart+xml"/>
  <Override PartName="/xl/drawings/drawing126.xml" ContentType="application/vnd.openxmlformats-officedocument.drawing+xml"/>
  <Override PartName="/xl/charts/chart86.xml" ContentType="application/vnd.openxmlformats-officedocument.drawingml.chart+xml"/>
  <Override PartName="/xl/drawings/drawing12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89.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90.xml" ContentType="application/vnd.openxmlformats-officedocument.drawingml.chart+xml"/>
  <Override PartName="/xl/drawings/drawing133.xml" ContentType="application/vnd.openxmlformats-officedocument.drawing+xml"/>
  <Override PartName="/xl/charts/chart91.xml" ContentType="application/vnd.openxmlformats-officedocument.drawingml.chart+xml"/>
  <Override PartName="/xl/drawings/drawing134.xml" ContentType="application/vnd.openxmlformats-officedocument.drawing+xml"/>
  <Override PartName="/xl/charts/chart92.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93.xml" ContentType="application/vnd.openxmlformats-officedocument.drawingml.chart+xml"/>
  <Override PartName="/xl/drawings/drawing138.xml" ContentType="application/vnd.openxmlformats-officedocument.drawing+xml"/>
  <Override PartName="/xl/comments4.xml" ContentType="application/vnd.openxmlformats-officedocument.spreadsheetml.comments+xml"/>
  <Override PartName="/xl/charts/chart94.xml" ContentType="application/vnd.openxmlformats-officedocument.drawingml.chart+xml"/>
  <Override PartName="/xl/drawings/drawing139.xml" ContentType="application/vnd.openxmlformats-officedocument.drawing+xml"/>
  <Override PartName="/xl/charts/chart95.xml" ContentType="application/vnd.openxmlformats-officedocument.drawingml.chart+xml"/>
  <Override PartName="/xl/drawings/drawing140.xml" ContentType="application/vnd.openxmlformats-officedocument.drawing+xml"/>
  <Override PartName="/xl/comments5.xml" ContentType="application/vnd.openxmlformats-officedocument.spreadsheetml.comments+xml"/>
  <Override PartName="/xl/charts/chart96.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omments6.xml" ContentType="application/vnd.openxmlformats-officedocument.spreadsheetml.comments+xml"/>
  <Override PartName="/xl/charts/chart97.xml" ContentType="application/vnd.openxmlformats-officedocument.drawingml.chart+xml"/>
  <Override PartName="/xl/drawings/drawing143.xml" ContentType="application/vnd.openxmlformats-officedocument.drawing+xml"/>
  <Override PartName="/xl/charts/chart98.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charts/chart99.xml" ContentType="application/vnd.openxmlformats-officedocument.drawingml.chart+xml"/>
  <Override PartName="/xl/drawings/drawing147.xml" ContentType="application/vnd.openxmlformats-officedocument.drawing+xml"/>
  <Override PartName="/xl/charts/chart100.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charts/chart101.xml" ContentType="application/vnd.openxmlformats-officedocument.drawingml.chart+xml"/>
  <Override PartName="/xl/drawings/drawing151.xml" ContentType="application/vnd.openxmlformats-officedocument.drawing+xml"/>
  <Override PartName="/xl/charts/chart102.xml" ContentType="application/vnd.openxmlformats-officedocument.drawingml.chart+xml"/>
  <Override PartName="/xl/drawings/drawing152.xml" ContentType="application/vnd.openxmlformats-officedocument.drawing+xml"/>
  <Override PartName="/xl/charts/chart103.xml" ContentType="application/vnd.openxmlformats-officedocument.drawingml.chart+xml"/>
  <Override PartName="/xl/drawings/drawing153.xml" ContentType="application/vnd.openxmlformats-officedocument.drawing+xml"/>
  <Override PartName="/xl/charts/chart104.xml" ContentType="application/vnd.openxmlformats-officedocument.drawingml.chart+xml"/>
  <Override PartName="/xl/drawings/drawing154.xml" ContentType="application/vnd.openxmlformats-officedocument.drawing+xml"/>
  <Override PartName="/xl/charts/chart105.xml" ContentType="application/vnd.openxmlformats-officedocument.drawingml.chart+xml"/>
  <Override PartName="/xl/drawings/drawing155.xml" ContentType="application/vnd.openxmlformats-officedocument.drawing+xml"/>
  <Override PartName="/xl/charts/chart106.xml" ContentType="application/vnd.openxmlformats-officedocument.drawingml.chart+xml"/>
  <Override PartName="/xl/drawings/drawing156.xml" ContentType="application/vnd.openxmlformats-officedocument.drawing+xml"/>
  <Override PartName="/xl/comments7.xml" ContentType="application/vnd.openxmlformats-officedocument.spreadsheetml.comments+xml"/>
  <Override PartName="/xl/charts/chart107.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108.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109.xml" ContentType="application/vnd.openxmlformats-officedocument.drawingml.chart+xml"/>
  <Override PartName="/xl/drawings/drawing161.xml" ContentType="application/vnd.openxmlformats-officedocument.drawing+xml"/>
  <Override PartName="/xl/comments8.xml" ContentType="application/vnd.openxmlformats-officedocument.spreadsheetml.comments+xml"/>
  <Override PartName="/xl/charts/chart110.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111.xml" ContentType="application/vnd.openxmlformats-officedocument.drawingml.chart+xml"/>
  <Override PartName="/xl/drawings/drawing164.xml" ContentType="application/vnd.openxmlformats-officedocument.drawing+xml"/>
  <Override PartName="/xl/comments9.xml" ContentType="application/vnd.openxmlformats-officedocument.spreadsheetml.comments+xml"/>
  <Override PartName="/xl/charts/chart11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omments10.xml" ContentType="application/vnd.openxmlformats-officedocument.spreadsheetml.comments+xml"/>
  <Override PartName="/xl/charts/chart11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114.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17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172.xml" ContentType="application/vnd.openxmlformats-officedocument.drawing+xml"/>
  <Override PartName="/xl/charts/chart119.xml" ContentType="application/vnd.openxmlformats-officedocument.drawingml.chart+xml"/>
  <Override PartName="/xl/drawings/drawing173.xml" ContentType="application/vnd.openxmlformats-officedocument.drawingml.chartshapes+xml"/>
  <Override PartName="/xl/charts/chart120.xml" ContentType="application/vnd.openxmlformats-officedocument.drawingml.chart+xml"/>
  <Override PartName="/xl/drawings/drawing174.xml" ContentType="application/vnd.openxmlformats-officedocument.drawing+xml"/>
  <Override PartName="/xl/comments11.xml" ContentType="application/vnd.openxmlformats-officedocument.spreadsheetml.comments+xml"/>
  <Override PartName="/xl/charts/chart121.xml" ContentType="application/vnd.openxmlformats-officedocument.drawingml.chart+xml"/>
  <Override PartName="/xl/drawings/drawing175.xml" ContentType="application/vnd.openxmlformats-officedocument.drawing+xml"/>
  <Override PartName="/xl/comments12.xml" ContentType="application/vnd.openxmlformats-officedocument.spreadsheetml.comments+xml"/>
  <Override PartName="/xl/charts/chart122.xml" ContentType="application/vnd.openxmlformats-officedocument.drawingml.chart+xml"/>
  <Override PartName="/xl/drawings/drawing176.xml" ContentType="application/vnd.openxmlformats-officedocument.drawing+xml"/>
  <Override PartName="/xl/charts/chart123.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124.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125.xml" ContentType="application/vnd.openxmlformats-officedocument.drawingml.chart+xml"/>
  <Override PartName="/xl/drawings/drawing181.xml" ContentType="application/vnd.openxmlformats-officedocument.drawing+xml"/>
  <Override PartName="/xl/charts/chart126.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127.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drawings/drawing186.xml" ContentType="application/vnd.openxmlformats-officedocument.drawing+xml"/>
  <Override PartName="/xl/charts/chart128.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129.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drawings/drawing191.xml" ContentType="application/vnd.openxmlformats-officedocument.drawing+xml"/>
  <Override PartName="/xl/comments13.xml" ContentType="application/vnd.openxmlformats-officedocument.spreadsheetml.comments+xml"/>
  <Override PartName="/xl/charts/chart13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13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13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omments14.xml" ContentType="application/vnd.openxmlformats-officedocument.spreadsheetml.comments+xml"/>
  <Override PartName="/xl/charts/chart133.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omments15.xml" ContentType="application/vnd.openxmlformats-officedocument.spreadsheetml.comments+xml"/>
  <Override PartName="/xl/charts/chart134.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35.xml" ContentType="application/vnd.openxmlformats-officedocument.drawingml.chart+xml"/>
  <Override PartName="/xl/drawings/drawing202.xml" ContentType="application/vnd.openxmlformats-officedocument.drawing+xml"/>
  <Override PartName="/xl/charts/chart136.xml" ContentType="application/vnd.openxmlformats-officedocument.drawingml.chart+xml"/>
  <Override PartName="/xl/drawings/drawing203.xml" ContentType="application/vnd.openxmlformats-officedocument.drawing+xml"/>
  <Override PartName="/xl/charts/chart137.xml" ContentType="application/vnd.openxmlformats-officedocument.drawingml.chart+xml"/>
  <Override PartName="/xl/drawings/drawing204.xml" ContentType="application/vnd.openxmlformats-officedocument.drawing+xml"/>
  <Override PartName="/xl/charts/chart13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139.xml" ContentType="application/vnd.openxmlformats-officedocument.drawingml.chart+xml"/>
  <Override PartName="/xl/drawings/drawing207.xml" ContentType="application/vnd.openxmlformats-officedocument.drawing+xml"/>
  <Override PartName="/xl/charts/chart140.xml" ContentType="application/vnd.openxmlformats-officedocument.drawingml.chart+xml"/>
  <Override PartName="/xl/drawings/drawing208.xml" ContentType="application/vnd.openxmlformats-officedocument.drawing+xml"/>
  <Override PartName="/xl/charts/chart141.xml" ContentType="application/vnd.openxmlformats-officedocument.drawingml.chart+xml"/>
  <Override PartName="/xl/drawings/drawing209.xml" ContentType="application/vnd.openxmlformats-officedocument.drawing+xml"/>
  <Override PartName="/xl/charts/chart142.xml" ContentType="application/vnd.openxmlformats-officedocument.drawingml.chart+xml"/>
  <Override PartName="/xl/drawings/drawing210.xml" ContentType="application/vnd.openxmlformats-officedocument.drawing+xml"/>
  <Override PartName="/xl/charts/chart143.xml" ContentType="application/vnd.openxmlformats-officedocument.drawingml.chart+xml"/>
  <Override PartName="/xl/drawings/drawing211.xml" ContentType="application/vnd.openxmlformats-officedocument.drawing+xml"/>
  <Override PartName="/xl/charts/chart144.xml" ContentType="application/vnd.openxmlformats-officedocument.drawingml.chart+xml"/>
  <Override PartName="/xl/drawings/drawing212.xml" ContentType="application/vnd.openxmlformats-officedocument.drawing+xml"/>
  <Override PartName="/xl/activeX/activeX1.xml" ContentType="application/vnd.ms-office.activeX+xml"/>
  <Override PartName="/xl/activeX/activeX1.bin" ContentType="application/vnd.ms-office.activeX"/>
  <Override PartName="/xl/charts/chart145.xml" ContentType="application/vnd.openxmlformats-officedocument.drawingml.chart+xml"/>
  <Override PartName="/xl/drawings/drawing213.xml" ContentType="application/vnd.openxmlformats-officedocument.drawing+xml"/>
  <Override PartName="/xl/charts/chart146.xml" ContentType="application/vnd.openxmlformats-officedocument.drawingml.chart+xml"/>
  <Override PartName="/xl/drawings/drawing214.xml" ContentType="application/vnd.openxmlformats-officedocument.drawing+xml"/>
  <Override PartName="/xl/charts/chart147.xml" ContentType="application/vnd.openxmlformats-officedocument.drawingml.chart+xml"/>
  <Override PartName="/xl/drawings/drawing215.xml" ContentType="application/vnd.openxmlformats-officedocument.drawing+xml"/>
  <Override PartName="/xl/charts/chart148.xml" ContentType="application/vnd.openxmlformats-officedocument.drawingml.chart+xml"/>
  <Override PartName="/xl/drawings/drawing216.xml" ContentType="application/vnd.openxmlformats-officedocument.drawing+xml"/>
  <Override PartName="/xl/charts/chart149.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50.xml" ContentType="application/vnd.openxmlformats-officedocument.drawingml.chart+xml"/>
  <Override PartName="/xl/drawings/drawing219.xml" ContentType="application/vnd.openxmlformats-officedocument.drawing+xml"/>
  <Override PartName="/xl/charts/chart151.xml" ContentType="application/vnd.openxmlformats-officedocument.drawingml.chart+xml"/>
  <Override PartName="/xl/drawings/drawing220.xml" ContentType="application/vnd.openxmlformats-officedocument.drawing+xml"/>
  <Override PartName="/xl/charts/chart152.xml" ContentType="application/vnd.openxmlformats-officedocument.drawingml.chart+xml"/>
  <Override PartName="/xl/drawings/drawing221.xml" ContentType="application/vnd.openxmlformats-officedocument.drawing+xml"/>
  <Override PartName="/xl/charts/chart153.xml" ContentType="application/vnd.openxmlformats-officedocument.drawingml.chart+xml"/>
  <Override PartName="/xl/drawings/drawing222.xml" ContentType="application/vnd.openxmlformats-officedocument.drawing+xml"/>
  <Override PartName="/xl/charts/chart154.xml" ContentType="application/vnd.openxmlformats-officedocument.drawingml.chart+xml"/>
  <Override PartName="/xl/drawings/drawing223.xml" ContentType="application/vnd.openxmlformats-officedocument.drawing+xml"/>
  <Override PartName="/xl/charts/chart155.xml" ContentType="application/vnd.openxmlformats-officedocument.drawingml.chart+xml"/>
  <Override PartName="/xl/drawings/drawing224.xml" ContentType="application/vnd.openxmlformats-officedocument.drawing+xml"/>
  <Override PartName="/xl/charts/chart156.xml" ContentType="application/vnd.openxmlformats-officedocument.drawingml.chart+xml"/>
  <Override PartName="/xl/drawings/drawing225.xml" ContentType="application/vnd.openxmlformats-officedocument.drawing+xml"/>
  <Override PartName="/xl/charts/chart157.xml" ContentType="application/vnd.openxmlformats-officedocument.drawingml.chart+xml"/>
  <Override PartName="/xl/drawings/drawing226.xml" ContentType="application/vnd.openxmlformats-officedocument.drawing+xml"/>
  <Override PartName="/xl/charts/chart158.xml" ContentType="application/vnd.openxmlformats-officedocument.drawingml.chart+xml"/>
  <Override PartName="/xl/drawings/drawing227.xml" ContentType="application/vnd.openxmlformats-officedocument.drawing+xml"/>
  <Override PartName="/xl/charts/chart159.xml" ContentType="application/vnd.openxmlformats-officedocument.drawingml.chart+xml"/>
  <Override PartName="/xl/drawings/drawing228.xml" ContentType="application/vnd.openxmlformats-officedocument.drawing+xml"/>
  <Override PartName="/xl/charts/chart160.xml" ContentType="application/vnd.openxmlformats-officedocument.drawingml.chart+xml"/>
  <Override PartName="/xl/drawings/drawing229.xml" ContentType="application/vnd.openxmlformats-officedocument.drawing+xml"/>
  <Override PartName="/xl/charts/chart161.xml" ContentType="application/vnd.openxmlformats-officedocument.drawingml.chart+xml"/>
  <Override PartName="/xl/drawings/drawing230.xml" ContentType="application/vnd.openxmlformats-officedocument.drawing+xml"/>
  <Override PartName="/xl/charts/chart162.xml" ContentType="application/vnd.openxmlformats-officedocument.drawingml.chart+xml"/>
  <Override PartName="/xl/drawings/drawing231.xml" ContentType="application/vnd.openxmlformats-officedocument.drawing+xml"/>
  <Override PartName="/xl/charts/chart163.xml" ContentType="application/vnd.openxmlformats-officedocument.drawingml.chart+xml"/>
  <Override PartName="/xl/drawings/drawing232.xml" ContentType="application/vnd.openxmlformats-officedocument.drawing+xml"/>
  <Override PartName="/xl/charts/chart164.xml" ContentType="application/vnd.openxmlformats-officedocument.drawingml.chart+xml"/>
  <Override PartName="/xl/drawings/drawing233.xml" ContentType="application/vnd.openxmlformats-officedocument.drawingml.chartshapes+xml"/>
  <Override PartName="/xl/drawings/drawing234.xml" ContentType="application/vnd.openxmlformats-officedocument.drawing+xml"/>
  <Override PartName="/xl/charts/chart165.xml" ContentType="application/vnd.openxmlformats-officedocument.drawingml.chart+xml"/>
  <Override PartName="/xl/drawings/drawing235.xml" ContentType="application/vnd.openxmlformats-officedocument.drawingml.chartshapes+xml"/>
  <Override PartName="/xl/drawings/drawing236.xml" ContentType="application/vnd.openxmlformats-officedocument.drawing+xml"/>
  <Override PartName="/xl/charts/chart166.xml" ContentType="application/vnd.openxmlformats-officedocument.drawingml.chart+xml"/>
  <Override PartName="/xl/drawings/drawing237.xml" ContentType="application/vnd.openxmlformats-officedocument.drawingml.chartshapes+xml"/>
  <Override PartName="/xl/drawings/drawing238.xml" ContentType="application/vnd.openxmlformats-officedocument.drawing+xml"/>
  <Override PartName="/xl/charts/chart167.xml" ContentType="application/vnd.openxmlformats-officedocument.drawingml.chart+xml"/>
  <Override PartName="/xl/drawings/drawing239.xml" ContentType="application/vnd.openxmlformats-officedocument.drawingml.chartshapes+xml"/>
  <Override PartName="/xl/drawings/drawing240.xml" ContentType="application/vnd.openxmlformats-officedocument.drawing+xml"/>
  <Override PartName="/xl/charts/chart168.xml" ContentType="application/vnd.openxmlformats-officedocument.drawingml.chart+xml"/>
  <Override PartName="/xl/drawings/drawing241.xml" ContentType="application/vnd.openxmlformats-officedocument.drawingml.chartshapes+xml"/>
  <Override PartName="/xl/drawings/drawing242.xml" ContentType="application/vnd.openxmlformats-officedocument.drawing+xml"/>
  <Override PartName="/xl/charts/chart169.xml" ContentType="application/vnd.openxmlformats-officedocument.drawingml.chart+xml"/>
  <Override PartName="/xl/drawings/drawing243.xml" ContentType="application/vnd.openxmlformats-officedocument.drawingml.chartshapes+xml"/>
  <Override PartName="/xl/drawings/drawing244.xml" ContentType="application/vnd.openxmlformats-officedocument.drawing+xml"/>
  <Override PartName="/xl/charts/chart170.xml" ContentType="application/vnd.openxmlformats-officedocument.drawingml.chart+xml"/>
  <Override PartName="/xl/drawings/drawing245.xml" ContentType="application/vnd.openxmlformats-officedocument.drawingml.chartshapes+xml"/>
  <Override PartName="/xl/drawings/drawing246.xml" ContentType="application/vnd.openxmlformats-officedocument.drawing+xml"/>
  <Override PartName="/xl/charts/chart171.xml" ContentType="application/vnd.openxmlformats-officedocument.drawingml.chart+xml"/>
  <Override PartName="/xl/drawings/drawing247.xml" ContentType="application/vnd.openxmlformats-officedocument.drawingml.chartshapes+xml"/>
  <Override PartName="/xl/drawings/drawing248.xml" ContentType="application/vnd.openxmlformats-officedocument.drawing+xml"/>
  <Override PartName="/xl/charts/chart172.xml" ContentType="application/vnd.openxmlformats-officedocument.drawingml.chart+xml"/>
  <Override PartName="/xl/drawings/drawing249.xml" ContentType="application/vnd.openxmlformats-officedocument.drawingml.chartshapes+xml"/>
  <Override PartName="/xl/charts/chart173.xml" ContentType="application/vnd.openxmlformats-officedocument.drawingml.chart+xml"/>
  <Override PartName="/xl/drawings/drawing250.xml" ContentType="application/vnd.openxmlformats-officedocument.drawing+xml"/>
  <Override PartName="/xl/charts/chart174.xml" ContentType="application/vnd.openxmlformats-officedocument.drawingml.chart+xml"/>
  <Override PartName="/xl/drawings/drawing251.xml" ContentType="application/vnd.openxmlformats-officedocument.drawingml.chartshapes+xml"/>
  <Override PartName="/xl/drawings/drawing252.xml" ContentType="application/vnd.openxmlformats-officedocument.drawing+xml"/>
  <Override PartName="/xl/drawings/drawing253.xml" ContentType="application/vnd.openxmlformats-officedocument.drawing+xml"/>
  <Override PartName="/xl/charts/chart175.xml" ContentType="application/vnd.openxmlformats-officedocument.drawingml.chart+xml"/>
  <Override PartName="/xl/drawings/drawing254.xml" ContentType="application/vnd.openxmlformats-officedocument.drawingml.chartshapes+xml"/>
  <Override PartName="/xl/drawings/drawing255.xml" ContentType="application/vnd.openxmlformats-officedocument.drawing+xml"/>
  <Override PartName="/xl/charts/chart176.xml" ContentType="application/vnd.openxmlformats-officedocument.drawingml.chart+xml"/>
  <Override PartName="/xl/drawings/drawing256.xml" ContentType="application/vnd.openxmlformats-officedocument.drawingml.chartshapes+xml"/>
  <Override PartName="/xl/drawings/drawing257.xml" ContentType="application/vnd.openxmlformats-officedocument.drawing+xml"/>
  <Override PartName="/xl/charts/chart177.xml" ContentType="application/vnd.openxmlformats-officedocument.drawingml.chart+xml"/>
  <Override PartName="/xl/drawings/drawing258.xml" ContentType="application/vnd.openxmlformats-officedocument.drawingml.chartshapes+xml"/>
  <Override PartName="/xl/drawings/drawing259.xml" ContentType="application/vnd.openxmlformats-officedocument.drawing+xml"/>
  <Override PartName="/xl/charts/chart178.xml" ContentType="application/vnd.openxmlformats-officedocument.drawingml.chart+xml"/>
  <Override PartName="/xl/drawings/drawing260.xml" ContentType="application/vnd.openxmlformats-officedocument.drawing+xml"/>
  <Override PartName="/xl/charts/chart179.xml" ContentType="application/vnd.openxmlformats-officedocument.drawingml.chart+xml"/>
  <Override PartName="/xl/drawings/drawing261.xml" ContentType="application/vnd.openxmlformats-officedocument.drawing+xml"/>
  <Override PartName="/xl/charts/chart180.xml" ContentType="application/vnd.openxmlformats-officedocument.drawingml.chart+xml"/>
  <Override PartName="/xl/drawings/drawing262.xml" ContentType="application/vnd.openxmlformats-officedocument.drawing+xml"/>
  <Override PartName="/xl/charts/chart181.xml" ContentType="application/vnd.openxmlformats-officedocument.drawingml.chart+xml"/>
  <Override PartName="/xl/drawings/drawing263.xml" ContentType="application/vnd.openxmlformats-officedocument.drawing+xml"/>
  <Override PartName="/xl/charts/chart182.xml" ContentType="application/vnd.openxmlformats-officedocument.drawingml.chart+xml"/>
  <Override PartName="/xl/drawings/drawing264.xml" ContentType="application/vnd.openxmlformats-officedocument.drawing+xml"/>
  <Override PartName="/xl/comments16.xml" ContentType="application/vnd.openxmlformats-officedocument.spreadsheetml.comments+xml"/>
  <Override PartName="/xl/charts/chart183.xml" ContentType="application/vnd.openxmlformats-officedocument.drawingml.chart+xml"/>
  <Override PartName="/xl/drawings/drawing265.xml" ContentType="application/vnd.openxmlformats-officedocument.drawing+xml"/>
  <Override PartName="/xl/charts/chart18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4\12. Diciembre 2014\02. Informe Diciembre\"/>
    </mc:Choice>
  </mc:AlternateContent>
  <bookViews>
    <workbookView xWindow="-300" yWindow="225" windowWidth="12465" windowHeight="8250" tabRatio="834" firstSheet="4" activeTab="9"/>
  </bookViews>
  <sheets>
    <sheet name="Present." sheetId="252" r:id="rId1"/>
    <sheet name="Contenido." sheetId="320" r:id="rId2"/>
    <sheet name="Contenido" sheetId="251" state="hidden" r:id="rId3"/>
    <sheet name="HOME2" sheetId="158" state="hidden" r:id="rId4"/>
    <sheet name=" SDSS Definiciones (1)" sheetId="245" r:id="rId5"/>
    <sheet name=" SDSS Definiciones (2)" sheetId="246" r:id="rId6"/>
    <sheet name=" SDSS Definiciones (3)" sheetId="247" r:id="rId7"/>
    <sheet name=" SDSS Definiciones (4)" sheetId="248" r:id="rId8"/>
    <sheet name="SDSS" sheetId="298" r:id="rId9"/>
    <sheet name="I.1.1 Cobertura SDSS " sheetId="200" r:id="rId10"/>
    <sheet name="I.1.2 Cobertura SDSS" sheetId="286" r:id="rId11"/>
    <sheet name="I.1.3 Cobertura SDSS " sheetId="201" r:id="rId12"/>
    <sheet name="I.1.4 Afil. SDSS Anual" sheetId="287" r:id="rId13"/>
    <sheet name="Hoja3" sheetId="314" state="hidden" r:id="rId14"/>
    <sheet name="I.1.6 Proy. afil.Vs pobl." sheetId="8" r:id="rId15"/>
    <sheet name="Afil. mensual (Mod.)" sheetId="184" state="hidden" r:id="rId16"/>
    <sheet name="I.2.1 Empl x sector " sheetId="196" r:id="rId17"/>
    <sheet name="I.2.2 Empr x No. de empl" sheetId="130" r:id="rId18"/>
    <sheet name="I.2.3 Salario prom." sheetId="131" r:id="rId19"/>
    <sheet name="II.1 Pob. econ. " sheetId="317" r:id="rId20"/>
    <sheet name="II.2 Ocup. formal " sheetId="205" r:id="rId21"/>
    <sheet name="III.1 Ingr y egr SDSS" sheetId="291" r:id="rId22"/>
    <sheet name="Recaudo x sector" sheetId="362" r:id="rId23"/>
    <sheet name="Rec. x origen" sheetId="363" r:id="rId24"/>
    <sheet name="Aport.Gob.SS" sheetId="364" r:id="rId25"/>
    <sheet name="RC" sheetId="299" r:id="rId26"/>
    <sheet name="IV.1.1.1 Afil. SFS RC Anual " sheetId="206" r:id="rId27"/>
    <sheet name="Ind. Depend SFS RC Anual" sheetId="207" state="hidden" r:id="rId28"/>
    <sheet name="Afil. anual SFS( Mod)" sheetId="40" state="hidden" r:id="rId29"/>
    <sheet name="IV.1.1.2 Afil. SFS RC Mensual " sheetId="208" r:id="rId30"/>
    <sheet name="IV.1.1.3 Ind. Dep SFS RC Mens" sheetId="209" r:id="rId31"/>
    <sheet name="IV.1.1.4 Tit. Vs pob ocup." sheetId="120" r:id="rId32"/>
    <sheet name="IV.1.1.5.Afil. SFS x ARS" sheetId="261" state="hidden" r:id="rId33"/>
    <sheet name="IV.1.1.6. Afil. SFS.Región.stat" sheetId="260" state="hidden" r:id="rId34"/>
    <sheet name="IV.1.1.7. Afil. SFS.Región.Edad" sheetId="259" state="hidden" r:id="rId35"/>
    <sheet name="IV.1.1.8 Afil. SFS.Prov.Edad" sheetId="258" state="hidden" r:id="rId36"/>
    <sheet name="IV.1.1.9 Afil. SFS.Prov.Sector" sheetId="257" state="hidden" r:id="rId37"/>
    <sheet name="IV.1.1.10 Afil. SFS.Prov.EPriv" sheetId="256" state="hidden" r:id="rId38"/>
    <sheet name="IV.1.1.11 Afil.SFS.Prov EPub D " sheetId="255" state="hidden" r:id="rId39"/>
    <sheet name="IV.1.1.12 Afil. SFS.Prov.EPub.C" sheetId="265" state="hidden" r:id="rId40"/>
    <sheet name="IV.1.1.13 Afil.SFS.Art.124 Ley" sheetId="264" state="hidden" r:id="rId41"/>
    <sheet name="IV.1.1.14 Comparativo afil.edad" sheetId="263" state="hidden" r:id="rId42"/>
    <sheet name="IV.1.1.15 Comp. afil. región" sheetId="262" state="hidden" r:id="rId43"/>
    <sheet name="IV.1.2.1 Rec. disp. salud" sheetId="157" state="hidden" r:id="rId44"/>
    <sheet name="Dep y Tit por mes" sheetId="353" state="hidden" r:id="rId45"/>
    <sheet name="IV.1.2.2 Disp. SFS" sheetId="52" r:id="rId46"/>
    <sheet name="IV.1.2.3 Dip. SFS mensual" sheetId="54" r:id="rId47"/>
    <sheet name="IV.1.2.4 Disp. x ARS 2" sheetId="121" r:id="rId48"/>
    <sheet name="IV.1.2.5 Disp. x ARS" sheetId="55" r:id="rId49"/>
    <sheet name="Total Afil.Mas 50" sheetId="358" r:id="rId50"/>
    <sheet name="Total Afiliados &lt;50" sheetId="359" r:id="rId51"/>
    <sheet name="IV.1.3.1 Por cuentas" sheetId="177" r:id="rId52"/>
    <sheet name="IV.1.3.2 Por entidad" sheetId="179" r:id="rId53"/>
    <sheet name="Afil. anual SFS RS (Mod)" sheetId="185" state="hidden" r:id="rId54"/>
    <sheet name="G1.RC" sheetId="337" state="hidden" r:id="rId55"/>
    <sheet name="G2.RC" sheetId="338" state="hidden" r:id="rId56"/>
    <sheet name="G4.RC" sheetId="339" state="hidden" r:id="rId57"/>
    <sheet name="G5.RC" sheetId="340" state="hidden" r:id="rId58"/>
    <sheet name="G6.RC" sheetId="341" state="hidden" r:id="rId59"/>
    <sheet name="G7.RC" sheetId="342" state="hidden" r:id="rId60"/>
    <sheet name="IV.1.2.6 Gast.Salud" sheetId="357" r:id="rId61"/>
    <sheet name="RS" sheetId="294" r:id="rId62"/>
    <sheet name="IV.2.1.1 fil anual SFS RS " sheetId="210" r:id="rId63"/>
    <sheet name="IV.2.1.2 Afil. RS mensual" sheetId="289" r:id="rId64"/>
    <sheet name="IV.2.1.3 Afil. SFS RS Vs pob." sheetId="61" r:id="rId65"/>
    <sheet name="IV.2.1.4 Afil. SFS Rs Vs pob 3" sheetId="167" state="hidden" r:id="rId66"/>
    <sheet name="IV.2.1.5 Afil. SFS RS Vs pob 4" sheetId="168" state="hidden" r:id="rId67"/>
    <sheet name="IV.2.1.6 Ind. depend." sheetId="65" r:id="rId68"/>
    <sheet name="IV.2.2.1 Aport. Disp. RS" sheetId="72" r:id="rId69"/>
    <sheet name="IV.2.2.2 Saldos RS mensual" sheetId="74" r:id="rId70"/>
    <sheet name="G1.RS" sheetId="343" state="hidden" r:id="rId71"/>
    <sheet name="G2.RS" sheetId="344" state="hidden" r:id="rId72"/>
    <sheet name="G3.RS" sheetId="345" state="hidden" r:id="rId73"/>
    <sheet name="G4.RS" sheetId="346" state="hidden" r:id="rId74"/>
    <sheet name="G5.RS" sheetId="347" state="hidden" r:id="rId75"/>
    <sheet name="G6.RS" sheetId="352" state="hidden" r:id="rId76"/>
    <sheet name="G7.RS" sheetId="348" state="hidden" r:id="rId77"/>
    <sheet name="G8.RS" sheetId="349" state="hidden" r:id="rId78"/>
    <sheet name="G9.RS" sheetId="350" state="hidden" r:id="rId79"/>
    <sheet name="G10.RS" sheetId="351" state="hidden" r:id="rId80"/>
    <sheet name="RET" sheetId="295" r:id="rId81"/>
    <sheet name="IV.3.1 Afil. SFSP Anual." sheetId="103" r:id="rId82"/>
    <sheet name="IV.3.2 Afil. SFSP Mensual" sheetId="212" r:id="rId83"/>
    <sheet name="IV.3.3 Disp.SFS Pens.x ARS" sheetId="106" r:id="rId84"/>
    <sheet name="EI" sheetId="296" r:id="rId85"/>
    <sheet name="IV.4.1.1 Afil. a EI" sheetId="92" state="hidden" r:id="rId86"/>
    <sheet name="IV.4.1.2 Afil. a EI (2)" sheetId="213" r:id="rId87"/>
    <sheet name="IV.4.1.3 Evol. afil. EI" sheetId="155" state="hidden" r:id="rId88"/>
    <sheet name="Rec. y dip. EI" sheetId="95" state="hidden" r:id="rId89"/>
    <sheet name="IV.4.1.2 Afil. a EI (3)" sheetId="361" state="hidden" r:id="rId90"/>
    <sheet name="IV.4.1.4 EI Estancias" sheetId="250" r:id="rId91"/>
    <sheet name="Subsidios" sheetId="321" r:id="rId92"/>
    <sheet name="IV.4.2.1 Benef. subsid" sheetId="243" r:id="rId93"/>
    <sheet name="IV.4.2.2 Monto subsid" sheetId="244" r:id="rId94"/>
    <sheet name="SVDS" sheetId="297" r:id="rId95"/>
    <sheet name="V.1.1 Afil. SVDS" sheetId="268" r:id="rId96"/>
    <sheet name="V.1.2 Afil. cotiz." sheetId="269" r:id="rId97"/>
    <sheet name="V.1.3 Afil. SVDS mensual" sheetId="270" r:id="rId98"/>
    <sheet name="%Cotiz. x AFP" sheetId="309" r:id="rId99"/>
    <sheet name="V.1.4 Afil. SVDS x sexo" sheetId="271" r:id="rId100"/>
    <sheet name="V.1.5 Cotiz. x rango de edad" sheetId="272" r:id="rId101"/>
    <sheet name="V.1.5 Cotiz. x rango de edad (2" sheetId="315" r:id="rId102"/>
    <sheet name="V.1.6 Cotiz x sal. min. cot." sheetId="273" r:id="rId103"/>
    <sheet name="V.1.7 Cotiz.x AFP y fondos" sheetId="274" r:id="rId104"/>
    <sheet name="V.1.8 Cotiz. x sexo " sheetId="275" state="hidden" r:id="rId105"/>
    <sheet name="V1.8Cot.Afil X Sexo" sheetId="310" r:id="rId106"/>
    <sheet name="V.2.1 Disp. SVDS" sheetId="276" r:id="rId107"/>
    <sheet name="V.2.2 Disp. anual  x cuentas" sheetId="29" state="hidden" r:id="rId108"/>
    <sheet name="V.3.1 Traspasos anual" sheetId="278" r:id="rId109"/>
    <sheet name="V.3.2 Trasp. recibidos" sheetId="279" r:id="rId110"/>
    <sheet name="V.3.3 Trasp. cedidos" sheetId="280" r:id="rId111"/>
    <sheet name="V.3.4 Trasp. netos" sheetId="290" r:id="rId112"/>
    <sheet name="V.4.1 Pensiones por año" sheetId="282" r:id="rId113"/>
    <sheet name="V.4.2 PEA_Pensiones_Género" sheetId="293" r:id="rId114"/>
    <sheet name="V.4.3 Pensiones Sob.Disc" sheetId="307" r:id="rId115"/>
    <sheet name="V.4.4. Pens.Disc. AFP" sheetId="308" r:id="rId116"/>
    <sheet name="Hoja1" sheetId="306" state="hidden" r:id="rId117"/>
    <sheet name="V.5.1 Patrim. fp anual" sheetId="283" r:id="rId118"/>
    <sheet name="V.5.2 Cartera de inv fp" sheetId="316" r:id="rId119"/>
    <sheet name="V.5.4 Comp. Cartera" sheetId="303" r:id="rId120"/>
    <sheet name="3.9.2.f" sheetId="354" state="hidden" r:id="rId121"/>
    <sheet name="V.5.3 Rent. nom. de los FP" sheetId="143" r:id="rId122"/>
    <sheet name="23.Rentab.Real" sheetId="335" r:id="rId123"/>
    <sheet name="SRL" sheetId="300" r:id="rId124"/>
    <sheet name="VI.1.1 Afil. SRL" sheetId="75" r:id="rId125"/>
    <sheet name="VI.1.2 Afil. SRL x sexoy edad" sheetId="76" r:id="rId126"/>
    <sheet name="VI.1.3 Afil. ARL x riesgo" sheetId="129" r:id="rId127"/>
    <sheet name="VI.2.1 Disp. anual ARL" sheetId="78" r:id="rId128"/>
    <sheet name="VI.2.2 Disp. mensual a ARL" sheetId="79" r:id="rId129"/>
    <sheet name="VI.3.1 NA. Reportes ARL" sheetId="215" r:id="rId130"/>
    <sheet name="VI.3.2 ID. Accidentabilidad" sheetId="216" r:id="rId131"/>
    <sheet name="VI.3.3 NA.Cant. accid x región" sheetId="217" r:id="rId132"/>
    <sheet name="VI.3.4 NA.Cant. accid x Prov.)" sheetId="218" r:id="rId133"/>
    <sheet name="VI.3.5 NA.Cant. accid x Proced." sheetId="219" r:id="rId134"/>
    <sheet name="VI.3.6 Accid x activ. econ." sheetId="220" state="hidden" r:id="rId135"/>
    <sheet name=" VI.3.7 Accid x ocupación" sheetId="221" state="hidden" r:id="rId136"/>
    <sheet name=" VI.3.8 NA.Cant. accid x sector" sheetId="222" r:id="rId137"/>
    <sheet name="VI.3.10 Accid x sexo" sheetId="224" r:id="rId138"/>
    <sheet name="VI.3.14 Accid x Escolaridad" sheetId="228" r:id="rId139"/>
    <sheet name="VI.3.9 Accid x sector " sheetId="223" state="hidden" r:id="rId140"/>
    <sheet name="VI.3.11 Accid x sexo " sheetId="225" r:id="rId141"/>
    <sheet name="VI.3.12 Accid x rango de edad" sheetId="226" state="hidden" r:id="rId142"/>
    <sheet name="VI.3.13 Accid x edad" sheetId="227" state="hidden" r:id="rId143"/>
    <sheet name="VI.3.16 EC. Accid. Lab" sheetId="230" r:id="rId144"/>
    <sheet name="VI.3.15 EC. Accid. Lab." sheetId="229" r:id="rId145"/>
    <sheet name="VI.3.17 EC. Accid. Lab x tipo" sheetId="231" r:id="rId146"/>
    <sheet name="VI.3.18 EC. Accid. Lab x Lesión" sheetId="232" r:id="rId147"/>
    <sheet name="VI.3.19 Accid.Lab suceso" sheetId="233" r:id="rId148"/>
    <sheet name="VI.3.20 EC. x mecanismo causal" sheetId="234" r:id="rId149"/>
    <sheet name="VI.3.21 EC. x Agente daño" sheetId="235" r:id="rId150"/>
    <sheet name="VI.3.22 EC. x  lugar de accid." sheetId="236" r:id="rId151"/>
    <sheet name="VI.3.23 Exped. Calif. x antig." sheetId="237" state="hidden" r:id="rId152"/>
    <sheet name="VI.3.24 EC. Accid incapac." sheetId="238" r:id="rId153"/>
    <sheet name="VI.3.25 EC. Enferm. Prof (R)" sheetId="239" r:id="rId154"/>
    <sheet name="VI.3.26 EC. Accid Lab.(R)" sheetId="240" r:id="rId155"/>
    <sheet name="VI.3.27. Accid. Aprobxtipo" sheetId="214" r:id="rId156"/>
    <sheet name="VI.3.28. Accid. Aprob xLesión " sheetId="241" r:id="rId157"/>
    <sheet name="VI.3.29 Accid.Aprob Según suc." sheetId="242" r:id="rId158"/>
    <sheet name="VI.3.30 Pagos de ARLSS" sheetId="138" state="hidden" r:id="rId159"/>
    <sheet name="VI.4.1 Prest. econ. SRL" sheetId="85" state="hidden" r:id="rId160"/>
    <sheet name="VI.4.2 Gastos med. ARL" sheetId="86" state="hidden" r:id="rId161"/>
    <sheet name="VI.4.3 Gastos prevenc. riesgos" sheetId="87" state="hidden" r:id="rId162"/>
    <sheet name="VI.4.4 Pensión sobrev. ARL" sheetId="88" state="hidden" r:id="rId163"/>
    <sheet name="VI.4.5 Pensión discap ARL" sheetId="89" state="hidden" r:id="rId164"/>
    <sheet name="VI.4.6 Discap. temporal ARL" sheetId="90" state="hidden" r:id="rId165"/>
    <sheet name="VI.4.7 Indemniz.ARL" sheetId="91" state="hidden" r:id="rId166"/>
    <sheet name="VI.4.8 Remuneración SRL" sheetId="172" state="hidden" r:id="rId167"/>
    <sheet name="VI.4.9 Beneficios SRL" sheetId="171" state="hidden" r:id="rId168"/>
    <sheet name="CMNR" sheetId="301" r:id="rId169"/>
    <sheet name="VII.1 CMR" sheetId="170" state="hidden" r:id="rId170"/>
    <sheet name="VII.1 CMR " sheetId="326" state="hidden" r:id="rId171"/>
    <sheet name="VII.1 CMR (2)" sheetId="322" state="hidden" r:id="rId172"/>
    <sheet name="Status" sheetId="331" r:id="rId173"/>
    <sheet name="Apelaciones1" sheetId="328" r:id="rId174"/>
    <sheet name="Apelaciones2" sheetId="329" state="hidden" r:id="rId175"/>
    <sheet name="Por Entidad Receptora Origen" sheetId="333" r:id="rId176"/>
    <sheet name="VIII.1 Sol.Pensiones" sheetId="292" state="hidden" r:id="rId177"/>
    <sheet name="VIII.2 Sol.Ent.Sal." sheetId="304" state="hidden" r:id="rId178"/>
    <sheet name="VIII.3 Sol.Realiz.Entid." sheetId="305" state="hidden" r:id="rId179"/>
    <sheet name="Hoja2" sheetId="334" state="hidden" r:id="rId180"/>
    <sheet name="Hoja4" sheetId="355" state="hidden" r:id="rId181"/>
    <sheet name="Hoja5" sheetId="356" state="hidden" r:id="rId182"/>
  </sheets>
  <externalReferences>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s>
  <definedNames>
    <definedName name="_xlnm._FilterDatabase" localSheetId="75" hidden="1">G6.RS!$A$4:$A$35</definedName>
    <definedName name="_xlnm._FilterDatabase" localSheetId="78" hidden="1">G9.RS!$E$53:$N$86</definedName>
    <definedName name="_xlnm._FilterDatabase" localSheetId="47" hidden="1">'IV.1.2.4 Disp. x ARS 2'!$A$3:$J$57</definedName>
    <definedName name="_xlnm._FilterDatabase" localSheetId="48" hidden="1">'IV.1.2.5 Disp. x ARS'!$J$5:$J$25</definedName>
    <definedName name="_Toc257211943" localSheetId="19">'II.1 Pob. econ. '!#REF!</definedName>
    <definedName name="_xlnm.Print_Area" localSheetId="4">' SDSS Definiciones (1)'!$A$1:$P$4</definedName>
    <definedName name="_xlnm.Print_Area" localSheetId="5">' SDSS Definiciones (2)'!$A$1:$P$4</definedName>
    <definedName name="_xlnm.Print_Area" localSheetId="6">' SDSS Definiciones (3)'!$A$1:$P$5</definedName>
    <definedName name="_xlnm.Print_Area" localSheetId="7">' SDSS Definiciones (4)'!$A$1:$P$4</definedName>
    <definedName name="_xlnm.Print_Area" localSheetId="135">' VI.3.7 Accid x ocupación'!$A$1:$L$44</definedName>
    <definedName name="_xlnm.Print_Area" localSheetId="136">' VI.3.8 NA.Cant. accid x sector'!$A$1:$O$46</definedName>
    <definedName name="_xlnm.Print_Area" localSheetId="98">'%Cotiz. x AFP'!$A$1:$L$54</definedName>
    <definedName name="_xlnm.Print_Area" localSheetId="122">'23.Rentab.Real'!$A$1:$Q$63</definedName>
    <definedName name="_xlnm.Print_Area" localSheetId="120">'3.9.2.f'!$A$1:$E$93</definedName>
    <definedName name="_xlnm.Print_Area" localSheetId="28">'Afil. anual SFS( Mod)'!$A$1:$L$38</definedName>
    <definedName name="_xlnm.Print_Area" localSheetId="15">'Afil. mensual (Mod.)'!$A$1:$O$33</definedName>
    <definedName name="_xlnm.Print_Area" localSheetId="173">Apelaciones1!$A$1:$M$49</definedName>
    <definedName name="_xlnm.Print_Area" localSheetId="174">Apelaciones2!$A$1:$L$47</definedName>
    <definedName name="_xlnm.Print_Area" localSheetId="24">Aport.Gob.SS!$A$1:$G$46</definedName>
    <definedName name="_xlnm.Print_Area" localSheetId="168">CMNR!$A$1:$K$45</definedName>
    <definedName name="_xlnm.Print_Area" localSheetId="2">Contenido!$A$1:$A$152</definedName>
    <definedName name="_xlnm.Print_Area" localSheetId="1">Contenido.!$A$1:$A$152</definedName>
    <definedName name="_xlnm.Print_Area" localSheetId="44">'Dep y Tit por mes'!$A$2:$EN$33</definedName>
    <definedName name="_xlnm.Print_Area" localSheetId="84">EI!$A$1:$P$51</definedName>
    <definedName name="_xlnm.Print_Area" localSheetId="54">G1.RC!$A$1:$L$37</definedName>
    <definedName name="_xlnm.Print_Area" localSheetId="70">G1.RS!$A$1:$L$34</definedName>
    <definedName name="_xlnm.Print_Area" localSheetId="79">G10.RS!$A$1:$V$41</definedName>
    <definedName name="_xlnm.Print_Area" localSheetId="55">G2.RC!$A$1:$L$37</definedName>
    <definedName name="_xlnm.Print_Area" localSheetId="71">G2.RS!$A$1:$L$39</definedName>
    <definedName name="_xlnm.Print_Area" localSheetId="72">G3.RS!$A$1:$L$41</definedName>
    <definedName name="_xlnm.Print_Area" localSheetId="56">G4.RC!$A$1:$L$40</definedName>
    <definedName name="_xlnm.Print_Area" localSheetId="74">G5.RS!$A$1:$L$41</definedName>
    <definedName name="_xlnm.Print_Area" localSheetId="75">G6.RS!$A$1:$L$72</definedName>
    <definedName name="_xlnm.Print_Area" localSheetId="59">G7.RC!$A$1:$M$64</definedName>
    <definedName name="_xlnm.Print_Area" localSheetId="76">G7.RS!$A$1:$L$39</definedName>
    <definedName name="_xlnm.Print_Area" localSheetId="77">G8.RS!$A$1:$M$55</definedName>
    <definedName name="_xlnm.Print_Area" localSheetId="78">G9.RS!$A$1:$M$47</definedName>
    <definedName name="_xlnm.Print_Area" localSheetId="13">Hoja3!$A$1:$P$60</definedName>
    <definedName name="_xlnm.Print_Area" localSheetId="3">HOME2!$A$1:$B$122</definedName>
    <definedName name="_xlnm.Print_Area" localSheetId="9">'I.1.1 Cobertura SDSS '!$A$1:$O$57</definedName>
    <definedName name="_xlnm.Print_Area" localSheetId="10">'I.1.2 Cobertura SDSS'!$A$1:$K$50</definedName>
    <definedName name="_xlnm.Print_Area" localSheetId="11">'I.1.3 Cobertura SDSS '!$A$1:$J$49</definedName>
    <definedName name="_xlnm.Print_Area" localSheetId="12">'I.1.4 Afil. SDSS Anual'!$A$1:$Q$44</definedName>
    <definedName name="_xlnm.Print_Area" localSheetId="14">'I.1.6 Proy. afil.Vs pobl.'!$A$1:$P$76</definedName>
    <definedName name="_xlnm.Print_Area" localSheetId="16">'I.2.1 Empl x sector '!$A$1:$R$41</definedName>
    <definedName name="_xlnm.Print_Area" localSheetId="17">'I.2.2 Empr x No. de empl'!$A$1:$M$65</definedName>
    <definedName name="_xlnm.Print_Area" localSheetId="18">'I.2.3 Salario prom.'!$A$1:$N$60</definedName>
    <definedName name="_xlnm.Print_Area" localSheetId="19">'II.1 Pob. econ. '!$A$1:$L$52</definedName>
    <definedName name="_xlnm.Print_Area" localSheetId="20">'II.2 Ocup. formal '!$A$1:$P$47</definedName>
    <definedName name="_xlnm.Print_Area" localSheetId="21">'III.1 Ingr y egr SDSS'!$A$1:$Q$78</definedName>
    <definedName name="_xlnm.Print_Area" localSheetId="27">'Ind. Depend SFS RC Anual'!$A$1:$K$37</definedName>
    <definedName name="_xlnm.Print_Area" localSheetId="26">'IV.1.1.1 Afil. SFS RC Anual '!$A$1:$R$42</definedName>
    <definedName name="_xlnm.Print_Area" localSheetId="37">'IV.1.1.10 Afil. SFS.Prov.EPriv'!$A$1:$L$70</definedName>
    <definedName name="_xlnm.Print_Area" localSheetId="38">'IV.1.1.11 Afil.SFS.Prov EPub D '!$A$1:$N$60</definedName>
    <definedName name="_xlnm.Print_Area" localSheetId="39">'IV.1.1.12 Afil. SFS.Prov.EPub.C'!$A$1:$K$74</definedName>
    <definedName name="_xlnm.Print_Area" localSheetId="40">'IV.1.1.13 Afil.SFS.Art.124 Ley'!$A$1:$M$71</definedName>
    <definedName name="_xlnm.Print_Area" localSheetId="41">'IV.1.1.14 Comparativo afil.edad'!$A$1:$L$40</definedName>
    <definedName name="_xlnm.Print_Area" localSheetId="42">'IV.1.1.15 Comp. afil. región'!$A$1:$L$44</definedName>
    <definedName name="_xlnm.Print_Area" localSheetId="29">'IV.1.1.2 Afil. SFS RC Mensual '!$A$1:$R$60</definedName>
    <definedName name="_xlnm.Print_Area" localSheetId="30">'IV.1.1.3 Ind. Dep SFS RC Mens'!$A$1:$O$92</definedName>
    <definedName name="_xlnm.Print_Area" localSheetId="31">'IV.1.1.4 Tit. Vs pob ocup.'!$A$1:$M$49</definedName>
    <definedName name="_xlnm.Print_Area" localSheetId="32">'IV.1.1.5.Afil. SFS x ARS'!$A$1:$N$71</definedName>
    <definedName name="_xlnm.Print_Area" localSheetId="33">'IV.1.1.6. Afil. SFS.Región.stat'!$A$1:$Q$54</definedName>
    <definedName name="_xlnm.Print_Area" localSheetId="34">'IV.1.1.7. Afil. SFS.Región.Edad'!$A$1:$P$83</definedName>
    <definedName name="_xlnm.Print_Area" localSheetId="35">'IV.1.1.8 Afil. SFS.Prov.Edad'!$A$1:$K$60</definedName>
    <definedName name="_xlnm.Print_Area" localSheetId="36">'IV.1.1.9 Afil. SFS.Prov.Sector'!$A$1:$O$75</definedName>
    <definedName name="_xlnm.Print_Area" localSheetId="43">'IV.1.2.1 Rec. disp. salud'!$A$1:$N$48</definedName>
    <definedName name="_xlnm.Print_Area" localSheetId="45">'IV.1.2.2 Disp. SFS'!$A$1:$L$50</definedName>
    <definedName name="_xlnm.Print_Area" localSheetId="46">'IV.1.2.3 Dip. SFS mensual'!$A$1:$L$66</definedName>
    <definedName name="_xlnm.Print_Area" localSheetId="47">'IV.1.2.4 Disp. x ARS 2'!$A$1:$J$76</definedName>
    <definedName name="_xlnm.Print_Area" localSheetId="48">'IV.1.2.5 Disp. x ARS'!$A$1:$L$57</definedName>
    <definedName name="_xlnm.Print_Area" localSheetId="60">'IV.1.2.6 Gast.Salud'!$A$1:$K$52</definedName>
    <definedName name="_xlnm.Print_Area" localSheetId="51">'IV.1.3.1 Por cuentas'!$A$1:$K$47</definedName>
    <definedName name="_xlnm.Print_Area" localSheetId="52">'IV.1.3.2 Por entidad'!$A$1:$M$47</definedName>
    <definedName name="_xlnm.Print_Area" localSheetId="62">'IV.2.1.1 fil anual SFS RS '!$A$1:$N$41</definedName>
    <definedName name="_xlnm.Print_Area" localSheetId="63">'IV.2.1.2 Afil. RS mensual'!$A$1:$N$69</definedName>
    <definedName name="_xlnm.Print_Area" localSheetId="64">'IV.2.1.3 Afil. SFS RS Vs pob.'!$A$1:$M$51</definedName>
    <definedName name="_xlnm.Print_Area" localSheetId="65">'IV.2.1.4 Afil. SFS Rs Vs pob 3'!$A$1:$L$34</definedName>
    <definedName name="_xlnm.Print_Area" localSheetId="66">'IV.2.1.5 Afil. SFS RS Vs pob 4'!$A$1:$M$53</definedName>
    <definedName name="_xlnm.Print_Area" localSheetId="67">'IV.2.1.6 Ind. depend.'!$A$1:$M$44</definedName>
    <definedName name="_xlnm.Print_Area" localSheetId="68">'IV.2.2.1 Aport. Disp. RS'!$A$1:$L$47</definedName>
    <definedName name="_xlnm.Print_Area" localSheetId="69">'IV.2.2.2 Saldos RS mensual'!$A$1:$L$79</definedName>
    <definedName name="_xlnm.Print_Area" localSheetId="81">'IV.3.1 Afil. SFSP Anual.'!$A$1:$M$43</definedName>
    <definedName name="_xlnm.Print_Area" localSheetId="82">'IV.3.2 Afil. SFSP Mensual'!$A$1:$M$68</definedName>
    <definedName name="_xlnm.Print_Area" localSheetId="83">'IV.3.3 Disp.SFS Pens.x ARS'!$A$1:$M$40</definedName>
    <definedName name="_xlnm.Print_Area" localSheetId="85">'IV.4.1.1 Afil. a EI'!$A$1:$L$41</definedName>
    <definedName name="_xlnm.Print_Area" localSheetId="86">'IV.4.1.2 Afil. a EI (2)'!$A$1:$I$45</definedName>
    <definedName name="_xlnm.Print_Area" localSheetId="89">'IV.4.1.2 Afil. a EI (3)'!$A$1:$L$52</definedName>
    <definedName name="_xlnm.Print_Area" localSheetId="87">'IV.4.1.3 Evol. afil. EI'!$A$1:$J$25</definedName>
    <definedName name="_xlnm.Print_Area" localSheetId="90">'IV.4.1.4 EI Estancias'!$A$1:$J$47</definedName>
    <definedName name="_xlnm.Print_Area" localSheetId="92">'IV.4.2.1 Benef. subsid'!$A$1:$L$37</definedName>
    <definedName name="_xlnm.Print_Area" localSheetId="93">'IV.4.2.2 Monto subsid'!$A$1:$M$35</definedName>
    <definedName name="_xlnm.Print_Area" localSheetId="0">Present.!$A$1:$M$91</definedName>
    <definedName name="_xlnm.Print_Area" localSheetId="25">'RC'!$A$1:$K$45</definedName>
    <definedName name="_xlnm.Print_Area" localSheetId="23">'Rec. x origen'!$A$1:$G$45</definedName>
    <definedName name="_xlnm.Print_Area" localSheetId="88">'Rec. y dip. EI'!$A$1:$L$65</definedName>
    <definedName name="_xlnm.Print_Area" localSheetId="22">'Recaudo x sector'!$A$1:$I$40</definedName>
    <definedName name="_xlnm.Print_Area" localSheetId="80">RET!$A$1:$M$45</definedName>
    <definedName name="_xlnm.Print_Area" localSheetId="61">RS!$A$1:$P$53</definedName>
    <definedName name="_xlnm.Print_Area" localSheetId="8">SDSS!$A$1:$M$41</definedName>
    <definedName name="_xlnm.Print_Area" localSheetId="123">SRL!$A$1:$L$34</definedName>
    <definedName name="_xlnm.Print_Area" localSheetId="172">Status!$A$1:$L$37</definedName>
    <definedName name="_xlnm.Print_Area" localSheetId="91">Subsidios!$A$1:$R$53</definedName>
    <definedName name="_xlnm.Print_Area" localSheetId="94">SVDS!$A$1:$R$53</definedName>
    <definedName name="_xlnm.Print_Area" localSheetId="49">'Total Afil.Mas 50'!$A$1:$IL$73</definedName>
    <definedName name="_xlnm.Print_Area" localSheetId="50">'Total Afiliados &lt;50'!$A$1:$IL$74</definedName>
    <definedName name="_xlnm.Print_Area" localSheetId="95">'V.1.1 Afil. SVDS'!$A$1:$N$49</definedName>
    <definedName name="_xlnm.Print_Area" localSheetId="96">'V.1.2 Afil. cotiz.'!$A$1:$O$56</definedName>
    <definedName name="_xlnm.Print_Area" localSheetId="97">'V.1.3 Afil. SVDS mensual'!$A$1:$L$68</definedName>
    <definedName name="_xlnm.Print_Area" localSheetId="99">'V.1.4 Afil. SVDS x sexo'!$A$1:$P$45</definedName>
    <definedName name="_xlnm.Print_Area" localSheetId="100">'V.1.5 Cotiz. x rango de edad'!$A$1:$L$35</definedName>
    <definedName name="_xlnm.Print_Area" localSheetId="101">'V.1.5 Cotiz. x rango de edad (2'!$A$1:$L$28</definedName>
    <definedName name="_xlnm.Print_Area" localSheetId="102">'V.1.6 Cotiz x sal. min. cot.'!$A$1:$N$38</definedName>
    <definedName name="_xlnm.Print_Area" localSheetId="103">'V.1.7 Cotiz.x AFP y fondos'!$A$1:$K$47</definedName>
    <definedName name="_xlnm.Print_Area" localSheetId="104">'V.1.8 Cotiz. x sexo '!$A$1:$M$54</definedName>
    <definedName name="_xlnm.Print_Area" localSheetId="106">'V.2.1 Disp. SVDS'!$A$1:$O$57</definedName>
    <definedName name="_xlnm.Print_Area" localSheetId="107">'V.2.2 Disp. anual  x cuentas'!$A$1:$M$39</definedName>
    <definedName name="_xlnm.Print_Area" localSheetId="108">'V.3.1 Traspasos anual'!$A$1:$Q$57</definedName>
    <definedName name="_xlnm.Print_Area" localSheetId="109">'V.3.2 Trasp. recibidos'!$A$1:$Q$53</definedName>
    <definedName name="_xlnm.Print_Area" localSheetId="110">'V.3.3 Trasp. cedidos'!$A$1:$Q$53</definedName>
    <definedName name="_xlnm.Print_Area" localSheetId="111">'V.3.4 Trasp. netos'!$A$1:$S$52</definedName>
    <definedName name="_xlnm.Print_Area" localSheetId="112">'V.4.1 Pensiones por año'!$A$1:$N$56</definedName>
    <definedName name="_xlnm.Print_Area" localSheetId="113">'V.4.2 PEA_Pensiones_Género'!$A$1:$N$48</definedName>
    <definedName name="_xlnm.Print_Area" localSheetId="114">'V.4.3 Pensiones Sob.Disc'!$A$1:$L$37</definedName>
    <definedName name="_xlnm.Print_Area" localSheetId="115">'V.4.4. Pens.Disc. AFP'!$A$1:$N$49</definedName>
    <definedName name="_xlnm.Print_Area" localSheetId="117">'V.5.1 Patrim. fp anual'!$A$1:$M$41</definedName>
    <definedName name="_xlnm.Print_Area" localSheetId="118">'V.5.2 Cartera de inv fp'!$A$1:$H$47</definedName>
    <definedName name="_xlnm.Print_Area" localSheetId="121">'V.5.3 Rent. nom. de los FP'!$A$1:$S$91</definedName>
    <definedName name="_xlnm.Print_Area" localSheetId="119">'V.5.4 Comp. Cartera'!$A$1:$I$50</definedName>
    <definedName name="_xlnm.Print_Area" localSheetId="105">'V1.8Cot.Afil X Sexo'!$A$1:$O$47</definedName>
    <definedName name="_xlnm.Print_Area" localSheetId="124">'VI.1.1 Afil. SRL'!$A$1:$N$50</definedName>
    <definedName name="_xlnm.Print_Area" localSheetId="125">'VI.1.2 Afil. SRL x sexoy edad'!$A$1:$L$65</definedName>
    <definedName name="_xlnm.Print_Area" localSheetId="126">'VI.1.3 Afil. ARL x riesgo'!$A$1:$N$76</definedName>
    <definedName name="_xlnm.Print_Area" localSheetId="127">'VI.2.1 Disp. anual ARL'!$A$1:$J$44</definedName>
    <definedName name="_xlnm.Print_Area" localSheetId="128">'VI.2.2 Disp. mensual a ARL'!$A$1:$M$72</definedName>
    <definedName name="_xlnm.Print_Area" localSheetId="129">'VI.3.1 NA. Reportes ARL'!$A$1:$L$50</definedName>
    <definedName name="_xlnm.Print_Area" localSheetId="137">'VI.3.10 Accid x sexo'!$A$1:$J$49</definedName>
    <definedName name="_xlnm.Print_Area" localSheetId="140">'VI.3.11 Accid x sexo '!$A$1:$L$40</definedName>
    <definedName name="_xlnm.Print_Area" localSheetId="141">'VI.3.12 Accid x rango de edad'!$A$1:$N$59</definedName>
    <definedName name="_xlnm.Print_Area" localSheetId="142">'VI.3.13 Accid x edad'!$A$1:$U$60</definedName>
    <definedName name="_xlnm.Print_Area" localSheetId="138">'VI.3.14 Accid x Escolaridad'!$A$1:$M$57</definedName>
    <definedName name="_xlnm.Print_Area" localSheetId="144">'VI.3.15 EC. Accid. Lab.'!$A$1:$L$39</definedName>
    <definedName name="_xlnm.Print_Area" localSheetId="143">'VI.3.16 EC. Accid. Lab'!$A$1:$J$48</definedName>
    <definedName name="_xlnm.Print_Area" localSheetId="145">'VI.3.17 EC. Accid. Lab x tipo'!$A$1:$O$45</definedName>
    <definedName name="_xlnm.Print_Area" localSheetId="146">'VI.3.18 EC. Accid. Lab x Lesión'!$A$1:$N$43</definedName>
    <definedName name="_xlnm.Print_Area" localSheetId="147">'VI.3.19 Accid.Lab suceso'!$A$1:$N$43</definedName>
    <definedName name="_xlnm.Print_Area" localSheetId="130">'VI.3.2 ID. Accidentabilidad'!$A$1:$J$45</definedName>
    <definedName name="_xlnm.Print_Area" localSheetId="148">'VI.3.20 EC. x mecanismo causal'!$A$1:$L$45</definedName>
    <definedName name="_xlnm.Print_Area" localSheetId="149">'VI.3.21 EC. x Agente daño'!$A$1:$L$44</definedName>
    <definedName name="_xlnm.Print_Area" localSheetId="150">'VI.3.22 EC. x  lugar de accid.'!$A$1:$J$45</definedName>
    <definedName name="_xlnm.Print_Area" localSheetId="151">'VI.3.23 Exped. Calif. x antig.'!$A$1:$R$45</definedName>
    <definedName name="_xlnm.Print_Area" localSheetId="152">'VI.3.24 EC. Accid incapac.'!$A$1:$O$45</definedName>
    <definedName name="_xlnm.Print_Area" localSheetId="153">'VI.3.25 EC. Enferm. Prof (R)'!$A$1:$L$43</definedName>
    <definedName name="_xlnm.Print_Area" localSheetId="154">'VI.3.26 EC. Accid Lab.(R)'!$A$1:$L$41</definedName>
    <definedName name="_xlnm.Print_Area" localSheetId="155">'VI.3.27. Accid. Aprobxtipo'!$A$1:$N$42</definedName>
    <definedName name="_xlnm.Print_Area" localSheetId="156">'VI.3.28. Accid. Aprob xLesión '!$A$1:$L$42</definedName>
    <definedName name="_xlnm.Print_Area" localSheetId="157">'VI.3.29 Accid.Aprob Según suc.'!$A$1:$N$43</definedName>
    <definedName name="_xlnm.Print_Area" localSheetId="131">'VI.3.3 NA.Cant. accid x región'!$A$1:$T$55</definedName>
    <definedName name="_xlnm.Print_Area" localSheetId="158">'VI.3.30 Pagos de ARLSS'!$A$1:$G$35</definedName>
    <definedName name="_xlnm.Print_Area" localSheetId="132">'VI.3.4 NA.Cant. accid x Prov.)'!$A$1:$P$71</definedName>
    <definedName name="_xlnm.Print_Area" localSheetId="133">'VI.3.5 NA.Cant. accid x Proced.'!$A$1:$L$47</definedName>
    <definedName name="_xlnm.Print_Area" localSheetId="134">'VI.3.6 Accid x activ. econ.'!$A$1:$N$54</definedName>
    <definedName name="_xlnm.Print_Area" localSheetId="139">'VI.3.9 Accid x sector '!$A$1:$L$40</definedName>
    <definedName name="_xlnm.Print_Area" localSheetId="159">'VI.4.1 Prest. econ. SRL'!$A$1:$L$45</definedName>
    <definedName name="_xlnm.Print_Area" localSheetId="160">'VI.4.2 Gastos med. ARL'!$A$1:$L$50</definedName>
    <definedName name="_xlnm.Print_Area" localSheetId="161">'VI.4.3 Gastos prevenc. riesgos'!$A$1:$M$47</definedName>
    <definedName name="_xlnm.Print_Area" localSheetId="162">'VI.4.4 Pensión sobrev. ARL'!$A$1:$L$53</definedName>
    <definedName name="_xlnm.Print_Area" localSheetId="163">'VI.4.5 Pensión discap ARL'!$A$1:$L$46</definedName>
    <definedName name="_xlnm.Print_Area" localSheetId="164">'VI.4.6 Discap. temporal ARL'!$A$1:$L$49</definedName>
    <definedName name="_xlnm.Print_Area" localSheetId="165">'VI.4.7 Indemniz.ARL'!$A$1:$L$46</definedName>
    <definedName name="_xlnm.Print_Area" localSheetId="166">'VI.4.8 Remuneración SRL'!$A$1:$K$39</definedName>
    <definedName name="_xlnm.Print_Area" localSheetId="167">'VI.4.9 Beneficios SRL'!$A$1:$L$33</definedName>
    <definedName name="_xlnm.Print_Area" localSheetId="169">'VII.1 CMR'!$A$1:$L$44</definedName>
    <definedName name="_xlnm.Print_Area" localSheetId="170">'VII.1 CMR '!$A$1:$L$45</definedName>
    <definedName name="_xlnm.Print_Area" localSheetId="171">'VII.1 CMR (2)'!$A$1:$L$45</definedName>
    <definedName name="_xlnm.Print_Area" localSheetId="176">'VIII.1 Sol.Pensiones'!$A$1:$J$34</definedName>
    <definedName name="_xlnm.Print_Area" localSheetId="177">'VIII.2 Sol.Ent.Sal.'!$A$1:$L$35</definedName>
    <definedName name="_xlnm.Print_Area" localSheetId="178">'VIII.3 Sol.Realiz.Entid.'!$A$1:$N$40</definedName>
    <definedName name="Área_de_impresión1" localSheetId="120">#REF!</definedName>
    <definedName name="Área_de_impresión1">'[1]7.7.6'!$A$1:$AQ$58</definedName>
    <definedName name="Área_de_impresión2" localSheetId="120">#REF!</definedName>
    <definedName name="Área_de_impresión2" localSheetId="89">'[1]7.7.6'!#REF!</definedName>
    <definedName name="Área_de_impresión2" localSheetId="49">'[1]7.7.6'!#REF!</definedName>
    <definedName name="Área_de_impresión2" localSheetId="50">'[1]7.7.6'!#REF!</definedName>
    <definedName name="Área_de_impresión2">'[1]7.7.6'!#REF!</definedName>
    <definedName name="CCI" localSheetId="120">#REF!</definedName>
    <definedName name="CCI">'[1]7.7.6'!$A$1:$R$57</definedName>
    <definedName name="Compl" localSheetId="120">#REF!</definedName>
    <definedName name="Compl">'[1]7.7.6'!$AA$1:$AJ$57</definedName>
    <definedName name="Exceso1" localSheetId="120">#REF!</definedName>
    <definedName name="Exceso1" localSheetId="89">'[1]7.7.6'!#REF!</definedName>
    <definedName name="Exceso1" localSheetId="49">'[1]7.7.6'!#REF!</definedName>
    <definedName name="Exceso1" localSheetId="50">'[1]7.7.6'!#REF!</definedName>
    <definedName name="Exceso1">'[1]7.7.6'!#REF!</definedName>
    <definedName name="Exceso2" localSheetId="120">#REF!</definedName>
    <definedName name="Exceso2" localSheetId="89">'[1]7.7.6'!#REF!</definedName>
    <definedName name="Exceso2" localSheetId="49">'[1]7.7.6'!#REF!</definedName>
    <definedName name="Exceso2" localSheetId="50">'[1]7.7.6'!#REF!</definedName>
    <definedName name="Exceso2">'[1]7.7.6'!#REF!</definedName>
    <definedName name="h">'[1]7.7.6'!$A$1:$AQ$58</definedName>
    <definedName name="Print1" localSheetId="120">#REF!</definedName>
    <definedName name="Print1">'[1]7.7.6'!$A$1:$AQ$58</definedName>
    <definedName name="Print2" localSheetId="120">#REF!</definedName>
    <definedName name="Print2" localSheetId="89">'[1]7.7.6'!#REF!</definedName>
    <definedName name="Print2" localSheetId="49">'[1]7.7.6'!#REF!</definedName>
    <definedName name="Print2" localSheetId="50">'[1]7.7.6'!#REF!</definedName>
    <definedName name="Print2">'[1]7.7.6'!#REF!</definedName>
    <definedName name="RepFSS" localSheetId="120">#REF!</definedName>
    <definedName name="RepFSS">'[1]7.7.6'!$T$1:$Y$57</definedName>
    <definedName name="s">'[1]7.7.6'!$A$1:$AQ$58</definedName>
    <definedName name="_xlnm.Print_Titles" localSheetId="44">'Dep y Tit por mes'!$A:$A,'Dep y Tit por mes'!$3:$4</definedName>
    <definedName name="_xlnm.Print_Titles" localSheetId="3">HOME2!$1:$2</definedName>
    <definedName name="Totales" localSheetId="120">#REF!</definedName>
    <definedName name="Totales">'[1]7.7.6'!$A$1:$AP$58</definedName>
  </definedNames>
  <calcPr calcId="152511"/>
</workbook>
</file>

<file path=xl/calcChain.xml><?xml version="1.0" encoding="utf-8"?>
<calcChain xmlns="http://schemas.openxmlformats.org/spreadsheetml/2006/main">
  <c r="F6" i="200" l="1"/>
  <c r="F9" i="200" l="1"/>
  <c r="BM6" i="76"/>
  <c r="BN6" i="76"/>
  <c r="BM7" i="76"/>
  <c r="BN7" i="76"/>
  <c r="BS7" i="76"/>
  <c r="BS22" i="76" s="1"/>
  <c r="BM8" i="76"/>
  <c r="BN8" i="76"/>
  <c r="BS8" i="76"/>
  <c r="BM9" i="76"/>
  <c r="BN9" i="76"/>
  <c r="BT9" i="76"/>
  <c r="BM10" i="76"/>
  <c r="BN10" i="76"/>
  <c r="BT10" i="76"/>
  <c r="BM11" i="76"/>
  <c r="BN11" i="76"/>
  <c r="BT11" i="76"/>
  <c r="BM12" i="76"/>
  <c r="BN12" i="76"/>
  <c r="BT12" i="76"/>
  <c r="BM13" i="76"/>
  <c r="BN13" i="76"/>
  <c r="BT13" i="76"/>
  <c r="BM14" i="76"/>
  <c r="BN14" i="76"/>
  <c r="BT14" i="76"/>
  <c r="BM15" i="76"/>
  <c r="BN15" i="76"/>
  <c r="BT15" i="76"/>
  <c r="BM16" i="76"/>
  <c r="BN16" i="76"/>
  <c r="BT16" i="76"/>
  <c r="BM17" i="76"/>
  <c r="BN17" i="76"/>
  <c r="BT17" i="76"/>
  <c r="BM18" i="76"/>
  <c r="BN18" i="76"/>
  <c r="BT18" i="76"/>
  <c r="BM19" i="76"/>
  <c r="BN19" i="76"/>
  <c r="BT19" i="76"/>
  <c r="BM20" i="76"/>
  <c r="BN20" i="76"/>
  <c r="BT20" i="76"/>
  <c r="BT21" i="76"/>
  <c r="BR22" i="76"/>
  <c r="D17" i="282" l="1"/>
  <c r="B17" i="282"/>
  <c r="G12" i="236" l="1"/>
  <c r="G11" i="235"/>
  <c r="G12" i="234"/>
  <c r="H4" i="235"/>
  <c r="H4" i="234"/>
  <c r="B10" i="240"/>
  <c r="E10" i="214"/>
  <c r="J9" i="333" l="1"/>
  <c r="G16" i="282" l="1"/>
  <c r="H16" i="282"/>
  <c r="G6" i="282"/>
  <c r="I15" i="210" l="1"/>
  <c r="J15" i="210" s="1"/>
  <c r="K15" i="210" l="1"/>
  <c r="M11" i="206"/>
  <c r="C18" i="364" l="1"/>
  <c r="D18" i="364"/>
  <c r="B18" i="364"/>
  <c r="C16" i="363"/>
  <c r="D16" i="363"/>
  <c r="E16" i="363"/>
  <c r="B16" i="363"/>
  <c r="C16" i="362"/>
  <c r="B16" i="362"/>
  <c r="I17" i="291"/>
  <c r="H17" i="291"/>
  <c r="C17" i="291"/>
  <c r="B17" i="291"/>
  <c r="B10" i="241" l="1"/>
  <c r="C10" i="214"/>
  <c r="D10" i="214"/>
  <c r="B10" i="214"/>
  <c r="G13" i="236"/>
  <c r="C12" i="235"/>
  <c r="D12" i="235"/>
  <c r="G12" i="235"/>
  <c r="B12" i="235"/>
  <c r="C13" i="234"/>
  <c r="D13" i="234"/>
  <c r="G13" i="234"/>
  <c r="B13" i="234"/>
  <c r="C15" i="228"/>
  <c r="D15" i="228"/>
  <c r="E15" i="228"/>
  <c r="B15" i="228"/>
  <c r="C15" i="222"/>
  <c r="D15" i="222"/>
  <c r="B15" i="222"/>
  <c r="C15" i="219"/>
  <c r="D15" i="219"/>
  <c r="B15" i="219"/>
  <c r="C15" i="217"/>
  <c r="D15" i="217"/>
  <c r="E15" i="217"/>
  <c r="F15" i="217"/>
  <c r="G15" i="217"/>
  <c r="H15" i="217"/>
  <c r="I15" i="217"/>
  <c r="J15" i="217"/>
  <c r="B15" i="217"/>
  <c r="B15" i="215"/>
  <c r="C15" i="215"/>
  <c r="F43" i="79"/>
  <c r="D43" i="79"/>
  <c r="B43" i="79"/>
  <c r="C16" i="280"/>
  <c r="D16" i="280"/>
  <c r="F16" i="280"/>
  <c r="L16" i="280"/>
  <c r="N16" i="280"/>
  <c r="O16" i="280"/>
  <c r="B16" i="280"/>
  <c r="B16" i="279"/>
  <c r="C16" i="279"/>
  <c r="D16" i="279"/>
  <c r="F16" i="279"/>
  <c r="L16" i="279"/>
  <c r="M16" i="279"/>
  <c r="B16" i="278"/>
  <c r="B16" i="276"/>
  <c r="C43" i="74"/>
  <c r="B43" i="74"/>
  <c r="C17" i="72"/>
  <c r="B17" i="72"/>
  <c r="B12" i="357"/>
  <c r="B14" i="177"/>
  <c r="C38" i="54"/>
  <c r="D38" i="54"/>
  <c r="E38" i="54"/>
  <c r="F38" i="54"/>
  <c r="B19" i="291"/>
  <c r="I11" i="52" l="1"/>
  <c r="K8" i="55"/>
  <c r="K9" i="55"/>
  <c r="K10" i="55"/>
  <c r="K11" i="55"/>
  <c r="K12" i="55"/>
  <c r="K16" i="55"/>
  <c r="K17" i="55"/>
  <c r="K18" i="55"/>
  <c r="K19" i="55"/>
  <c r="K20" i="55"/>
  <c r="K23" i="55"/>
  <c r="K24" i="55"/>
  <c r="K25" i="55"/>
  <c r="K26" i="55"/>
  <c r="K27" i="55"/>
  <c r="K6" i="55"/>
  <c r="J28" i="55"/>
  <c r="K13" i="55" s="1"/>
  <c r="K15" i="55" l="1"/>
  <c r="K7" i="55"/>
  <c r="K22" i="55"/>
  <c r="K14" i="55"/>
  <c r="K21" i="55"/>
  <c r="K28" i="55"/>
  <c r="G9" i="233" l="1"/>
  <c r="G9" i="232"/>
  <c r="E9" i="231"/>
  <c r="C14" i="224"/>
  <c r="B14" i="224"/>
  <c r="B14" i="216" l="1"/>
  <c r="H42" i="79" l="1"/>
  <c r="C42" i="79" s="1"/>
  <c r="F43" i="129"/>
  <c r="M15" i="280"/>
  <c r="M16" i="280" s="1"/>
  <c r="J15" i="280"/>
  <c r="J16" i="280" s="1"/>
  <c r="I15" i="280"/>
  <c r="I16" i="280" s="1"/>
  <c r="H15" i="280"/>
  <c r="H16" i="280" s="1"/>
  <c r="G15" i="280"/>
  <c r="G16" i="280" s="1"/>
  <c r="E15" i="280"/>
  <c r="E16" i="280" s="1"/>
  <c r="O15" i="279"/>
  <c r="O16" i="279" s="1"/>
  <c r="N15" i="279"/>
  <c r="N16" i="279" s="1"/>
  <c r="J15" i="279"/>
  <c r="J16" i="279" s="1"/>
  <c r="I15" i="279"/>
  <c r="I16" i="279" s="1"/>
  <c r="H15" i="279"/>
  <c r="H16" i="279" s="1"/>
  <c r="G15" i="279"/>
  <c r="G16" i="279" s="1"/>
  <c r="E15" i="279"/>
  <c r="E16" i="279" s="1"/>
  <c r="G42" i="79" l="1"/>
  <c r="E42" i="79"/>
  <c r="D40" i="270"/>
  <c r="D8" i="244" l="1"/>
  <c r="E8" i="244"/>
  <c r="F8" i="244"/>
  <c r="G8" i="244"/>
  <c r="C8" i="244"/>
  <c r="H7" i="244"/>
  <c r="H8" i="244" s="1"/>
  <c r="H6" i="244"/>
  <c r="H5" i="244"/>
  <c r="B6" i="244"/>
  <c r="B5" i="244"/>
  <c r="G7" i="243"/>
  <c r="G7" i="106"/>
  <c r="B41" i="212"/>
  <c r="E41" i="212" s="1"/>
  <c r="K41" i="212"/>
  <c r="D42" i="74"/>
  <c r="H15" i="61"/>
  <c r="D41" i="289"/>
  <c r="I41" i="289"/>
  <c r="K41" i="289" s="1"/>
  <c r="I41" i="212" l="1"/>
  <c r="G41" i="212"/>
  <c r="L41" i="212"/>
  <c r="J41" i="289"/>
  <c r="L41" i="289"/>
  <c r="B37" i="54"/>
  <c r="G37" i="54"/>
  <c r="F8" i="120"/>
  <c r="F9" i="120"/>
  <c r="F10" i="120"/>
  <c r="F11" i="120"/>
  <c r="D9" i="120"/>
  <c r="D10" i="120"/>
  <c r="D11" i="120"/>
  <c r="D37" i="209"/>
  <c r="B37" i="209"/>
  <c r="E37" i="209"/>
  <c r="F37" i="209"/>
  <c r="H37" i="209"/>
  <c r="K37" i="209" s="1"/>
  <c r="L37" i="209" s="1"/>
  <c r="M37" i="209"/>
  <c r="N37" i="209"/>
  <c r="J35" i="208"/>
  <c r="J36" i="208"/>
  <c r="J37" i="208"/>
  <c r="C36" i="208"/>
  <c r="C37" i="208"/>
  <c r="F37" i="208" s="1"/>
  <c r="C35" i="208"/>
  <c r="F36" i="208"/>
  <c r="M37" i="208"/>
  <c r="N37" i="208" s="1"/>
  <c r="Q37" i="208"/>
  <c r="E17" i="364"/>
  <c r="E18" i="364" s="1"/>
  <c r="R37" i="208" l="1"/>
  <c r="P37" i="208"/>
  <c r="O37" i="208"/>
  <c r="D12" i="200" l="1"/>
  <c r="E10" i="231"/>
  <c r="C10" i="231"/>
  <c r="D10" i="231"/>
  <c r="B10" i="231"/>
  <c r="M28" i="218" l="1"/>
  <c r="M5" i="218"/>
  <c r="M6" i="218"/>
  <c r="M7" i="218"/>
  <c r="M8" i="218"/>
  <c r="M9" i="218"/>
  <c r="M10" i="218"/>
  <c r="M11" i="218"/>
  <c r="M12" i="218"/>
  <c r="M13" i="218"/>
  <c r="M14" i="218"/>
  <c r="M15" i="218"/>
  <c r="M16" i="218"/>
  <c r="M17" i="218"/>
  <c r="M18" i="218"/>
  <c r="M19" i="218"/>
  <c r="M20" i="218"/>
  <c r="M21" i="218"/>
  <c r="M22" i="218"/>
  <c r="M23" i="218"/>
  <c r="M24" i="218"/>
  <c r="M25" i="218"/>
  <c r="M26" i="218"/>
  <c r="M27" i="218"/>
  <c r="M29" i="218"/>
  <c r="M30" i="218"/>
  <c r="M31" i="218"/>
  <c r="M32" i="218"/>
  <c r="M33" i="218"/>
  <c r="M34" i="218"/>
  <c r="M35" i="218"/>
  <c r="M4" i="218"/>
  <c r="H41" i="79" l="1"/>
  <c r="E41" i="79" s="1"/>
  <c r="F42" i="129"/>
  <c r="D16" i="335"/>
  <c r="B15" i="293"/>
  <c r="B40" i="212"/>
  <c r="C41" i="212" s="1"/>
  <c r="D36" i="209"/>
  <c r="C11" i="206"/>
  <c r="C10" i="206"/>
  <c r="G41" i="79" l="1"/>
  <c r="C41" i="79"/>
  <c r="E15" i="269" l="1"/>
  <c r="D39" i="270"/>
  <c r="D6" i="268" l="1"/>
  <c r="E40" i="212" l="1"/>
  <c r="I40" i="212"/>
  <c r="K40" i="212"/>
  <c r="D41" i="74"/>
  <c r="D40" i="289"/>
  <c r="I40" i="289"/>
  <c r="K40" i="289" s="1"/>
  <c r="G40" i="212" l="1"/>
  <c r="L40" i="212"/>
  <c r="J40" i="289"/>
  <c r="L40" i="289"/>
  <c r="C33" i="121"/>
  <c r="H4" i="346" l="1"/>
  <c r="G4" i="346"/>
  <c r="I4" i="346" s="1"/>
  <c r="B36" i="54"/>
  <c r="G36" i="54" s="1"/>
  <c r="B36" i="209"/>
  <c r="F36" i="209"/>
  <c r="H36" i="209"/>
  <c r="K36" i="209" s="1"/>
  <c r="M36" i="209"/>
  <c r="N36" i="209"/>
  <c r="M36" i="208"/>
  <c r="O36" i="208" s="1"/>
  <c r="Q36" i="208"/>
  <c r="R36" i="208"/>
  <c r="J11" i="206"/>
  <c r="J10" i="206"/>
  <c r="E36" i="209" l="1"/>
  <c r="L36" i="209" s="1"/>
  <c r="P36" i="208"/>
  <c r="N36" i="208"/>
  <c r="B15" i="317" l="1"/>
  <c r="B16" i="317"/>
  <c r="B11" i="317"/>
  <c r="B12" i="317"/>
  <c r="B14" i="317"/>
  <c r="B8" i="317"/>
  <c r="B9" i="317"/>
  <c r="B10" i="317"/>
  <c r="B7" i="317"/>
  <c r="B6" i="317"/>
  <c r="H40" i="79" l="1"/>
  <c r="C40" i="79" l="1"/>
  <c r="E40" i="79"/>
  <c r="G40" i="79"/>
  <c r="G8" i="225"/>
  <c r="D35" i="209"/>
  <c r="D15" i="268" l="1"/>
  <c r="D38" i="270" l="1"/>
  <c r="H5" i="226" l="1"/>
  <c r="H6" i="226"/>
  <c r="H7" i="226"/>
  <c r="H8" i="226"/>
  <c r="H9" i="226"/>
  <c r="H10" i="226"/>
  <c r="H11" i="226"/>
  <c r="H12" i="226"/>
  <c r="H13" i="226"/>
  <c r="H14" i="226"/>
  <c r="H4" i="226"/>
  <c r="F41" i="129"/>
  <c r="B39" i="212"/>
  <c r="K39" i="212"/>
  <c r="D40" i="74"/>
  <c r="D39" i="289"/>
  <c r="L39" i="289" s="1"/>
  <c r="I39" i="289"/>
  <c r="K39" i="289" s="1"/>
  <c r="B35" i="54"/>
  <c r="G35" i="54"/>
  <c r="B35" i="209"/>
  <c r="E35" i="209"/>
  <c r="F35" i="209"/>
  <c r="H35" i="209"/>
  <c r="K35" i="209"/>
  <c r="M35" i="209"/>
  <c r="N35" i="209"/>
  <c r="R35" i="208"/>
  <c r="C23" i="208"/>
  <c r="C24" i="208"/>
  <c r="C25" i="208"/>
  <c r="C26" i="208"/>
  <c r="C27" i="208"/>
  <c r="C28" i="208"/>
  <c r="C29" i="208"/>
  <c r="C30" i="208"/>
  <c r="C31" i="208"/>
  <c r="C32" i="208"/>
  <c r="C33" i="208"/>
  <c r="C34" i="208"/>
  <c r="C22" i="208"/>
  <c r="J24" i="208"/>
  <c r="J25" i="208"/>
  <c r="J26" i="208"/>
  <c r="J27" i="208"/>
  <c r="J28" i="208"/>
  <c r="J29" i="208"/>
  <c r="J30" i="208"/>
  <c r="J31" i="208"/>
  <c r="J32" i="208"/>
  <c r="J33" i="208"/>
  <c r="J34" i="208"/>
  <c r="J23" i="208"/>
  <c r="M35" i="208"/>
  <c r="N35" i="208" s="1"/>
  <c r="Q35" i="208"/>
  <c r="G39" i="212" l="1"/>
  <c r="C40" i="212"/>
  <c r="L35" i="209"/>
  <c r="F35" i="208"/>
  <c r="P35" i="208" s="1"/>
  <c r="L39" i="212"/>
  <c r="I39" i="212"/>
  <c r="E39" i="212"/>
  <c r="J39" i="289"/>
  <c r="O35" i="208"/>
  <c r="D12" i="328" l="1"/>
  <c r="C12" i="328"/>
  <c r="B12" i="328"/>
  <c r="B11" i="331"/>
  <c r="C11" i="331"/>
  <c r="D5" i="331"/>
  <c r="D6" i="331"/>
  <c r="D7" i="331"/>
  <c r="D8" i="331"/>
  <c r="D9" i="331"/>
  <c r="D10" i="331"/>
  <c r="D4" i="331"/>
  <c r="D11" i="331" l="1"/>
  <c r="B17" i="213" l="1"/>
  <c r="D16" i="291"/>
  <c r="D4" i="309" l="1"/>
  <c r="I12" i="65"/>
  <c r="E12" i="65"/>
  <c r="B11" i="357"/>
  <c r="F34" i="208"/>
  <c r="F23" i="208"/>
  <c r="F24" i="208"/>
  <c r="F25" i="208"/>
  <c r="F26" i="208"/>
  <c r="F27" i="208"/>
  <c r="F28" i="208"/>
  <c r="F29" i="208"/>
  <c r="F30" i="208"/>
  <c r="F31" i="208"/>
  <c r="F32" i="208"/>
  <c r="F33" i="208"/>
  <c r="D34" i="209"/>
  <c r="B34" i="209"/>
  <c r="I19" i="291"/>
  <c r="C19" i="291"/>
  <c r="F11" i="206" l="1"/>
  <c r="E14" i="219" l="1"/>
  <c r="E13" i="219"/>
  <c r="H39" i="79" l="1"/>
  <c r="C39" i="79" s="1"/>
  <c r="F40" i="129"/>
  <c r="G39" i="79" l="1"/>
  <c r="E39" i="79"/>
  <c r="B8" i="315"/>
  <c r="D5" i="271"/>
  <c r="D6" i="271"/>
  <c r="D7" i="271"/>
  <c r="D8" i="271"/>
  <c r="D9" i="271"/>
  <c r="D10" i="271"/>
  <c r="D11" i="271"/>
  <c r="D12" i="271"/>
  <c r="D13" i="271"/>
  <c r="D14" i="271"/>
  <c r="D15" i="271"/>
  <c r="D4" i="271"/>
  <c r="D37" i="270"/>
  <c r="D36" i="270"/>
  <c r="B38" i="212"/>
  <c r="K38" i="212"/>
  <c r="D32" i="74"/>
  <c r="D33" i="74"/>
  <c r="D34" i="74"/>
  <c r="D35" i="74"/>
  <c r="D36" i="74"/>
  <c r="D37" i="74"/>
  <c r="D38" i="74"/>
  <c r="D39" i="74"/>
  <c r="D31" i="74"/>
  <c r="C39" i="212" l="1"/>
  <c r="I38" i="212"/>
  <c r="G38" i="212"/>
  <c r="L38" i="212"/>
  <c r="E38" i="212"/>
  <c r="D38" i="289" l="1"/>
  <c r="I38" i="289"/>
  <c r="K38" i="289" s="1"/>
  <c r="J38" i="289"/>
  <c r="B34" i="54"/>
  <c r="G34" i="54" s="1"/>
  <c r="E34" i="209"/>
  <c r="F34" i="209"/>
  <c r="H34" i="209"/>
  <c r="K34" i="209" s="1"/>
  <c r="M34" i="209"/>
  <c r="N34" i="209"/>
  <c r="R34" i="208"/>
  <c r="M34" i="208"/>
  <c r="N34" i="208" s="1"/>
  <c r="Q34" i="208"/>
  <c r="L34" i="209" l="1"/>
  <c r="L38" i="289"/>
  <c r="P34" i="208"/>
  <c r="O34" i="208"/>
  <c r="C10" i="333"/>
  <c r="D10" i="333"/>
  <c r="E10" i="333"/>
  <c r="F10" i="333"/>
  <c r="G10" i="333"/>
  <c r="H10" i="333"/>
  <c r="I10" i="333"/>
  <c r="J4" i="333"/>
  <c r="J5" i="333"/>
  <c r="J6" i="333"/>
  <c r="J7" i="333"/>
  <c r="J8" i="333"/>
  <c r="E12" i="328"/>
  <c r="E5" i="328"/>
  <c r="E6" i="328"/>
  <c r="E7" i="328"/>
  <c r="E8" i="328"/>
  <c r="E9" i="328"/>
  <c r="E10" i="328"/>
  <c r="E11" i="328"/>
  <c r="J10" i="333" l="1"/>
  <c r="J5" i="206"/>
  <c r="J6" i="206"/>
  <c r="J7" i="206"/>
  <c r="J8" i="206"/>
  <c r="J9" i="206"/>
  <c r="J4" i="206"/>
  <c r="B15" i="286" l="1"/>
  <c r="B15" i="201"/>
  <c r="K15" i="280"/>
  <c r="P11" i="279"/>
  <c r="P12" i="279"/>
  <c r="P13" i="279"/>
  <c r="P14" i="279"/>
  <c r="P15" i="279"/>
  <c r="K11" i="279"/>
  <c r="K12" i="279"/>
  <c r="K13" i="279"/>
  <c r="K14" i="279"/>
  <c r="K15" i="279"/>
  <c r="A15" i="280"/>
  <c r="A16" i="290" s="1"/>
  <c r="B14" i="272"/>
  <c r="B37" i="212"/>
  <c r="K37" i="212"/>
  <c r="B19" i="72"/>
  <c r="H6" i="61"/>
  <c r="H7" i="61"/>
  <c r="H8" i="61"/>
  <c r="H9" i="61"/>
  <c r="H10" i="61"/>
  <c r="H11" i="61"/>
  <c r="H12" i="61"/>
  <c r="H13" i="61"/>
  <c r="H14" i="61"/>
  <c r="H5" i="61"/>
  <c r="D37" i="289"/>
  <c r="I37" i="289"/>
  <c r="J37" i="289" s="1"/>
  <c r="B33" i="54"/>
  <c r="G33" i="54" s="1"/>
  <c r="F5" i="120"/>
  <c r="F6" i="120"/>
  <c r="F7" i="120"/>
  <c r="F4" i="120"/>
  <c r="D33" i="209"/>
  <c r="B33" i="209" s="1"/>
  <c r="D32" i="209"/>
  <c r="C32" i="209"/>
  <c r="B32" i="209" s="1"/>
  <c r="F33" i="209"/>
  <c r="H33" i="209"/>
  <c r="K33" i="209" s="1"/>
  <c r="M33" i="209"/>
  <c r="N33" i="209"/>
  <c r="R33" i="208"/>
  <c r="M33" i="208"/>
  <c r="N33" i="208" s="1"/>
  <c r="Q33" i="208"/>
  <c r="D8" i="8"/>
  <c r="D26" i="8"/>
  <c r="D7" i="8"/>
  <c r="H15" i="201"/>
  <c r="H5" i="201"/>
  <c r="H6" i="201"/>
  <c r="H7" i="201"/>
  <c r="H8" i="201"/>
  <c r="H9" i="201"/>
  <c r="H10" i="201"/>
  <c r="H11" i="201"/>
  <c r="H12" i="201"/>
  <c r="H13" i="201"/>
  <c r="H14" i="201"/>
  <c r="H4" i="201"/>
  <c r="E5" i="286"/>
  <c r="E6" i="286"/>
  <c r="E7" i="286"/>
  <c r="E8" i="286"/>
  <c r="E9" i="286"/>
  <c r="E10" i="286"/>
  <c r="E11" i="286"/>
  <c r="E12" i="286"/>
  <c r="E13" i="286"/>
  <c r="E14" i="286"/>
  <c r="E15" i="286"/>
  <c r="E4" i="286"/>
  <c r="G37" i="212" l="1"/>
  <c r="C38" i="212"/>
  <c r="L37" i="212"/>
  <c r="I37" i="212"/>
  <c r="E37" i="212"/>
  <c r="L37" i="289"/>
  <c r="K37" i="289"/>
  <c r="E33" i="209"/>
  <c r="L33" i="209" s="1"/>
  <c r="P33" i="208"/>
  <c r="O33" i="208"/>
  <c r="F39" i="129" l="1"/>
  <c r="H38" i="79"/>
  <c r="G38" i="79" s="1"/>
  <c r="C38" i="79" l="1"/>
  <c r="E38" i="79"/>
  <c r="D5" i="120"/>
  <c r="D6" i="120"/>
  <c r="D7" i="120"/>
  <c r="D8" i="120"/>
  <c r="D4" i="120"/>
  <c r="F5" i="241" l="1"/>
  <c r="F6" i="241"/>
  <c r="F7" i="241"/>
  <c r="F8" i="241"/>
  <c r="F9" i="241"/>
  <c r="H37" i="79"/>
  <c r="E37" i="79" s="1"/>
  <c r="F38" i="129"/>
  <c r="G37" i="79" l="1"/>
  <c r="C37" i="79"/>
  <c r="H15" i="282"/>
  <c r="D35" i="270" l="1"/>
  <c r="K36" i="212" l="1"/>
  <c r="B36" i="212"/>
  <c r="I36" i="212" s="1"/>
  <c r="D36" i="289"/>
  <c r="I36" i="289"/>
  <c r="K36" i="289" s="1"/>
  <c r="C37" i="212" l="1"/>
  <c r="L36" i="212"/>
  <c r="G36" i="212"/>
  <c r="E36" i="212"/>
  <c r="J36" i="289"/>
  <c r="L36" i="289"/>
  <c r="D11" i="357" l="1"/>
  <c r="F11" i="357"/>
  <c r="B32" i="54" l="1"/>
  <c r="G32" i="54"/>
  <c r="E32" i="209"/>
  <c r="F32" i="209"/>
  <c r="H32" i="209"/>
  <c r="K32" i="209" s="1"/>
  <c r="M32" i="209"/>
  <c r="N32" i="209"/>
  <c r="B30" i="209"/>
  <c r="R32" i="208"/>
  <c r="M32" i="208"/>
  <c r="Q32" i="208"/>
  <c r="F4" i="206"/>
  <c r="F5" i="206"/>
  <c r="F6" i="206"/>
  <c r="F7" i="206"/>
  <c r="F8" i="206"/>
  <c r="F9" i="206"/>
  <c r="F10" i="206"/>
  <c r="M4" i="206"/>
  <c r="M5" i="206"/>
  <c r="M6" i="206"/>
  <c r="M7" i="206"/>
  <c r="M8" i="206"/>
  <c r="M9" i="206"/>
  <c r="M10" i="206"/>
  <c r="L32" i="209" l="1"/>
  <c r="P32" i="208"/>
  <c r="O32" i="208"/>
  <c r="N32" i="208"/>
  <c r="J10" i="52" l="1"/>
  <c r="E5" i="271" l="1"/>
  <c r="E6" i="271"/>
  <c r="E7" i="271"/>
  <c r="E8" i="271"/>
  <c r="F5" i="271"/>
  <c r="F6" i="271"/>
  <c r="F7" i="271"/>
  <c r="F8" i="271"/>
  <c r="D31" i="209"/>
  <c r="B31" i="209" s="1"/>
  <c r="E31" i="209"/>
  <c r="F31" i="209"/>
  <c r="H31" i="209"/>
  <c r="K31" i="209" s="1"/>
  <c r="M31" i="209"/>
  <c r="N31" i="209"/>
  <c r="M26" i="208"/>
  <c r="M27" i="208"/>
  <c r="M28" i="208"/>
  <c r="M29" i="208"/>
  <c r="M30" i="208"/>
  <c r="M31" i="208"/>
  <c r="P31" i="208" s="1"/>
  <c r="R31" i="208"/>
  <c r="Q31" i="208"/>
  <c r="A15" i="286"/>
  <c r="A15" i="201" s="1"/>
  <c r="N31" i="208" l="1"/>
  <c r="L31" i="209"/>
  <c r="O31" i="208"/>
  <c r="B31" i="54"/>
  <c r="B30" i="54"/>
  <c r="G31" i="54"/>
  <c r="B35" i="212"/>
  <c r="L35" i="212" s="1"/>
  <c r="D35" i="289"/>
  <c r="I35" i="289"/>
  <c r="K35" i="289" s="1"/>
  <c r="G35" i="212" l="1"/>
  <c r="C36" i="212"/>
  <c r="K35" i="212"/>
  <c r="I35" i="212"/>
  <c r="E35" i="212"/>
  <c r="J35" i="289"/>
  <c r="L35" i="289"/>
  <c r="D5" i="224" l="1"/>
  <c r="D6" i="224"/>
  <c r="D7" i="224"/>
  <c r="D8" i="224"/>
  <c r="D9" i="224"/>
  <c r="D10" i="224"/>
  <c r="D11" i="224"/>
  <c r="D12" i="224"/>
  <c r="D4" i="224"/>
  <c r="D14" i="224" l="1"/>
  <c r="H36" i="79"/>
  <c r="E36" i="79" s="1"/>
  <c r="F37" i="129"/>
  <c r="D34" i="270"/>
  <c r="C36" i="79" l="1"/>
  <c r="G36" i="79"/>
  <c r="N16" i="205"/>
  <c r="E17" i="317"/>
  <c r="E6" i="317"/>
  <c r="H17" i="317"/>
  <c r="D17" i="317" l="1"/>
  <c r="C17" i="317" s="1"/>
  <c r="F5" i="364"/>
  <c r="F6" i="364"/>
  <c r="F7" i="364"/>
  <c r="F8" i="364"/>
  <c r="F9" i="364"/>
  <c r="F10" i="364"/>
  <c r="F11" i="364"/>
  <c r="F12" i="364"/>
  <c r="F13" i="364"/>
  <c r="F14" i="364"/>
  <c r="F15" i="364"/>
  <c r="F16" i="364"/>
  <c r="F17" i="364"/>
  <c r="F4" i="363"/>
  <c r="F5" i="363"/>
  <c r="F6" i="363"/>
  <c r="F7" i="363"/>
  <c r="F8" i="363"/>
  <c r="F9" i="363"/>
  <c r="F10" i="363"/>
  <c r="F11" i="363"/>
  <c r="F12" i="363"/>
  <c r="F13" i="363"/>
  <c r="F14" i="363"/>
  <c r="F15" i="363"/>
  <c r="F18" i="364" l="1"/>
  <c r="F16" i="363"/>
  <c r="K9" i="304"/>
  <c r="K8" i="304"/>
  <c r="K7" i="304"/>
  <c r="K6" i="304"/>
  <c r="K5" i="304"/>
  <c r="K4" i="304"/>
  <c r="I8" i="292"/>
  <c r="I7" i="292"/>
  <c r="I6" i="292"/>
  <c r="I5" i="292"/>
  <c r="I4" i="292"/>
  <c r="I3" i="292"/>
  <c r="G11" i="329"/>
  <c r="H11" i="329" s="1"/>
  <c r="E11" i="329"/>
  <c r="C11" i="329"/>
  <c r="B11" i="329"/>
  <c r="C10" i="322"/>
  <c r="B10" i="322"/>
  <c r="M17" i="322" s="1"/>
  <c r="D9" i="322"/>
  <c r="D8" i="322"/>
  <c r="D7" i="322"/>
  <c r="D6" i="322"/>
  <c r="D5" i="322"/>
  <c r="D4" i="322"/>
  <c r="M17" i="326"/>
  <c r="M16" i="326"/>
  <c r="C10" i="326"/>
  <c r="D10" i="326" s="1"/>
  <c r="B10" i="326"/>
  <c r="D9" i="326"/>
  <c r="D8" i="326"/>
  <c r="D7" i="326"/>
  <c r="D6" i="326"/>
  <c r="D5" i="326"/>
  <c r="D4" i="326"/>
  <c r="C8" i="170"/>
  <c r="C9" i="170" s="1"/>
  <c r="B8" i="170"/>
  <c r="B9" i="170" s="1"/>
  <c r="D7" i="170"/>
  <c r="D6" i="170"/>
  <c r="D5" i="170"/>
  <c r="D4" i="170"/>
  <c r="E6" i="171"/>
  <c r="D6" i="171"/>
  <c r="C6" i="171"/>
  <c r="B6" i="171"/>
  <c r="C16" i="91"/>
  <c r="D16" i="91" s="1"/>
  <c r="B16" i="91"/>
  <c r="C15" i="91"/>
  <c r="D15" i="91" s="1"/>
  <c r="C14" i="91"/>
  <c r="D14" i="91" s="1"/>
  <c r="C13" i="91"/>
  <c r="D13" i="91" s="1"/>
  <c r="C12" i="91"/>
  <c r="D12" i="91" s="1"/>
  <c r="C11" i="91"/>
  <c r="D11" i="91" s="1"/>
  <c r="C10" i="91"/>
  <c r="D10" i="91" s="1"/>
  <c r="C9" i="91"/>
  <c r="D9" i="91" s="1"/>
  <c r="C8" i="91"/>
  <c r="D8" i="91" s="1"/>
  <c r="C7" i="91"/>
  <c r="D7" i="91" s="1"/>
  <c r="C6" i="91"/>
  <c r="D6" i="91" s="1"/>
  <c r="C5" i="91"/>
  <c r="D5" i="91" s="1"/>
  <c r="B17" i="90"/>
  <c r="C17" i="90" s="1"/>
  <c r="C16" i="90"/>
  <c r="D16" i="90" s="1"/>
  <c r="C15" i="90"/>
  <c r="D15" i="90" s="1"/>
  <c r="C14" i="90"/>
  <c r="D14" i="90" s="1"/>
  <c r="C13" i="90"/>
  <c r="D13" i="90" s="1"/>
  <c r="C12" i="90"/>
  <c r="D12" i="90" s="1"/>
  <c r="C11" i="90"/>
  <c r="D11" i="90" s="1"/>
  <c r="C10" i="90"/>
  <c r="D10" i="90" s="1"/>
  <c r="C9" i="90"/>
  <c r="D9" i="90" s="1"/>
  <c r="C8" i="90"/>
  <c r="D8" i="90" s="1"/>
  <c r="C7" i="90"/>
  <c r="D7" i="90" s="1"/>
  <c r="C6" i="90"/>
  <c r="D6" i="90" s="1"/>
  <c r="C15" i="89"/>
  <c r="C14" i="89"/>
  <c r="C13" i="89"/>
  <c r="C12" i="89"/>
  <c r="C11" i="89"/>
  <c r="C10" i="89"/>
  <c r="C9" i="89"/>
  <c r="O8" i="89"/>
  <c r="P8" i="89" s="1"/>
  <c r="N8" i="89"/>
  <c r="C8" i="89"/>
  <c r="C7" i="89"/>
  <c r="N6" i="89"/>
  <c r="C6" i="89"/>
  <c r="C5" i="89"/>
  <c r="E15" i="88"/>
  <c r="D15" i="88"/>
  <c r="E14" i="88"/>
  <c r="D14" i="88"/>
  <c r="E13" i="88"/>
  <c r="D13" i="88"/>
  <c r="E12" i="88"/>
  <c r="D12" i="88"/>
  <c r="E11" i="88"/>
  <c r="D11" i="88"/>
  <c r="E10" i="88"/>
  <c r="D10" i="88"/>
  <c r="E9" i="88"/>
  <c r="D9" i="88"/>
  <c r="E8" i="88"/>
  <c r="D8" i="88"/>
  <c r="E7" i="88"/>
  <c r="D7" i="88"/>
  <c r="E6" i="88"/>
  <c r="D6" i="88"/>
  <c r="E5" i="88"/>
  <c r="D5" i="88"/>
  <c r="B16" i="87"/>
  <c r="B16" i="86"/>
  <c r="L15" i="85"/>
  <c r="J15" i="85"/>
  <c r="K15" i="85" s="1"/>
  <c r="H15" i="85"/>
  <c r="I15" i="85" s="1"/>
  <c r="G15" i="85"/>
  <c r="F15" i="85"/>
  <c r="E15" i="85"/>
  <c r="D15" i="85"/>
  <c r="B15" i="85"/>
  <c r="C15" i="85" s="1"/>
  <c r="K14" i="85"/>
  <c r="I14" i="85"/>
  <c r="G14" i="85"/>
  <c r="E14" i="85"/>
  <c r="C14" i="85"/>
  <c r="K13" i="85"/>
  <c r="I13" i="85"/>
  <c r="G13" i="85"/>
  <c r="E13" i="85"/>
  <c r="C13" i="85"/>
  <c r="K12" i="85"/>
  <c r="I12" i="85"/>
  <c r="G12" i="85"/>
  <c r="E12" i="85"/>
  <c r="C12" i="85"/>
  <c r="K11" i="85"/>
  <c r="I11" i="85"/>
  <c r="G11" i="85"/>
  <c r="E11" i="85"/>
  <c r="C11" i="85"/>
  <c r="K10" i="85"/>
  <c r="I10" i="85"/>
  <c r="G10" i="85"/>
  <c r="E10" i="85"/>
  <c r="C10" i="85"/>
  <c r="K9" i="85"/>
  <c r="I9" i="85"/>
  <c r="G9" i="85"/>
  <c r="E9" i="85"/>
  <c r="C9" i="85"/>
  <c r="K8" i="85"/>
  <c r="I8" i="85"/>
  <c r="G8" i="85"/>
  <c r="E8" i="85"/>
  <c r="C8" i="85"/>
  <c r="K7" i="85"/>
  <c r="I7" i="85"/>
  <c r="G7" i="85"/>
  <c r="E7" i="85"/>
  <c r="C7" i="85"/>
  <c r="K6" i="85"/>
  <c r="I6" i="85"/>
  <c r="G6" i="85"/>
  <c r="E6" i="85"/>
  <c r="C6" i="85"/>
  <c r="K5" i="85"/>
  <c r="I5" i="85"/>
  <c r="G5" i="85"/>
  <c r="E5" i="85"/>
  <c r="C5" i="85"/>
  <c r="K4" i="85"/>
  <c r="I4" i="85"/>
  <c r="G4" i="85"/>
  <c r="E4" i="85"/>
  <c r="C4" i="85"/>
  <c r="G10" i="242"/>
  <c r="F10" i="242"/>
  <c r="E10" i="242"/>
  <c r="D10" i="242"/>
  <c r="C10" i="242"/>
  <c r="B10" i="242"/>
  <c r="H9" i="242"/>
  <c r="L9" i="242" s="1"/>
  <c r="H8" i="242"/>
  <c r="M8" i="242" s="1"/>
  <c r="H7" i="242"/>
  <c r="L7" i="242" s="1"/>
  <c r="H6" i="242"/>
  <c r="K6" i="242" s="1"/>
  <c r="H5" i="242"/>
  <c r="N5" i="242" s="1"/>
  <c r="H4" i="242"/>
  <c r="M4" i="242" s="1"/>
  <c r="E10" i="241"/>
  <c r="D10" i="241"/>
  <c r="C10" i="241"/>
  <c r="J8" i="241"/>
  <c r="I8" i="241"/>
  <c r="H8" i="241"/>
  <c r="G8" i="241"/>
  <c r="J7" i="241"/>
  <c r="I7" i="241"/>
  <c r="H7" i="241"/>
  <c r="G7" i="241"/>
  <c r="J6" i="241"/>
  <c r="I6" i="241"/>
  <c r="H6" i="241"/>
  <c r="G6" i="241"/>
  <c r="J5" i="241"/>
  <c r="I5" i="241"/>
  <c r="H5" i="241"/>
  <c r="G5" i="241"/>
  <c r="F4" i="241"/>
  <c r="I4" i="241" s="1"/>
  <c r="F9" i="214"/>
  <c r="F8" i="214"/>
  <c r="H8" i="214" s="1"/>
  <c r="F7" i="214"/>
  <c r="I7" i="214" s="1"/>
  <c r="F6" i="214"/>
  <c r="J6" i="214" s="1"/>
  <c r="F5" i="214"/>
  <c r="G5" i="214" s="1"/>
  <c r="F4" i="214"/>
  <c r="C10" i="240"/>
  <c r="D9" i="240"/>
  <c r="F9" i="240" s="1"/>
  <c r="D8" i="240"/>
  <c r="F8" i="240" s="1"/>
  <c r="D7" i="240"/>
  <c r="E7" i="240" s="1"/>
  <c r="D6" i="240"/>
  <c r="F6" i="240" s="1"/>
  <c r="D5" i="240"/>
  <c r="E5" i="240" s="1"/>
  <c r="D4" i="240"/>
  <c r="F4" i="240" s="1"/>
  <c r="C11" i="239"/>
  <c r="B11" i="239"/>
  <c r="D10" i="239"/>
  <c r="D9" i="239"/>
  <c r="F9" i="239" s="1"/>
  <c r="D8" i="239"/>
  <c r="E8" i="239" s="1"/>
  <c r="D7" i="239"/>
  <c r="F7" i="239" s="1"/>
  <c r="D6" i="239"/>
  <c r="F6" i="239" s="1"/>
  <c r="D5" i="239"/>
  <c r="F5" i="239" s="1"/>
  <c r="D4" i="239"/>
  <c r="E4" i="239" s="1"/>
  <c r="B10" i="238"/>
  <c r="C7" i="238" s="1"/>
  <c r="AC15" i="237"/>
  <c r="AC14" i="237"/>
  <c r="AC13" i="237"/>
  <c r="F7" i="237" s="1"/>
  <c r="AC12" i="237"/>
  <c r="AC11" i="237"/>
  <c r="AC10" i="237"/>
  <c r="C7" i="237" s="1"/>
  <c r="AC9" i="237"/>
  <c r="I8" i="237"/>
  <c r="B8" i="237"/>
  <c r="H7" i="237"/>
  <c r="H8" i="237" s="1"/>
  <c r="G7" i="237"/>
  <c r="E7" i="237"/>
  <c r="D7" i="237"/>
  <c r="P6" i="237"/>
  <c r="O6" i="237"/>
  <c r="N6" i="237"/>
  <c r="M6" i="237"/>
  <c r="L6" i="237"/>
  <c r="J6" i="237"/>
  <c r="K6" i="237" s="1"/>
  <c r="Q5" i="237"/>
  <c r="P5" i="237"/>
  <c r="O5" i="237"/>
  <c r="N5" i="237"/>
  <c r="M5" i="237"/>
  <c r="L5" i="237"/>
  <c r="K5" i="237"/>
  <c r="J5" i="237"/>
  <c r="R5" i="237" s="1"/>
  <c r="R4" i="237"/>
  <c r="Q4" i="237"/>
  <c r="J4" i="237"/>
  <c r="D13" i="236"/>
  <c r="C13" i="236"/>
  <c r="B13" i="236"/>
  <c r="F12" i="236"/>
  <c r="F13" i="236" s="1"/>
  <c r="E12" i="236"/>
  <c r="E13" i="236" s="1"/>
  <c r="H11" i="236"/>
  <c r="H10" i="236"/>
  <c r="H9" i="236"/>
  <c r="H8" i="236"/>
  <c r="H7" i="236"/>
  <c r="H6" i="236"/>
  <c r="H5" i="236"/>
  <c r="H4" i="236"/>
  <c r="F11" i="235"/>
  <c r="F12" i="235" s="1"/>
  <c r="E11" i="235"/>
  <c r="E12" i="235" s="1"/>
  <c r="H10" i="235"/>
  <c r="H9" i="235"/>
  <c r="H8" i="235"/>
  <c r="H7" i="235"/>
  <c r="H6" i="235"/>
  <c r="H5" i="235"/>
  <c r="F12" i="234"/>
  <c r="F13" i="234" s="1"/>
  <c r="E12" i="234"/>
  <c r="H11" i="234"/>
  <c r="H10" i="234"/>
  <c r="H9" i="234"/>
  <c r="H8" i="234"/>
  <c r="H7" i="234"/>
  <c r="H6" i="234"/>
  <c r="H5" i="234"/>
  <c r="F10" i="233"/>
  <c r="E10" i="233"/>
  <c r="D10" i="233"/>
  <c r="C10" i="233"/>
  <c r="B10" i="233"/>
  <c r="H9" i="233"/>
  <c r="L9" i="233" s="1"/>
  <c r="G8" i="233"/>
  <c r="G10" i="233" s="1"/>
  <c r="H7" i="233"/>
  <c r="M7" i="233" s="1"/>
  <c r="H6" i="233"/>
  <c r="L6" i="233" s="1"/>
  <c r="H5" i="233"/>
  <c r="K5" i="233" s="1"/>
  <c r="H4" i="233"/>
  <c r="F10" i="232"/>
  <c r="E10" i="232"/>
  <c r="D10" i="232"/>
  <c r="C10" i="232"/>
  <c r="B10" i="232"/>
  <c r="H9" i="232"/>
  <c r="G8" i="232"/>
  <c r="G7" i="232"/>
  <c r="H6" i="232"/>
  <c r="N6" i="232" s="1"/>
  <c r="H5" i="232"/>
  <c r="M5" i="232" s="1"/>
  <c r="H4" i="232"/>
  <c r="L4" i="232" s="1"/>
  <c r="F9" i="231"/>
  <c r="I9" i="231" s="1"/>
  <c r="F8" i="231"/>
  <c r="I8" i="231" s="1"/>
  <c r="F7" i="231"/>
  <c r="J7" i="231" s="1"/>
  <c r="F6" i="231"/>
  <c r="G6" i="231" s="1"/>
  <c r="F5" i="231"/>
  <c r="H5" i="231" s="1"/>
  <c r="F4" i="231"/>
  <c r="C10" i="229"/>
  <c r="B10" i="229"/>
  <c r="D9" i="229"/>
  <c r="D8" i="229"/>
  <c r="F8" i="229" s="1"/>
  <c r="F7" i="229"/>
  <c r="E7" i="229"/>
  <c r="D7" i="229"/>
  <c r="D6" i="229"/>
  <c r="F6" i="229" s="1"/>
  <c r="F5" i="229"/>
  <c r="D5" i="229"/>
  <c r="E5" i="229" s="1"/>
  <c r="F4" i="229"/>
  <c r="E4" i="229"/>
  <c r="D4" i="229"/>
  <c r="B10" i="230"/>
  <c r="B7" i="230"/>
  <c r="D6" i="230"/>
  <c r="D5" i="230"/>
  <c r="D4" i="230"/>
  <c r="N8" i="227"/>
  <c r="M8" i="227"/>
  <c r="L8" i="227"/>
  <c r="K8" i="227"/>
  <c r="J8" i="227"/>
  <c r="G8" i="227"/>
  <c r="F8" i="227"/>
  <c r="T8" i="227" s="1"/>
  <c r="E8" i="227"/>
  <c r="S8" i="227" s="1"/>
  <c r="D8" i="227"/>
  <c r="R8" i="227" s="1"/>
  <c r="C8" i="227"/>
  <c r="B8" i="227"/>
  <c r="O7" i="227"/>
  <c r="G7" i="227"/>
  <c r="G10" i="227" s="1"/>
  <c r="F7" i="227"/>
  <c r="F10" i="227" s="1"/>
  <c r="E7" i="227"/>
  <c r="S7" i="227" s="1"/>
  <c r="D7" i="227"/>
  <c r="C7" i="227"/>
  <c r="Q7" i="227" s="1"/>
  <c r="B7" i="227"/>
  <c r="B10" i="227" s="1"/>
  <c r="U6" i="227"/>
  <c r="T6" i="227"/>
  <c r="S6" i="227"/>
  <c r="R6" i="227"/>
  <c r="Q6" i="227"/>
  <c r="P6" i="227"/>
  <c r="O6" i="227"/>
  <c r="H6" i="227"/>
  <c r="U5" i="227"/>
  <c r="T5" i="227"/>
  <c r="S5" i="227"/>
  <c r="R5" i="227"/>
  <c r="Q5" i="227"/>
  <c r="P5" i="227"/>
  <c r="O5" i="227"/>
  <c r="H5" i="227"/>
  <c r="U4" i="227"/>
  <c r="T4" i="227"/>
  <c r="S4" i="227"/>
  <c r="R4" i="227"/>
  <c r="Q4" i="227"/>
  <c r="P4" i="227"/>
  <c r="O4" i="227"/>
  <c r="H4" i="227"/>
  <c r="G15" i="226"/>
  <c r="F15" i="226"/>
  <c r="E15" i="226"/>
  <c r="D15" i="226"/>
  <c r="C15" i="226"/>
  <c r="B15" i="226"/>
  <c r="K14" i="226"/>
  <c r="N13" i="226"/>
  <c r="N12" i="226"/>
  <c r="M11" i="226"/>
  <c r="L10" i="226"/>
  <c r="N9" i="226"/>
  <c r="N8" i="226"/>
  <c r="L7" i="226"/>
  <c r="L6" i="226"/>
  <c r="L5" i="226"/>
  <c r="N4" i="226"/>
  <c r="C9" i="225"/>
  <c r="B9" i="225"/>
  <c r="H8" i="225"/>
  <c r="I8" i="225" s="1"/>
  <c r="I7" i="225"/>
  <c r="C7" i="225"/>
  <c r="B7" i="225"/>
  <c r="K6" i="225"/>
  <c r="J6" i="225"/>
  <c r="F6" i="225"/>
  <c r="D6" i="225"/>
  <c r="E6" i="225" s="1"/>
  <c r="K5" i="225"/>
  <c r="J5" i="225"/>
  <c r="I5" i="225"/>
  <c r="D5" i="225"/>
  <c r="K4" i="225"/>
  <c r="J4" i="225"/>
  <c r="I4" i="225"/>
  <c r="F4" i="225"/>
  <c r="D4" i="225"/>
  <c r="E4" i="225" s="1"/>
  <c r="G8" i="223"/>
  <c r="I8" i="223" s="1"/>
  <c r="C8" i="223"/>
  <c r="K8" i="223" s="1"/>
  <c r="B8" i="223"/>
  <c r="J8" i="223" s="1"/>
  <c r="I7" i="223"/>
  <c r="C7" i="223"/>
  <c r="B7" i="223"/>
  <c r="K6" i="223"/>
  <c r="J6" i="223"/>
  <c r="I6" i="223"/>
  <c r="F6" i="223"/>
  <c r="D6" i="223"/>
  <c r="E6" i="223" s="1"/>
  <c r="K5" i="223"/>
  <c r="J5" i="223"/>
  <c r="I5" i="223"/>
  <c r="D5" i="223"/>
  <c r="K4" i="223"/>
  <c r="J4" i="223"/>
  <c r="I4" i="223"/>
  <c r="D4" i="223"/>
  <c r="F4" i="223" s="1"/>
  <c r="G14" i="228"/>
  <c r="K14" i="228" s="1"/>
  <c r="F13" i="228"/>
  <c r="F15" i="228" s="1"/>
  <c r="G12" i="228"/>
  <c r="K12" i="228" s="1"/>
  <c r="G11" i="228"/>
  <c r="I11" i="228" s="1"/>
  <c r="G10" i="228"/>
  <c r="K10" i="228" s="1"/>
  <c r="G9" i="228"/>
  <c r="I9" i="228" s="1"/>
  <c r="G8" i="228"/>
  <c r="K8" i="228" s="1"/>
  <c r="G7" i="228"/>
  <c r="I7" i="228" s="1"/>
  <c r="G6" i="228"/>
  <c r="K6" i="228" s="1"/>
  <c r="G5" i="228"/>
  <c r="G4" i="228"/>
  <c r="K4" i="228" s="1"/>
  <c r="E14" i="224"/>
  <c r="F14" i="224"/>
  <c r="C13" i="224"/>
  <c r="B13" i="224"/>
  <c r="B15" i="224" s="1"/>
  <c r="F12" i="224"/>
  <c r="E12" i="224"/>
  <c r="F11" i="224"/>
  <c r="E11" i="224"/>
  <c r="F10" i="224"/>
  <c r="E10" i="224"/>
  <c r="F9" i="224"/>
  <c r="E9" i="224"/>
  <c r="F8" i="224"/>
  <c r="E8" i="224"/>
  <c r="F7" i="224"/>
  <c r="E7" i="224"/>
  <c r="F6" i="224"/>
  <c r="E6" i="224"/>
  <c r="F5" i="224"/>
  <c r="E5" i="224"/>
  <c r="F4" i="224"/>
  <c r="E4" i="224"/>
  <c r="E14" i="222"/>
  <c r="E13" i="222"/>
  <c r="F13" i="222" s="1"/>
  <c r="E12" i="222"/>
  <c r="G12" i="222" s="1"/>
  <c r="E11" i="222"/>
  <c r="G11" i="222" s="1"/>
  <c r="E10" i="222"/>
  <c r="G10" i="222" s="1"/>
  <c r="E9" i="222"/>
  <c r="F9" i="222" s="1"/>
  <c r="E8" i="222"/>
  <c r="G8" i="222" s="1"/>
  <c r="E7" i="222"/>
  <c r="G7" i="222" s="1"/>
  <c r="E6" i="222"/>
  <c r="G6" i="222" s="1"/>
  <c r="E5" i="222"/>
  <c r="E4" i="222"/>
  <c r="F4" i="222" s="1"/>
  <c r="J12" i="221"/>
  <c r="I12" i="221"/>
  <c r="H12" i="221"/>
  <c r="G12" i="221"/>
  <c r="F12" i="221"/>
  <c r="E12" i="221"/>
  <c r="D12" i="221"/>
  <c r="C12" i="221"/>
  <c r="B12" i="221"/>
  <c r="K11" i="221"/>
  <c r="K10" i="221"/>
  <c r="K9" i="221"/>
  <c r="Z8" i="221"/>
  <c r="K8" i="221"/>
  <c r="Z7" i="221"/>
  <c r="K7" i="221"/>
  <c r="Z6" i="221"/>
  <c r="K6" i="221"/>
  <c r="Z5" i="221"/>
  <c r="K5" i="221"/>
  <c r="Z4" i="221"/>
  <c r="K4" i="221"/>
  <c r="Z3" i="221"/>
  <c r="K3" i="221"/>
  <c r="Z2" i="221"/>
  <c r="K22" i="220"/>
  <c r="J22" i="220"/>
  <c r="I22" i="220"/>
  <c r="H22" i="220"/>
  <c r="G22" i="220"/>
  <c r="F22" i="220"/>
  <c r="E22" i="220"/>
  <c r="D22" i="220"/>
  <c r="C22" i="220"/>
  <c r="B22" i="220"/>
  <c r="L21" i="220"/>
  <c r="L20" i="220"/>
  <c r="L19" i="220"/>
  <c r="L18" i="220"/>
  <c r="L17" i="220"/>
  <c r="L16" i="220"/>
  <c r="L15" i="220"/>
  <c r="L14" i="220"/>
  <c r="L13" i="220"/>
  <c r="L12" i="220"/>
  <c r="L11" i="220"/>
  <c r="L10" i="220"/>
  <c r="L9" i="220"/>
  <c r="L8" i="220"/>
  <c r="L7" i="220"/>
  <c r="L6" i="220"/>
  <c r="L5" i="220"/>
  <c r="L4" i="220"/>
  <c r="F14" i="219"/>
  <c r="H13" i="219"/>
  <c r="G13" i="219"/>
  <c r="F13" i="219"/>
  <c r="E12" i="219"/>
  <c r="F12" i="219" s="1"/>
  <c r="E11" i="219"/>
  <c r="F11" i="219" s="1"/>
  <c r="E10" i="219"/>
  <c r="F10" i="219" s="1"/>
  <c r="E9" i="219"/>
  <c r="F9" i="219" s="1"/>
  <c r="E8" i="219"/>
  <c r="F8" i="219" s="1"/>
  <c r="E7" i="219"/>
  <c r="F7" i="219" s="1"/>
  <c r="E6" i="219"/>
  <c r="F6" i="219" s="1"/>
  <c r="E5" i="219"/>
  <c r="E4" i="219"/>
  <c r="F4" i="219" s="1"/>
  <c r="K36" i="218"/>
  <c r="J36" i="218"/>
  <c r="I36" i="218"/>
  <c r="H36" i="218"/>
  <c r="G36" i="218"/>
  <c r="F36" i="218"/>
  <c r="E36" i="218"/>
  <c r="D36" i="218"/>
  <c r="C36" i="218"/>
  <c r="B36" i="218"/>
  <c r="K13" i="217"/>
  <c r="S13" i="217" s="1"/>
  <c r="K12" i="217"/>
  <c r="Q12" i="217" s="1"/>
  <c r="K11" i="217"/>
  <c r="S11" i="217" s="1"/>
  <c r="K10" i="217"/>
  <c r="Q10" i="217" s="1"/>
  <c r="K9" i="217"/>
  <c r="S9" i="217" s="1"/>
  <c r="K8" i="217"/>
  <c r="Q8" i="217" s="1"/>
  <c r="K7" i="217"/>
  <c r="S7" i="217" s="1"/>
  <c r="K6" i="217"/>
  <c r="Q6" i="217" s="1"/>
  <c r="K5" i="217"/>
  <c r="K4" i="217"/>
  <c r="Q4" i="217" s="1"/>
  <c r="E13" i="216"/>
  <c r="D13" i="216"/>
  <c r="E11" i="216"/>
  <c r="D11" i="216"/>
  <c r="E10" i="216"/>
  <c r="D10" i="216"/>
  <c r="E9" i="216"/>
  <c r="D9" i="216"/>
  <c r="E8" i="216"/>
  <c r="D8" i="216"/>
  <c r="E7" i="216"/>
  <c r="D7" i="216"/>
  <c r="E6" i="216"/>
  <c r="D6" i="216"/>
  <c r="E5" i="216"/>
  <c r="D5" i="216"/>
  <c r="E4" i="216"/>
  <c r="D4" i="216"/>
  <c r="D14" i="215"/>
  <c r="D13" i="215"/>
  <c r="F12" i="215"/>
  <c r="D12" i="215"/>
  <c r="F11" i="215"/>
  <c r="E11" i="215"/>
  <c r="F10" i="215"/>
  <c r="E10" i="215"/>
  <c r="F9" i="215"/>
  <c r="E9" i="215"/>
  <c r="F8" i="215"/>
  <c r="E8" i="215"/>
  <c r="F7" i="215"/>
  <c r="E7" i="215"/>
  <c r="F6" i="215"/>
  <c r="E6" i="215"/>
  <c r="F5" i="215"/>
  <c r="E5" i="215"/>
  <c r="F4" i="215"/>
  <c r="E4" i="215"/>
  <c r="H35" i="79"/>
  <c r="H34" i="79"/>
  <c r="G34" i="79"/>
  <c r="E34" i="79"/>
  <c r="C34" i="79"/>
  <c r="H33" i="79"/>
  <c r="H32" i="79"/>
  <c r="G32" i="79"/>
  <c r="H31" i="79"/>
  <c r="H30" i="79"/>
  <c r="G30" i="79" s="1"/>
  <c r="H29" i="79"/>
  <c r="H28" i="79"/>
  <c r="C28" i="79" s="1"/>
  <c r="H27" i="79"/>
  <c r="H26" i="79"/>
  <c r="H25" i="79"/>
  <c r="H24" i="79"/>
  <c r="H23" i="79"/>
  <c r="C23" i="79" s="1"/>
  <c r="H22" i="79"/>
  <c r="H21" i="79"/>
  <c r="H20" i="79"/>
  <c r="H19" i="79"/>
  <c r="H18" i="79"/>
  <c r="H17" i="79"/>
  <c r="G17" i="79"/>
  <c r="E17" i="79"/>
  <c r="C17" i="79"/>
  <c r="H16" i="79"/>
  <c r="H15" i="79"/>
  <c r="H14" i="79"/>
  <c r="H13" i="79"/>
  <c r="G13" i="79"/>
  <c r="E13" i="79"/>
  <c r="C13" i="79"/>
  <c r="H12" i="79"/>
  <c r="H11" i="79"/>
  <c r="G11" i="79" s="1"/>
  <c r="E11" i="79"/>
  <c r="C11" i="79"/>
  <c r="H10" i="79"/>
  <c r="H9" i="79"/>
  <c r="E9" i="79" s="1"/>
  <c r="H8" i="79"/>
  <c r="H7" i="79"/>
  <c r="G7" i="79"/>
  <c r="E7" i="79"/>
  <c r="C7" i="79"/>
  <c r="H6" i="79"/>
  <c r="H5" i="79"/>
  <c r="H15" i="78"/>
  <c r="H14" i="78"/>
  <c r="G14" i="78" s="1"/>
  <c r="C14" i="78"/>
  <c r="H13" i="78"/>
  <c r="H12" i="78"/>
  <c r="G12" i="78" s="1"/>
  <c r="C12" i="78"/>
  <c r="H11" i="78"/>
  <c r="G11" i="78"/>
  <c r="E11" i="78"/>
  <c r="C11" i="78"/>
  <c r="F10" i="78"/>
  <c r="F16" i="78" s="1"/>
  <c r="D10" i="78"/>
  <c r="D16" i="78" s="1"/>
  <c r="B10" i="78"/>
  <c r="B16" i="78" s="1"/>
  <c r="H9" i="78"/>
  <c r="G9" i="78" s="1"/>
  <c r="C9" i="78"/>
  <c r="H8" i="78"/>
  <c r="H7" i="78"/>
  <c r="G7" i="78" s="1"/>
  <c r="C7" i="78"/>
  <c r="H6" i="78"/>
  <c r="H5" i="78"/>
  <c r="E5" i="78"/>
  <c r="F36" i="129"/>
  <c r="F35" i="129"/>
  <c r="F34" i="129"/>
  <c r="F33" i="129"/>
  <c r="F32" i="129"/>
  <c r="F31" i="129"/>
  <c r="F30" i="129"/>
  <c r="F29" i="129"/>
  <c r="E29" i="129"/>
  <c r="D29" i="129"/>
  <c r="C29" i="129"/>
  <c r="F28" i="129"/>
  <c r="P16" i="129" s="1"/>
  <c r="F27" i="129"/>
  <c r="F26" i="129"/>
  <c r="F25" i="129"/>
  <c r="F24" i="129"/>
  <c r="F23" i="129"/>
  <c r="F22" i="129"/>
  <c r="P21" i="129"/>
  <c r="F21" i="129"/>
  <c r="P20" i="129"/>
  <c r="F20" i="129"/>
  <c r="F19" i="129"/>
  <c r="F18" i="129"/>
  <c r="F17" i="129"/>
  <c r="F16" i="129"/>
  <c r="P15" i="129"/>
  <c r="F15" i="129"/>
  <c r="F14" i="129"/>
  <c r="F13" i="129"/>
  <c r="F12" i="129"/>
  <c r="F11" i="129"/>
  <c r="F10" i="129"/>
  <c r="F9" i="129"/>
  <c r="O8" i="129"/>
  <c r="F8" i="129"/>
  <c r="F7" i="129"/>
  <c r="F6" i="129"/>
  <c r="E20" i="76"/>
  <c r="H9" i="225" s="1"/>
  <c r="C20" i="76"/>
  <c r="G9" i="225" s="1"/>
  <c r="B19" i="76"/>
  <c r="D19" i="76" s="1"/>
  <c r="B18" i="76"/>
  <c r="F19" i="76" s="1"/>
  <c r="B17" i="76"/>
  <c r="D17" i="76" s="1"/>
  <c r="B16" i="76"/>
  <c r="F17" i="76" s="1"/>
  <c r="B15" i="76"/>
  <c r="D15" i="76" s="1"/>
  <c r="B14" i="76"/>
  <c r="B13" i="76"/>
  <c r="D13" i="76" s="1"/>
  <c r="B12" i="76"/>
  <c r="D12" i="76" s="1"/>
  <c r="B11" i="76"/>
  <c r="D11" i="76" s="1"/>
  <c r="B10" i="76"/>
  <c r="D10" i="76" s="1"/>
  <c r="B9" i="76"/>
  <c r="F10" i="76" s="1"/>
  <c r="B8" i="76"/>
  <c r="F9" i="76" s="1"/>
  <c r="B7" i="76"/>
  <c r="F8" i="76" s="1"/>
  <c r="B6" i="76"/>
  <c r="B5" i="76"/>
  <c r="C10" i="75"/>
  <c r="F9" i="75"/>
  <c r="E9" i="75"/>
  <c r="C9" i="75"/>
  <c r="F8" i="75"/>
  <c r="E8" i="75"/>
  <c r="C8" i="75"/>
  <c r="F7" i="75"/>
  <c r="E7" i="75"/>
  <c r="C7" i="75"/>
  <c r="F6" i="75"/>
  <c r="E6" i="75"/>
  <c r="C6" i="75"/>
  <c r="F5" i="75"/>
  <c r="E5" i="75"/>
  <c r="C5" i="75"/>
  <c r="F4" i="75"/>
  <c r="B15" i="335"/>
  <c r="D15" i="335" s="1"/>
  <c r="D14" i="335"/>
  <c r="D13" i="335"/>
  <c r="D12" i="335"/>
  <c r="D11" i="335"/>
  <c r="D10" i="335"/>
  <c r="D9" i="335"/>
  <c r="D8" i="335"/>
  <c r="D7" i="335"/>
  <c r="D6" i="335"/>
  <c r="D5" i="335"/>
  <c r="C85" i="354"/>
  <c r="C84" i="354"/>
  <c r="D83" i="354"/>
  <c r="C82" i="354"/>
  <c r="C80" i="354"/>
  <c r="D79" i="354"/>
  <c r="C78" i="354"/>
  <c r="D77" i="354"/>
  <c r="C76" i="354"/>
  <c r="C75" i="354"/>
  <c r="D74" i="354"/>
  <c r="D73" i="354"/>
  <c r="D72" i="354"/>
  <c r="C71" i="354"/>
  <c r="C69" i="354"/>
  <c r="C67" i="354"/>
  <c r="D68" i="354" s="1"/>
  <c r="D66" i="354"/>
  <c r="C64" i="354"/>
  <c r="D65" i="354" s="1"/>
  <c r="C62" i="354"/>
  <c r="C58" i="354"/>
  <c r="D57" i="354"/>
  <c r="D56" i="354"/>
  <c r="C55" i="354"/>
  <c r="C52" i="354"/>
  <c r="C50" i="354"/>
  <c r="C47" i="354"/>
  <c r="C45" i="354"/>
  <c r="D44" i="354"/>
  <c r="C43" i="354"/>
  <c r="C41" i="354"/>
  <c r="D42" i="354" s="1"/>
  <c r="D40" i="354"/>
  <c r="C39" i="354"/>
  <c r="C36" i="354"/>
  <c r="D35" i="354"/>
  <c r="D34" i="354"/>
  <c r="C33" i="354"/>
  <c r="C31" i="354"/>
  <c r="D32" i="354" s="1"/>
  <c r="C29" i="354"/>
  <c r="D28" i="354"/>
  <c r="C27" i="354"/>
  <c r="C25" i="354"/>
  <c r="D24" i="354"/>
  <c r="C23" i="354"/>
  <c r="D22" i="354"/>
  <c r="C20" i="354"/>
  <c r="D21" i="354" s="1"/>
  <c r="C18" i="354"/>
  <c r="C13" i="354"/>
  <c r="D11" i="354"/>
  <c r="C10" i="354"/>
  <c r="C9" i="354"/>
  <c r="B13" i="303"/>
  <c r="B12" i="316"/>
  <c r="C10" i="316" s="1"/>
  <c r="E15" i="283"/>
  <c r="C15" i="283"/>
  <c r="E14" i="283"/>
  <c r="C14" i="283"/>
  <c r="B14" i="283"/>
  <c r="E13" i="283"/>
  <c r="C13" i="283"/>
  <c r="E12" i="283"/>
  <c r="C12" i="283"/>
  <c r="E11" i="283"/>
  <c r="C11" i="283"/>
  <c r="E10" i="283"/>
  <c r="C10" i="283"/>
  <c r="E9" i="283"/>
  <c r="C9" i="283"/>
  <c r="E8" i="283"/>
  <c r="C8" i="283"/>
  <c r="E7" i="283"/>
  <c r="C7" i="283"/>
  <c r="E6" i="283"/>
  <c r="C6" i="283"/>
  <c r="E5" i="283"/>
  <c r="C5" i="283"/>
  <c r="E4" i="283"/>
  <c r="C16" i="306"/>
  <c r="B16" i="306"/>
  <c r="D15" i="306"/>
  <c r="D14" i="306"/>
  <c r="D13" i="306"/>
  <c r="D12" i="306"/>
  <c r="D11" i="306"/>
  <c r="D10" i="306"/>
  <c r="D9" i="306"/>
  <c r="D16" i="306" s="1"/>
  <c r="D8" i="306"/>
  <c r="M15" i="293"/>
  <c r="L15" i="293"/>
  <c r="G15" i="293"/>
  <c r="J15" i="293" s="1"/>
  <c r="F15" i="293"/>
  <c r="M14" i="293"/>
  <c r="L14" i="293"/>
  <c r="G14" i="293"/>
  <c r="K14" i="293" s="1"/>
  <c r="B14" i="293"/>
  <c r="F14" i="293" s="1"/>
  <c r="M13" i="293"/>
  <c r="L13" i="293"/>
  <c r="G13" i="293"/>
  <c r="J13" i="293" s="1"/>
  <c r="F13" i="293"/>
  <c r="E13" i="293"/>
  <c r="B13" i="293"/>
  <c r="M12" i="293"/>
  <c r="L12" i="293"/>
  <c r="G12" i="293"/>
  <c r="J12" i="293" s="1"/>
  <c r="F12" i="293"/>
  <c r="B12" i="293"/>
  <c r="E12" i="293" s="1"/>
  <c r="M11" i="293"/>
  <c r="L11" i="293"/>
  <c r="K11" i="293"/>
  <c r="J11" i="293"/>
  <c r="F11" i="293"/>
  <c r="E11" i="293"/>
  <c r="B11" i="293"/>
  <c r="M10" i="293"/>
  <c r="L10" i="293"/>
  <c r="K10" i="293"/>
  <c r="J10" i="293"/>
  <c r="E10" i="293"/>
  <c r="B10" i="293"/>
  <c r="F10" i="293" s="1"/>
  <c r="M9" i="293"/>
  <c r="L9" i="293"/>
  <c r="K9" i="293"/>
  <c r="J9" i="293"/>
  <c r="B9" i="293"/>
  <c r="M8" i="293"/>
  <c r="L8" i="293"/>
  <c r="K8" i="293"/>
  <c r="J8" i="293"/>
  <c r="B8" i="293"/>
  <c r="F8" i="293" s="1"/>
  <c r="M7" i="293"/>
  <c r="L7" i="293"/>
  <c r="K7" i="293"/>
  <c r="J7" i="293"/>
  <c r="F7" i="293"/>
  <c r="B7" i="293"/>
  <c r="E7" i="293" s="1"/>
  <c r="M6" i="293"/>
  <c r="L6" i="293"/>
  <c r="K6" i="293"/>
  <c r="J6" i="293"/>
  <c r="F6" i="293"/>
  <c r="E6" i="293"/>
  <c r="B6" i="293"/>
  <c r="M5" i="293"/>
  <c r="L5" i="293"/>
  <c r="K5" i="293"/>
  <c r="J5" i="293"/>
  <c r="B5" i="293"/>
  <c r="F5" i="293" s="1"/>
  <c r="M4" i="293"/>
  <c r="L4" i="293"/>
  <c r="K4" i="293"/>
  <c r="J4" i="293"/>
  <c r="B4" i="293"/>
  <c r="E16" i="282"/>
  <c r="G15" i="282"/>
  <c r="E15" i="282"/>
  <c r="J15" i="282" s="1"/>
  <c r="H14" i="282"/>
  <c r="G14" i="282"/>
  <c r="E14" i="282"/>
  <c r="J14" i="282" s="1"/>
  <c r="H13" i="282"/>
  <c r="G13" i="282"/>
  <c r="E13" i="282"/>
  <c r="J13" i="282" s="1"/>
  <c r="H12" i="282"/>
  <c r="G12" i="282"/>
  <c r="E12" i="282"/>
  <c r="J12" i="282" s="1"/>
  <c r="H11" i="282"/>
  <c r="G11" i="282"/>
  <c r="E11" i="282"/>
  <c r="J11" i="282" s="1"/>
  <c r="H10" i="282"/>
  <c r="G10" i="282"/>
  <c r="E10" i="282"/>
  <c r="J10" i="282" s="1"/>
  <c r="H9" i="282"/>
  <c r="G9" i="282"/>
  <c r="E9" i="282"/>
  <c r="J9" i="282" s="1"/>
  <c r="C9" i="282"/>
  <c r="H8" i="282"/>
  <c r="G8" i="282"/>
  <c r="E8" i="282"/>
  <c r="J8" i="282" s="1"/>
  <c r="C8" i="282"/>
  <c r="H7" i="282"/>
  <c r="G7" i="282"/>
  <c r="E7" i="282"/>
  <c r="C7" i="282"/>
  <c r="H6" i="282"/>
  <c r="E6" i="282"/>
  <c r="J6" i="282" s="1"/>
  <c r="C6" i="282"/>
  <c r="E5" i="282"/>
  <c r="C5" i="282"/>
  <c r="O16" i="290"/>
  <c r="N16" i="290"/>
  <c r="M16" i="290"/>
  <c r="L16" i="290"/>
  <c r="J16" i="290"/>
  <c r="I16" i="290"/>
  <c r="H16" i="290"/>
  <c r="G16" i="290"/>
  <c r="F16" i="290"/>
  <c r="E16" i="290"/>
  <c r="D16" i="290"/>
  <c r="C16" i="290"/>
  <c r="B16" i="290"/>
  <c r="O15" i="290"/>
  <c r="N15" i="290"/>
  <c r="M15" i="290"/>
  <c r="L15" i="290"/>
  <c r="J15" i="290"/>
  <c r="I15" i="290"/>
  <c r="H15" i="290"/>
  <c r="G15" i="290"/>
  <c r="F15" i="290"/>
  <c r="E15" i="290"/>
  <c r="D15" i="290"/>
  <c r="C15" i="290"/>
  <c r="B15" i="290"/>
  <c r="O14" i="290"/>
  <c r="O17" i="290" s="1"/>
  <c r="N14" i="290"/>
  <c r="M14" i="290"/>
  <c r="L14" i="290"/>
  <c r="J14" i="290"/>
  <c r="J17" i="290" s="1"/>
  <c r="I14" i="290"/>
  <c r="H14" i="290"/>
  <c r="G14" i="290"/>
  <c r="F14" i="290"/>
  <c r="F17" i="290" s="1"/>
  <c r="E14" i="290"/>
  <c r="D14" i="290"/>
  <c r="C14" i="290"/>
  <c r="B14" i="290"/>
  <c r="B17" i="290" s="1"/>
  <c r="P13" i="290"/>
  <c r="K13" i="290"/>
  <c r="P12" i="290"/>
  <c r="K12" i="290"/>
  <c r="P11" i="290"/>
  <c r="K11" i="290"/>
  <c r="P10" i="290"/>
  <c r="K10" i="290"/>
  <c r="P9" i="290"/>
  <c r="K9" i="290"/>
  <c r="P8" i="290"/>
  <c r="K8" i="290"/>
  <c r="P7" i="290"/>
  <c r="K7" i="290"/>
  <c r="P6" i="290"/>
  <c r="K6" i="290"/>
  <c r="P15" i="280"/>
  <c r="P14" i="280"/>
  <c r="K14" i="280"/>
  <c r="P13" i="280"/>
  <c r="K13" i="280"/>
  <c r="P12" i="280"/>
  <c r="K12" i="280"/>
  <c r="P11" i="280"/>
  <c r="K11" i="280"/>
  <c r="P10" i="280"/>
  <c r="K10" i="280"/>
  <c r="P9" i="280"/>
  <c r="K9" i="280"/>
  <c r="P8" i="280"/>
  <c r="K8" i="280"/>
  <c r="P7" i="280"/>
  <c r="K7" i="280"/>
  <c r="P6" i="280"/>
  <c r="K6" i="280"/>
  <c r="P5" i="280"/>
  <c r="K5" i="280"/>
  <c r="Q14" i="279"/>
  <c r="Q13" i="279"/>
  <c r="Q12" i="279"/>
  <c r="Q11" i="279"/>
  <c r="P10" i="279"/>
  <c r="K10" i="279"/>
  <c r="P9" i="279"/>
  <c r="K9" i="279"/>
  <c r="P8" i="279"/>
  <c r="K8" i="279"/>
  <c r="P7" i="279"/>
  <c r="K7" i="279"/>
  <c r="P6" i="279"/>
  <c r="K6" i="279"/>
  <c r="P5" i="279"/>
  <c r="K5" i="279"/>
  <c r="L12" i="29"/>
  <c r="K12" i="29"/>
  <c r="J12" i="29"/>
  <c r="I12" i="29"/>
  <c r="H12" i="29"/>
  <c r="G12" i="29"/>
  <c r="F12" i="29"/>
  <c r="E12" i="29"/>
  <c r="D12" i="29"/>
  <c r="C12" i="29"/>
  <c r="B12" i="29"/>
  <c r="M11" i="29"/>
  <c r="M10" i="29"/>
  <c r="M9" i="29"/>
  <c r="M8" i="29"/>
  <c r="M7" i="29"/>
  <c r="M6" i="29"/>
  <c r="M5" i="29"/>
  <c r="M4" i="29"/>
  <c r="I16" i="310"/>
  <c r="E16" i="310"/>
  <c r="D16" i="310"/>
  <c r="I15" i="310"/>
  <c r="E15" i="310"/>
  <c r="D15" i="310"/>
  <c r="I14" i="310"/>
  <c r="E14" i="310"/>
  <c r="D14" i="310"/>
  <c r="I13" i="310"/>
  <c r="E13" i="310"/>
  <c r="D13" i="310"/>
  <c r="I12" i="310"/>
  <c r="E12" i="310"/>
  <c r="D12" i="310"/>
  <c r="I11" i="310"/>
  <c r="E11" i="310"/>
  <c r="D11" i="310"/>
  <c r="I10" i="310"/>
  <c r="E10" i="310"/>
  <c r="D10" i="310"/>
  <c r="I9" i="310"/>
  <c r="E9" i="310"/>
  <c r="D9" i="310"/>
  <c r="I8" i="310"/>
  <c r="E8" i="310"/>
  <c r="D8" i="310"/>
  <c r="I7" i="310"/>
  <c r="E7" i="310"/>
  <c r="BV6" i="310"/>
  <c r="BU6" i="310"/>
  <c r="I6" i="310"/>
  <c r="E6" i="310"/>
  <c r="I5" i="310"/>
  <c r="E5" i="310"/>
  <c r="BV3" i="310"/>
  <c r="Q20" i="275"/>
  <c r="P20" i="275"/>
  <c r="T19" i="275"/>
  <c r="R19" i="275"/>
  <c r="Q19" i="275"/>
  <c r="P19" i="275"/>
  <c r="Q18" i="275"/>
  <c r="P18" i="275"/>
  <c r="T17" i="275"/>
  <c r="R17" i="275"/>
  <c r="Q17" i="275"/>
  <c r="P17" i="275"/>
  <c r="Q16" i="275"/>
  <c r="P16" i="275"/>
  <c r="T15" i="275"/>
  <c r="R15" i="275"/>
  <c r="Q15" i="275"/>
  <c r="P15" i="275"/>
  <c r="K15" i="275"/>
  <c r="J15" i="275"/>
  <c r="I15" i="275"/>
  <c r="F15" i="275"/>
  <c r="E15" i="275"/>
  <c r="D15" i="275"/>
  <c r="T14" i="275"/>
  <c r="R14" i="275"/>
  <c r="Q14" i="275"/>
  <c r="P14" i="275"/>
  <c r="J14" i="275"/>
  <c r="I14" i="275"/>
  <c r="K14" i="275" s="1"/>
  <c r="F14" i="275"/>
  <c r="E14" i="275"/>
  <c r="D14" i="275"/>
  <c r="Q13" i="275"/>
  <c r="P13" i="275"/>
  <c r="K13" i="275"/>
  <c r="J13" i="275"/>
  <c r="I13" i="275"/>
  <c r="F13" i="275"/>
  <c r="D13" i="275"/>
  <c r="E13" i="275" s="1"/>
  <c r="R12" i="275"/>
  <c r="Q12" i="275"/>
  <c r="P12" i="275"/>
  <c r="K12" i="275"/>
  <c r="J12" i="275"/>
  <c r="I12" i="275"/>
  <c r="D12" i="275"/>
  <c r="T11" i="275"/>
  <c r="R11" i="275"/>
  <c r="Q11" i="275"/>
  <c r="P11" i="275"/>
  <c r="K11" i="275"/>
  <c r="J11" i="275"/>
  <c r="I11" i="275"/>
  <c r="F11" i="275"/>
  <c r="E11" i="275"/>
  <c r="D11" i="275"/>
  <c r="T10" i="275"/>
  <c r="R10" i="275"/>
  <c r="Q10" i="275"/>
  <c r="P10" i="275"/>
  <c r="J10" i="275"/>
  <c r="I10" i="275"/>
  <c r="K10" i="275" s="1"/>
  <c r="F10" i="275"/>
  <c r="E10" i="275"/>
  <c r="D10" i="275"/>
  <c r="K9" i="275"/>
  <c r="J9" i="275"/>
  <c r="I9" i="275"/>
  <c r="F9" i="275"/>
  <c r="E9" i="275"/>
  <c r="D9" i="275"/>
  <c r="K8" i="275"/>
  <c r="J8" i="275"/>
  <c r="I8" i="275"/>
  <c r="D8" i="275"/>
  <c r="K7" i="275"/>
  <c r="J7" i="275"/>
  <c r="I7" i="275"/>
  <c r="F7" i="275"/>
  <c r="D7" i="275"/>
  <c r="E7" i="275" s="1"/>
  <c r="R6" i="275"/>
  <c r="T20" i="275" s="1"/>
  <c r="I6" i="275"/>
  <c r="F6" i="275"/>
  <c r="E6" i="275"/>
  <c r="D6" i="275"/>
  <c r="I5" i="275"/>
  <c r="D5" i="275"/>
  <c r="F5" i="275" s="1"/>
  <c r="I5" i="274"/>
  <c r="H5" i="274"/>
  <c r="G5" i="274"/>
  <c r="F5" i="274"/>
  <c r="E5" i="274"/>
  <c r="D5" i="274"/>
  <c r="C5" i="274"/>
  <c r="B5" i="274"/>
  <c r="B14" i="273"/>
  <c r="C7" i="315"/>
  <c r="D7" i="315" s="1"/>
  <c r="C6" i="315"/>
  <c r="D6" i="315" s="1"/>
  <c r="C5" i="315"/>
  <c r="D5" i="315" s="1"/>
  <c r="C4" i="315"/>
  <c r="D4" i="315" s="1"/>
  <c r="F4" i="271"/>
  <c r="E4" i="271"/>
  <c r="C12" i="309"/>
  <c r="B12" i="309"/>
  <c r="E11" i="309"/>
  <c r="D10" i="309"/>
  <c r="E10" i="309" s="1"/>
  <c r="D9" i="309"/>
  <c r="E9" i="309" s="1"/>
  <c r="D8" i="309"/>
  <c r="E8" i="309" s="1"/>
  <c r="D7" i="309"/>
  <c r="E7" i="309" s="1"/>
  <c r="D6" i="309"/>
  <c r="E6" i="309" s="1"/>
  <c r="D5" i="309"/>
  <c r="E4" i="309"/>
  <c r="D33" i="270"/>
  <c r="D32" i="270"/>
  <c r="D31" i="270"/>
  <c r="D30" i="270"/>
  <c r="D29" i="270"/>
  <c r="D28" i="270"/>
  <c r="D27" i="270"/>
  <c r="D26" i="270"/>
  <c r="D25" i="270"/>
  <c r="D24" i="270"/>
  <c r="D23" i="270"/>
  <c r="D22" i="270"/>
  <c r="D21" i="270"/>
  <c r="D20" i="270"/>
  <c r="D19" i="270"/>
  <c r="D18" i="270"/>
  <c r="C17" i="270"/>
  <c r="B17" i="270"/>
  <c r="D17" i="270" s="1"/>
  <c r="D16" i="270"/>
  <c r="D15" i="270"/>
  <c r="D14" i="270"/>
  <c r="D13" i="270"/>
  <c r="D12" i="270"/>
  <c r="D11" i="270"/>
  <c r="D10" i="270"/>
  <c r="D9" i="270"/>
  <c r="D8" i="270"/>
  <c r="D7" i="270"/>
  <c r="D6" i="270"/>
  <c r="D5" i="270"/>
  <c r="D4" i="270"/>
  <c r="E14" i="269"/>
  <c r="E13" i="269"/>
  <c r="E12" i="269"/>
  <c r="E11" i="269"/>
  <c r="E10" i="269"/>
  <c r="E9" i="269"/>
  <c r="E8" i="269"/>
  <c r="E7" i="269"/>
  <c r="E6" i="269"/>
  <c r="E5" i="269"/>
  <c r="E4" i="269"/>
  <c r="D14" i="268"/>
  <c r="D13" i="268"/>
  <c r="D12" i="268"/>
  <c r="D11" i="268"/>
  <c r="D10" i="268"/>
  <c r="D9" i="268"/>
  <c r="D8" i="268"/>
  <c r="D7" i="268"/>
  <c r="D5" i="268"/>
  <c r="D4" i="268"/>
  <c r="B8" i="244"/>
  <c r="I7" i="244"/>
  <c r="I6" i="244"/>
  <c r="I5" i="244"/>
  <c r="I8" i="244" s="1"/>
  <c r="H7" i="243"/>
  <c r="F7" i="243"/>
  <c r="E7" i="243"/>
  <c r="D7" i="243"/>
  <c r="C7" i="243"/>
  <c r="B7" i="243"/>
  <c r="I6" i="243"/>
  <c r="I5" i="243"/>
  <c r="I4" i="243"/>
  <c r="F10" i="250"/>
  <c r="D10" i="250"/>
  <c r="F9" i="250"/>
  <c r="F8" i="250"/>
  <c r="F7" i="250"/>
  <c r="F6" i="250"/>
  <c r="F5" i="250"/>
  <c r="F4" i="250"/>
  <c r="D36" i="95"/>
  <c r="D35" i="95"/>
  <c r="D34" i="95"/>
  <c r="D33" i="95"/>
  <c r="C33" i="95"/>
  <c r="C32" i="95"/>
  <c r="D32" i="95" s="1"/>
  <c r="D31" i="95"/>
  <c r="P30" i="95"/>
  <c r="D30" i="95"/>
  <c r="C29" i="95"/>
  <c r="D29" i="95" s="1"/>
  <c r="C28" i="95"/>
  <c r="D27" i="95"/>
  <c r="D26" i="95"/>
  <c r="B25" i="95"/>
  <c r="D25" i="95" s="1"/>
  <c r="B24" i="95"/>
  <c r="D24" i="95" s="1"/>
  <c r="B23" i="95"/>
  <c r="D23" i="95" s="1"/>
  <c r="B22" i="95"/>
  <c r="D22" i="95" s="1"/>
  <c r="D21" i="95"/>
  <c r="D20" i="95"/>
  <c r="D19" i="95"/>
  <c r="D18" i="95"/>
  <c r="D17" i="95"/>
  <c r="D16" i="95"/>
  <c r="D15" i="95"/>
  <c r="D14" i="95"/>
  <c r="D13" i="95"/>
  <c r="D12" i="95"/>
  <c r="D11" i="95"/>
  <c r="D10" i="95"/>
  <c r="D9" i="95"/>
  <c r="D8" i="95"/>
  <c r="D7" i="95"/>
  <c r="D6" i="95"/>
  <c r="G6" i="155"/>
  <c r="F6" i="155"/>
  <c r="E6" i="155"/>
  <c r="D6" i="155"/>
  <c r="C6" i="155"/>
  <c r="B6" i="155"/>
  <c r="E10" i="92"/>
  <c r="N8" i="92"/>
  <c r="N7" i="92"/>
  <c r="N6" i="92"/>
  <c r="N5" i="92"/>
  <c r="F7" i="106"/>
  <c r="E7" i="106"/>
  <c r="D7" i="106"/>
  <c r="C7" i="106"/>
  <c r="B7" i="106"/>
  <c r="H6" i="106"/>
  <c r="H5" i="106"/>
  <c r="H4" i="106"/>
  <c r="L34" i="212"/>
  <c r="K34" i="212"/>
  <c r="I34" i="212"/>
  <c r="G34" i="212"/>
  <c r="B34" i="212"/>
  <c r="C35" i="212" s="1"/>
  <c r="L33" i="212"/>
  <c r="K33" i="212"/>
  <c r="I33" i="212"/>
  <c r="G33" i="212"/>
  <c r="E33" i="212"/>
  <c r="B33" i="212"/>
  <c r="C33" i="212" s="1"/>
  <c r="L32" i="212"/>
  <c r="K32" i="212"/>
  <c r="I32" i="212"/>
  <c r="G32" i="212"/>
  <c r="E32" i="212"/>
  <c r="B32" i="212"/>
  <c r="K31" i="212"/>
  <c r="I31" i="212"/>
  <c r="G31" i="212"/>
  <c r="E31" i="212"/>
  <c r="B31" i="212"/>
  <c r="L31" i="212" s="1"/>
  <c r="K30" i="212"/>
  <c r="G30" i="212"/>
  <c r="C30" i="212"/>
  <c r="B30" i="212"/>
  <c r="L29" i="212"/>
  <c r="K29" i="212"/>
  <c r="E29" i="212"/>
  <c r="B29" i="212"/>
  <c r="K28" i="212"/>
  <c r="B28" i="212"/>
  <c r="C28" i="212" s="1"/>
  <c r="K27" i="212"/>
  <c r="B27" i="212"/>
  <c r="G27" i="212" s="1"/>
  <c r="K26" i="212"/>
  <c r="B26" i="212"/>
  <c r="G26" i="212" s="1"/>
  <c r="K25" i="212"/>
  <c r="B25" i="212"/>
  <c r="I25" i="212" s="1"/>
  <c r="K24" i="212"/>
  <c r="I24" i="212"/>
  <c r="B24" i="212"/>
  <c r="L24" i="212" s="1"/>
  <c r="K23" i="212"/>
  <c r="B23" i="212"/>
  <c r="I23" i="212" s="1"/>
  <c r="K22" i="212"/>
  <c r="B22" i="212"/>
  <c r="K21" i="212"/>
  <c r="C21" i="212"/>
  <c r="B21" i="212"/>
  <c r="L20" i="212"/>
  <c r="K20" i="212"/>
  <c r="B20" i="212"/>
  <c r="L19" i="212"/>
  <c r="K19" i="212"/>
  <c r="I19" i="212"/>
  <c r="G19" i="212"/>
  <c r="B19" i="212"/>
  <c r="E19" i="212" s="1"/>
  <c r="L18" i="212"/>
  <c r="K18" i="212"/>
  <c r="I18" i="212"/>
  <c r="G18" i="212"/>
  <c r="E18" i="212"/>
  <c r="B18" i="212"/>
  <c r="C18" i="212" s="1"/>
  <c r="K17" i="212"/>
  <c r="I17" i="212"/>
  <c r="G17" i="212"/>
  <c r="E17" i="212"/>
  <c r="C17" i="212"/>
  <c r="B17" i="212"/>
  <c r="L17" i="212" s="1"/>
  <c r="K16" i="212"/>
  <c r="I16" i="212"/>
  <c r="G16" i="212"/>
  <c r="E16" i="212"/>
  <c r="C16" i="212"/>
  <c r="B16" i="212"/>
  <c r="L16" i="212" s="1"/>
  <c r="K15" i="212"/>
  <c r="E15" i="212"/>
  <c r="C15" i="212"/>
  <c r="B15" i="212"/>
  <c r="L14" i="212"/>
  <c r="K14" i="212"/>
  <c r="E14" i="212"/>
  <c r="B14" i="212"/>
  <c r="L13" i="212"/>
  <c r="K13" i="212"/>
  <c r="C13" i="212"/>
  <c r="B13" i="212"/>
  <c r="L12" i="212"/>
  <c r="K12" i="212"/>
  <c r="I12" i="212"/>
  <c r="B12" i="212"/>
  <c r="L11" i="212"/>
  <c r="K11" i="212"/>
  <c r="I11" i="212"/>
  <c r="G11" i="212"/>
  <c r="B11" i="212"/>
  <c r="E11" i="212" s="1"/>
  <c r="L10" i="212"/>
  <c r="K10" i="212"/>
  <c r="I10" i="212"/>
  <c r="G10" i="212"/>
  <c r="E10" i="212"/>
  <c r="B10" i="212"/>
  <c r="C10" i="212" s="1"/>
  <c r="K9" i="212"/>
  <c r="I9" i="212"/>
  <c r="G9" i="212"/>
  <c r="E9" i="212"/>
  <c r="B9" i="212"/>
  <c r="L9" i="212" s="1"/>
  <c r="K8" i="212"/>
  <c r="I8" i="212"/>
  <c r="G8" i="212"/>
  <c r="E8" i="212"/>
  <c r="B8" i="212"/>
  <c r="L8" i="212" s="1"/>
  <c r="K7" i="212"/>
  <c r="G7" i="212"/>
  <c r="B7" i="212"/>
  <c r="K6" i="212"/>
  <c r="B6" i="212"/>
  <c r="K5" i="212"/>
  <c r="B5" i="212"/>
  <c r="L4" i="212"/>
  <c r="I4" i="212"/>
  <c r="G4" i="212"/>
  <c r="B4" i="212"/>
  <c r="E4" i="212" s="1"/>
  <c r="U13" i="351"/>
  <c r="T13" i="351"/>
  <c r="S13" i="351"/>
  <c r="R13" i="351"/>
  <c r="Q13" i="351"/>
  <c r="P13" i="351"/>
  <c r="O13" i="351"/>
  <c r="N13" i="351"/>
  <c r="M13" i="351"/>
  <c r="L13" i="351"/>
  <c r="K13" i="351"/>
  <c r="J13" i="351"/>
  <c r="I13" i="351"/>
  <c r="H13" i="351"/>
  <c r="G13" i="351"/>
  <c r="F13" i="351"/>
  <c r="E13" i="351"/>
  <c r="D13" i="351"/>
  <c r="C13" i="351"/>
  <c r="B13" i="351"/>
  <c r="V12" i="351"/>
  <c r="V11" i="351"/>
  <c r="V10" i="351"/>
  <c r="V9" i="351"/>
  <c r="V8" i="351"/>
  <c r="V7" i="351"/>
  <c r="V6" i="351"/>
  <c r="V5" i="351"/>
  <c r="V4" i="351"/>
  <c r="M86" i="350"/>
  <c r="K86" i="350"/>
  <c r="J86" i="350"/>
  <c r="H86" i="350"/>
  <c r="G86" i="350"/>
  <c r="L85" i="350"/>
  <c r="N85" i="350" s="1"/>
  <c r="N84" i="350"/>
  <c r="L84" i="350"/>
  <c r="L83" i="350"/>
  <c r="N83" i="350" s="1"/>
  <c r="L82" i="350"/>
  <c r="N82" i="350" s="1"/>
  <c r="L81" i="350"/>
  <c r="N81" i="350" s="1"/>
  <c r="N80" i="350"/>
  <c r="L80" i="350"/>
  <c r="N79" i="350"/>
  <c r="L79" i="350"/>
  <c r="L78" i="350"/>
  <c r="N78" i="350" s="1"/>
  <c r="L77" i="350"/>
  <c r="N77" i="350" s="1"/>
  <c r="N76" i="350"/>
  <c r="L76" i="350"/>
  <c r="N75" i="350"/>
  <c r="L75" i="350"/>
  <c r="L74" i="350"/>
  <c r="N74" i="350" s="1"/>
  <c r="L73" i="350"/>
  <c r="N73" i="350" s="1"/>
  <c r="N72" i="350"/>
  <c r="L72" i="350"/>
  <c r="N71" i="350"/>
  <c r="L71" i="350"/>
  <c r="L70" i="350"/>
  <c r="N70" i="350" s="1"/>
  <c r="L69" i="350"/>
  <c r="N69" i="350" s="1"/>
  <c r="N68" i="350"/>
  <c r="L68" i="350"/>
  <c r="N67" i="350"/>
  <c r="L67" i="350"/>
  <c r="L66" i="350"/>
  <c r="N66" i="350" s="1"/>
  <c r="L65" i="350"/>
  <c r="N65" i="350" s="1"/>
  <c r="N64" i="350"/>
  <c r="L64" i="350"/>
  <c r="N63" i="350"/>
  <c r="L63" i="350"/>
  <c r="L62" i="350"/>
  <c r="N62" i="350" s="1"/>
  <c r="L61" i="350"/>
  <c r="N61" i="350" s="1"/>
  <c r="N60" i="350"/>
  <c r="L60" i="350"/>
  <c r="N59" i="350"/>
  <c r="L59" i="350"/>
  <c r="L58" i="350"/>
  <c r="N58" i="350" s="1"/>
  <c r="L57" i="350"/>
  <c r="N57" i="350" s="1"/>
  <c r="N56" i="350"/>
  <c r="L56" i="350"/>
  <c r="N55" i="350"/>
  <c r="L55" i="350"/>
  <c r="L54" i="350"/>
  <c r="D13" i="350"/>
  <c r="B13" i="350"/>
  <c r="E12" i="350"/>
  <c r="F12" i="350" s="1"/>
  <c r="C12" i="350"/>
  <c r="F11" i="350"/>
  <c r="E11" i="350"/>
  <c r="C11" i="350"/>
  <c r="E10" i="350"/>
  <c r="F10" i="350" s="1"/>
  <c r="C10" i="350"/>
  <c r="F9" i="350"/>
  <c r="E9" i="350"/>
  <c r="C9" i="350"/>
  <c r="E8" i="350"/>
  <c r="F8" i="350" s="1"/>
  <c r="C8" i="350"/>
  <c r="F7" i="350"/>
  <c r="E7" i="350"/>
  <c r="C7" i="350"/>
  <c r="E6" i="350"/>
  <c r="F6" i="350" s="1"/>
  <c r="C6" i="350"/>
  <c r="E5" i="350"/>
  <c r="F5" i="350" s="1"/>
  <c r="C5" i="350"/>
  <c r="E4" i="350"/>
  <c r="F4" i="350" s="1"/>
  <c r="C4" i="350"/>
  <c r="Q27" i="349"/>
  <c r="R25" i="349"/>
  <c r="Q25" i="349"/>
  <c r="P25" i="349"/>
  <c r="C25" i="349"/>
  <c r="B25" i="349"/>
  <c r="R24" i="349"/>
  <c r="Q24" i="349"/>
  <c r="P24" i="349"/>
  <c r="D24" i="349"/>
  <c r="R23" i="349"/>
  <c r="Q23" i="349"/>
  <c r="P23" i="349"/>
  <c r="D23" i="349"/>
  <c r="R22" i="349"/>
  <c r="Q22" i="349"/>
  <c r="P22" i="349"/>
  <c r="D22" i="349"/>
  <c r="R21" i="349"/>
  <c r="Q21" i="349"/>
  <c r="P21" i="349"/>
  <c r="D21" i="349"/>
  <c r="R20" i="349"/>
  <c r="Q20" i="349"/>
  <c r="P20" i="349"/>
  <c r="D20" i="349"/>
  <c r="R19" i="349"/>
  <c r="Q19" i="349"/>
  <c r="P19" i="349"/>
  <c r="D19" i="349"/>
  <c r="R18" i="349"/>
  <c r="Q18" i="349"/>
  <c r="P18" i="349"/>
  <c r="D18" i="349"/>
  <c r="R17" i="349"/>
  <c r="Q17" i="349"/>
  <c r="P17" i="349"/>
  <c r="D17" i="349"/>
  <c r="R16" i="349"/>
  <c r="Q16" i="349"/>
  <c r="P16" i="349"/>
  <c r="D16" i="349"/>
  <c r="R15" i="349"/>
  <c r="Q15" i="349"/>
  <c r="P15" i="349"/>
  <c r="D15" i="349"/>
  <c r="R14" i="349"/>
  <c r="Q14" i="349"/>
  <c r="P14" i="349"/>
  <c r="D14" i="349"/>
  <c r="R13" i="349"/>
  <c r="Q13" i="349"/>
  <c r="P13" i="349"/>
  <c r="D13" i="349"/>
  <c r="R12" i="349"/>
  <c r="Q12" i="349"/>
  <c r="P12" i="349"/>
  <c r="D12" i="349"/>
  <c r="R11" i="349"/>
  <c r="Q11" i="349"/>
  <c r="P11" i="349"/>
  <c r="D11" i="349"/>
  <c r="R10" i="349"/>
  <c r="Q10" i="349"/>
  <c r="P10" i="349"/>
  <c r="D10" i="349"/>
  <c r="R9" i="349"/>
  <c r="Q9" i="349"/>
  <c r="P9" i="349"/>
  <c r="D9" i="349"/>
  <c r="R8" i="349"/>
  <c r="Q8" i="349"/>
  <c r="P8" i="349"/>
  <c r="D8" i="349"/>
  <c r="R7" i="349"/>
  <c r="Q7" i="349"/>
  <c r="P7" i="349"/>
  <c r="D7" i="349"/>
  <c r="R6" i="349"/>
  <c r="R27" i="349" s="1"/>
  <c r="Q6" i="349"/>
  <c r="P6" i="349"/>
  <c r="D6" i="349"/>
  <c r="D5" i="349"/>
  <c r="P3" i="349"/>
  <c r="C13" i="348"/>
  <c r="B13" i="348"/>
  <c r="E12" i="348"/>
  <c r="D12" i="348"/>
  <c r="E11" i="348"/>
  <c r="D11" i="348"/>
  <c r="E10" i="348"/>
  <c r="D10" i="348"/>
  <c r="E9" i="348"/>
  <c r="D9" i="348"/>
  <c r="E8" i="348"/>
  <c r="D8" i="348"/>
  <c r="E7" i="348"/>
  <c r="D7" i="348"/>
  <c r="E6" i="348"/>
  <c r="D6" i="348"/>
  <c r="D13" i="348" s="1"/>
  <c r="E5" i="348"/>
  <c r="D5" i="348"/>
  <c r="E4" i="348"/>
  <c r="E13" i="348" s="1"/>
  <c r="D4" i="348"/>
  <c r="F36" i="352"/>
  <c r="E36" i="352"/>
  <c r="D36" i="352"/>
  <c r="C36" i="352"/>
  <c r="H35" i="352"/>
  <c r="G35" i="352"/>
  <c r="B35" i="352"/>
  <c r="H34" i="352"/>
  <c r="G34" i="352"/>
  <c r="B34" i="352"/>
  <c r="H33" i="352"/>
  <c r="G33" i="352"/>
  <c r="B33" i="352"/>
  <c r="H32" i="352"/>
  <c r="G32" i="352"/>
  <c r="B32" i="352"/>
  <c r="H31" i="352"/>
  <c r="G31" i="352"/>
  <c r="B31" i="352"/>
  <c r="H30" i="352"/>
  <c r="G30" i="352"/>
  <c r="B30" i="352"/>
  <c r="H29" i="352"/>
  <c r="G29" i="352"/>
  <c r="B29" i="352"/>
  <c r="H28" i="352"/>
  <c r="G28" i="352"/>
  <c r="B28" i="352"/>
  <c r="H27" i="352"/>
  <c r="G27" i="352"/>
  <c r="B27" i="352"/>
  <c r="H26" i="352"/>
  <c r="G26" i="352"/>
  <c r="B26" i="352"/>
  <c r="H25" i="352"/>
  <c r="G25" i="352"/>
  <c r="B25" i="352"/>
  <c r="H24" i="352"/>
  <c r="G24" i="352"/>
  <c r="B24" i="352"/>
  <c r="H23" i="352"/>
  <c r="G23" i="352"/>
  <c r="B23" i="352"/>
  <c r="H22" i="352"/>
  <c r="G22" i="352"/>
  <c r="B22" i="352"/>
  <c r="H21" i="352"/>
  <c r="G21" i="352"/>
  <c r="B21" i="352"/>
  <c r="H20" i="352"/>
  <c r="G20" i="352"/>
  <c r="B20" i="352"/>
  <c r="H19" i="352"/>
  <c r="G19" i="352"/>
  <c r="B19" i="352"/>
  <c r="H18" i="352"/>
  <c r="G18" i="352"/>
  <c r="B18" i="352"/>
  <c r="H17" i="352"/>
  <c r="G17" i="352"/>
  <c r="B17" i="352"/>
  <c r="H16" i="352"/>
  <c r="G16" i="352"/>
  <c r="B16" i="352"/>
  <c r="H15" i="352"/>
  <c r="G15" i="352"/>
  <c r="B15" i="352"/>
  <c r="H14" i="352"/>
  <c r="G14" i="352"/>
  <c r="B14" i="352"/>
  <c r="H13" i="352"/>
  <c r="G13" i="352"/>
  <c r="B13" i="352"/>
  <c r="H12" i="352"/>
  <c r="G12" i="352"/>
  <c r="B12" i="352"/>
  <c r="H11" i="352"/>
  <c r="G11" i="352"/>
  <c r="B11" i="352"/>
  <c r="H10" i="352"/>
  <c r="G10" i="352"/>
  <c r="B10" i="352"/>
  <c r="H9" i="352"/>
  <c r="G9" i="352"/>
  <c r="B9" i="352"/>
  <c r="H8" i="352"/>
  <c r="G8" i="352"/>
  <c r="B8" i="352"/>
  <c r="H7" i="352"/>
  <c r="G7" i="352"/>
  <c r="B7" i="352"/>
  <c r="H6" i="352"/>
  <c r="G6" i="352"/>
  <c r="B6" i="352"/>
  <c r="H5" i="352"/>
  <c r="G5" i="352"/>
  <c r="B5" i="352"/>
  <c r="H4" i="352"/>
  <c r="G4" i="352"/>
  <c r="B4" i="352"/>
  <c r="D12" i="347"/>
  <c r="D11" i="347"/>
  <c r="D10" i="347"/>
  <c r="D9" i="347"/>
  <c r="D8" i="347"/>
  <c r="D7" i="347"/>
  <c r="D6" i="347"/>
  <c r="D5" i="347"/>
  <c r="D4" i="347"/>
  <c r="F36" i="346"/>
  <c r="C36" i="346"/>
  <c r="J35" i="346"/>
  <c r="I35" i="346"/>
  <c r="H35" i="346"/>
  <c r="G35" i="346"/>
  <c r="J34" i="346"/>
  <c r="H34" i="346"/>
  <c r="G34" i="346"/>
  <c r="I34" i="346" s="1"/>
  <c r="I33" i="346"/>
  <c r="H33" i="346"/>
  <c r="J33" i="346" s="1"/>
  <c r="G33" i="346"/>
  <c r="J32" i="346"/>
  <c r="H32" i="346"/>
  <c r="G32" i="346"/>
  <c r="I32" i="346" s="1"/>
  <c r="J31" i="346"/>
  <c r="H31" i="346"/>
  <c r="G31" i="346"/>
  <c r="I31" i="346" s="1"/>
  <c r="J30" i="346"/>
  <c r="H30" i="346"/>
  <c r="G30" i="346"/>
  <c r="I30" i="346" s="1"/>
  <c r="J29" i="346"/>
  <c r="H29" i="346"/>
  <c r="G29" i="346"/>
  <c r="I29" i="346" s="1"/>
  <c r="J28" i="346"/>
  <c r="H28" i="346"/>
  <c r="G28" i="346"/>
  <c r="I28" i="346" s="1"/>
  <c r="I27" i="346"/>
  <c r="H27" i="346"/>
  <c r="J27" i="346" s="1"/>
  <c r="G27" i="346"/>
  <c r="J26" i="346"/>
  <c r="H26" i="346"/>
  <c r="G26" i="346"/>
  <c r="I26" i="346" s="1"/>
  <c r="J25" i="346"/>
  <c r="H25" i="346"/>
  <c r="G25" i="346"/>
  <c r="I25" i="346" s="1"/>
  <c r="J24" i="346"/>
  <c r="H24" i="346"/>
  <c r="G24" i="346"/>
  <c r="I24" i="346" s="1"/>
  <c r="J23" i="346"/>
  <c r="I23" i="346"/>
  <c r="H23" i="346"/>
  <c r="G23" i="346"/>
  <c r="J22" i="346"/>
  <c r="H22" i="346"/>
  <c r="G22" i="346"/>
  <c r="I22" i="346" s="1"/>
  <c r="I21" i="346"/>
  <c r="H21" i="346"/>
  <c r="J21" i="346" s="1"/>
  <c r="G21" i="346"/>
  <c r="J20" i="346"/>
  <c r="H20" i="346"/>
  <c r="G20" i="346"/>
  <c r="I20" i="346" s="1"/>
  <c r="H19" i="346"/>
  <c r="J19" i="346" s="1"/>
  <c r="G19" i="346"/>
  <c r="I19" i="346" s="1"/>
  <c r="J18" i="346"/>
  <c r="H18" i="346"/>
  <c r="G18" i="346"/>
  <c r="I18" i="346" s="1"/>
  <c r="H17" i="346"/>
  <c r="J17" i="346" s="1"/>
  <c r="G17" i="346"/>
  <c r="I17" i="346" s="1"/>
  <c r="J16" i="346"/>
  <c r="H16" i="346"/>
  <c r="G16" i="346"/>
  <c r="I16" i="346" s="1"/>
  <c r="J15" i="346"/>
  <c r="H15" i="346"/>
  <c r="G15" i="346"/>
  <c r="I15" i="346" s="1"/>
  <c r="J14" i="346"/>
  <c r="H14" i="346"/>
  <c r="G14" i="346"/>
  <c r="I14" i="346" s="1"/>
  <c r="J13" i="346"/>
  <c r="I13" i="346"/>
  <c r="H13" i="346"/>
  <c r="G13" i="346"/>
  <c r="J12" i="346"/>
  <c r="H12" i="346"/>
  <c r="G12" i="346"/>
  <c r="I12" i="346" s="1"/>
  <c r="I11" i="346"/>
  <c r="H11" i="346"/>
  <c r="J11" i="346" s="1"/>
  <c r="G11" i="346"/>
  <c r="I10" i="346"/>
  <c r="H10" i="346"/>
  <c r="J10" i="346" s="1"/>
  <c r="G10" i="346"/>
  <c r="J9" i="346"/>
  <c r="H9" i="346"/>
  <c r="G9" i="346"/>
  <c r="I9" i="346" s="1"/>
  <c r="J8" i="346"/>
  <c r="I8" i="346"/>
  <c r="H8" i="346"/>
  <c r="G8" i="346"/>
  <c r="J7" i="346"/>
  <c r="H7" i="346"/>
  <c r="G7" i="346"/>
  <c r="I7" i="346" s="1"/>
  <c r="J6" i="346"/>
  <c r="I6" i="346"/>
  <c r="H6" i="346"/>
  <c r="G6" i="346"/>
  <c r="J5" i="346"/>
  <c r="H5" i="346"/>
  <c r="G5" i="346"/>
  <c r="J4" i="346"/>
  <c r="N15" i="345"/>
  <c r="E14" i="345"/>
  <c r="D14" i="345"/>
  <c r="C14" i="345"/>
  <c r="B14" i="345"/>
  <c r="G13" i="345"/>
  <c r="H13" i="345" s="1"/>
  <c r="F13" i="345"/>
  <c r="G12" i="345"/>
  <c r="H12" i="345" s="1"/>
  <c r="F12" i="345"/>
  <c r="H11" i="345"/>
  <c r="G11" i="345"/>
  <c r="F11" i="345"/>
  <c r="G10" i="345"/>
  <c r="F10" i="345"/>
  <c r="H10" i="345" s="1"/>
  <c r="G9" i="345"/>
  <c r="F9" i="345"/>
  <c r="H8" i="345"/>
  <c r="G8" i="345"/>
  <c r="F8" i="345"/>
  <c r="G7" i="345"/>
  <c r="H7" i="345" s="1"/>
  <c r="F7" i="345"/>
  <c r="G6" i="345"/>
  <c r="H6" i="345" s="1"/>
  <c r="F6" i="345"/>
  <c r="G5" i="345"/>
  <c r="H5" i="345" s="1"/>
  <c r="F5" i="345"/>
  <c r="C13" i="344"/>
  <c r="B13" i="344"/>
  <c r="E12" i="344"/>
  <c r="D12" i="344"/>
  <c r="E11" i="344"/>
  <c r="D11" i="344"/>
  <c r="E10" i="344"/>
  <c r="D10" i="344"/>
  <c r="E9" i="344"/>
  <c r="D9" i="344"/>
  <c r="E8" i="344"/>
  <c r="D8" i="344"/>
  <c r="E7" i="344"/>
  <c r="D7" i="344"/>
  <c r="E6" i="344"/>
  <c r="D6" i="344"/>
  <c r="E5" i="344"/>
  <c r="D5" i="344"/>
  <c r="D13" i="344" s="1"/>
  <c r="E4" i="344"/>
  <c r="E13" i="344" s="1"/>
  <c r="D4" i="344"/>
  <c r="C13" i="343"/>
  <c r="B13" i="343"/>
  <c r="D12" i="343"/>
  <c r="D11" i="343"/>
  <c r="D10" i="343"/>
  <c r="D9" i="343"/>
  <c r="D8" i="343"/>
  <c r="D7" i="343"/>
  <c r="D6" i="343"/>
  <c r="D5" i="343"/>
  <c r="D4" i="343"/>
  <c r="D30" i="74"/>
  <c r="D43" i="74" s="1"/>
  <c r="D29" i="74"/>
  <c r="D28" i="74"/>
  <c r="D27" i="74"/>
  <c r="D26" i="74"/>
  <c r="D25" i="74"/>
  <c r="D24" i="74"/>
  <c r="D23" i="74"/>
  <c r="D22" i="74"/>
  <c r="D21" i="74"/>
  <c r="D20" i="74"/>
  <c r="D19" i="74"/>
  <c r="D18" i="74"/>
  <c r="D17" i="74"/>
  <c r="D16" i="74"/>
  <c r="D15" i="74"/>
  <c r="D14" i="74"/>
  <c r="D13" i="74"/>
  <c r="D12" i="74"/>
  <c r="D11" i="74"/>
  <c r="D10" i="74"/>
  <c r="D9" i="74"/>
  <c r="D8" i="74"/>
  <c r="D7" i="74"/>
  <c r="D6" i="74"/>
  <c r="D5" i="74"/>
  <c r="D16" i="72"/>
  <c r="D15" i="72"/>
  <c r="D14" i="72"/>
  <c r="D13" i="72"/>
  <c r="D12" i="72"/>
  <c r="D11" i="72"/>
  <c r="D10" i="72"/>
  <c r="D9" i="72"/>
  <c r="D8" i="72"/>
  <c r="D7" i="72"/>
  <c r="D6" i="72"/>
  <c r="D5" i="72"/>
  <c r="D4" i="72"/>
  <c r="H12" i="65"/>
  <c r="D12" i="65"/>
  <c r="J11" i="65"/>
  <c r="I11" i="65"/>
  <c r="H11" i="65"/>
  <c r="E11" i="65"/>
  <c r="D11" i="65"/>
  <c r="I10" i="65"/>
  <c r="H10" i="65"/>
  <c r="E10" i="65"/>
  <c r="J10" i="65" s="1"/>
  <c r="D10" i="65"/>
  <c r="I9" i="65"/>
  <c r="H9" i="65"/>
  <c r="E9" i="65"/>
  <c r="J9" i="65" s="1"/>
  <c r="D9" i="65"/>
  <c r="J8" i="65"/>
  <c r="I8" i="65"/>
  <c r="H8" i="65"/>
  <c r="E8" i="65"/>
  <c r="D8" i="65"/>
  <c r="J7" i="65"/>
  <c r="I7" i="65"/>
  <c r="H7" i="65"/>
  <c r="E7" i="65"/>
  <c r="D7" i="65"/>
  <c r="I6" i="65"/>
  <c r="H6" i="65"/>
  <c r="E6" i="65"/>
  <c r="J6" i="65" s="1"/>
  <c r="D6" i="65"/>
  <c r="J5" i="65"/>
  <c r="I5" i="65"/>
  <c r="H5" i="65"/>
  <c r="E5" i="65"/>
  <c r="D5" i="65"/>
  <c r="I4" i="65"/>
  <c r="H4" i="65"/>
  <c r="E4" i="65"/>
  <c r="D4" i="65"/>
  <c r="C12" i="167"/>
  <c r="D12" i="168" s="1"/>
  <c r="B12" i="167"/>
  <c r="C12" i="168" s="1"/>
  <c r="F11" i="167"/>
  <c r="E11" i="167"/>
  <c r="D11" i="167"/>
  <c r="H4" i="167"/>
  <c r="D4" i="167" s="1"/>
  <c r="E15" i="61"/>
  <c r="E14" i="61"/>
  <c r="G14" i="61" s="1"/>
  <c r="E13" i="61"/>
  <c r="G13" i="61" s="1"/>
  <c r="H11" i="167"/>
  <c r="I11" i="168" s="1"/>
  <c r="E11" i="168" s="1"/>
  <c r="H10" i="167"/>
  <c r="H9" i="167"/>
  <c r="H8" i="167"/>
  <c r="H7" i="167"/>
  <c r="H6" i="167"/>
  <c r="H5" i="167"/>
  <c r="E5" i="61"/>
  <c r="G5" i="61" s="1"/>
  <c r="I34" i="289"/>
  <c r="K34" i="289" s="1"/>
  <c r="D34" i="289"/>
  <c r="I33" i="289"/>
  <c r="D33" i="289"/>
  <c r="L32" i="289"/>
  <c r="K32" i="289"/>
  <c r="I32" i="289"/>
  <c r="J32" i="289" s="1"/>
  <c r="D32" i="289"/>
  <c r="I31" i="289"/>
  <c r="D31" i="289"/>
  <c r="I30" i="289"/>
  <c r="D30" i="289"/>
  <c r="L29" i="289"/>
  <c r="K29" i="289"/>
  <c r="J29" i="289"/>
  <c r="I29" i="289"/>
  <c r="D29" i="289"/>
  <c r="I28" i="289"/>
  <c r="K28" i="289" s="1"/>
  <c r="D28" i="289"/>
  <c r="I27" i="289"/>
  <c r="D27" i="289"/>
  <c r="I26" i="289"/>
  <c r="D26" i="289"/>
  <c r="I25" i="289"/>
  <c r="K25" i="289" s="1"/>
  <c r="D25" i="289"/>
  <c r="E25" i="289" s="1"/>
  <c r="I24" i="289"/>
  <c r="J24" i="289" s="1"/>
  <c r="D24" i="289"/>
  <c r="F24" i="289" s="1"/>
  <c r="I23" i="289"/>
  <c r="D23" i="289"/>
  <c r="F23" i="289" s="1"/>
  <c r="I22" i="289"/>
  <c r="K22" i="289" s="1"/>
  <c r="D22" i="289"/>
  <c r="E22" i="289" s="1"/>
  <c r="I21" i="289"/>
  <c r="F21" i="289"/>
  <c r="E21" i="289"/>
  <c r="D21" i="289"/>
  <c r="K20" i="289"/>
  <c r="J20" i="289"/>
  <c r="I20" i="289"/>
  <c r="D20" i="289"/>
  <c r="K19" i="289"/>
  <c r="I19" i="289"/>
  <c r="J19" i="289" s="1"/>
  <c r="D19" i="289"/>
  <c r="L18" i="289"/>
  <c r="K18" i="289"/>
  <c r="J18" i="289"/>
  <c r="I18" i="289"/>
  <c r="D18" i="289"/>
  <c r="L17" i="289"/>
  <c r="J17" i="289"/>
  <c r="I17" i="289"/>
  <c r="K17" i="289" s="1"/>
  <c r="F17" i="289"/>
  <c r="E17" i="289"/>
  <c r="D17" i="289"/>
  <c r="I16" i="289"/>
  <c r="F16" i="289"/>
  <c r="D16" i="289"/>
  <c r="E16" i="289" s="1"/>
  <c r="K15" i="289"/>
  <c r="J15" i="289"/>
  <c r="I15" i="289"/>
  <c r="L15" i="289" s="1"/>
  <c r="F15" i="289"/>
  <c r="E15" i="289"/>
  <c r="D15" i="289"/>
  <c r="I14" i="289"/>
  <c r="F14" i="289"/>
  <c r="E14" i="289"/>
  <c r="D14" i="289"/>
  <c r="I13" i="289"/>
  <c r="D13" i="289"/>
  <c r="L12" i="289"/>
  <c r="K12" i="289"/>
  <c r="J12" i="289"/>
  <c r="I12" i="289"/>
  <c r="D12" i="289"/>
  <c r="E12" i="289" s="1"/>
  <c r="L11" i="289"/>
  <c r="K11" i="289"/>
  <c r="I11" i="289"/>
  <c r="J11" i="289" s="1"/>
  <c r="E11" i="289"/>
  <c r="D11" i="289"/>
  <c r="F11" i="289" s="1"/>
  <c r="L10" i="289"/>
  <c r="K10" i="289"/>
  <c r="J10" i="289"/>
  <c r="I10" i="289"/>
  <c r="D10" i="289"/>
  <c r="L9" i="289"/>
  <c r="I9" i="289"/>
  <c r="F9" i="289"/>
  <c r="E9" i="289"/>
  <c r="D9" i="289"/>
  <c r="L8" i="289"/>
  <c r="K8" i="289"/>
  <c r="J8" i="289"/>
  <c r="I8" i="289"/>
  <c r="F8" i="289"/>
  <c r="D8" i="289"/>
  <c r="E8" i="289" s="1"/>
  <c r="K7" i="289"/>
  <c r="I7" i="289"/>
  <c r="L7" i="289" s="1"/>
  <c r="F7" i="289"/>
  <c r="E7" i="289"/>
  <c r="D7" i="289"/>
  <c r="H6" i="289"/>
  <c r="I6" i="289" s="1"/>
  <c r="C6" i="289"/>
  <c r="D6" i="289" s="1"/>
  <c r="E6" i="289" s="1"/>
  <c r="L5" i="289"/>
  <c r="J5" i="289"/>
  <c r="I5" i="289"/>
  <c r="K5" i="289" s="1"/>
  <c r="F5" i="289"/>
  <c r="D5" i="289"/>
  <c r="E5" i="289" s="1"/>
  <c r="I4" i="289"/>
  <c r="F4" i="289"/>
  <c r="E4" i="289"/>
  <c r="D4" i="289"/>
  <c r="N15" i="210"/>
  <c r="M15" i="210"/>
  <c r="D15" i="210"/>
  <c r="N14" i="210"/>
  <c r="M14" i="210"/>
  <c r="L14" i="210"/>
  <c r="K14" i="210"/>
  <c r="I14" i="210"/>
  <c r="J14" i="210" s="1"/>
  <c r="E14" i="210"/>
  <c r="D14" i="210"/>
  <c r="F14" i="210" s="1"/>
  <c r="N13" i="210"/>
  <c r="M13" i="210"/>
  <c r="L13" i="210"/>
  <c r="J13" i="210"/>
  <c r="I13" i="210"/>
  <c r="K13" i="210" s="1"/>
  <c r="F13" i="210"/>
  <c r="E13" i="210"/>
  <c r="D13" i="210"/>
  <c r="N12" i="210"/>
  <c r="M12" i="210"/>
  <c r="I12" i="210"/>
  <c r="F12" i="210"/>
  <c r="D12" i="210"/>
  <c r="E12" i="210" s="1"/>
  <c r="N11" i="210"/>
  <c r="M11" i="210"/>
  <c r="J11" i="210"/>
  <c r="I11" i="210"/>
  <c r="F11" i="210"/>
  <c r="E11" i="210"/>
  <c r="D11" i="210"/>
  <c r="N10" i="210"/>
  <c r="M10" i="210"/>
  <c r="K10" i="210"/>
  <c r="J10" i="210"/>
  <c r="I10" i="210"/>
  <c r="L10" i="210" s="1"/>
  <c r="F10" i="210"/>
  <c r="E10" i="210"/>
  <c r="D10" i="210"/>
  <c r="N9" i="210"/>
  <c r="M9" i="210"/>
  <c r="K9" i="210"/>
  <c r="I9" i="210"/>
  <c r="F9" i="210"/>
  <c r="D9" i="210"/>
  <c r="E9" i="210" s="1"/>
  <c r="N8" i="210"/>
  <c r="M8" i="210"/>
  <c r="K8" i="210"/>
  <c r="I8" i="210"/>
  <c r="E8" i="210"/>
  <c r="D8" i="210"/>
  <c r="F8" i="210" s="1"/>
  <c r="N7" i="210"/>
  <c r="M7" i="210"/>
  <c r="K7" i="210"/>
  <c r="J7" i="210"/>
  <c r="I7" i="210"/>
  <c r="D7" i="210"/>
  <c r="L6" i="210"/>
  <c r="F6" i="210"/>
  <c r="E6" i="210"/>
  <c r="D6" i="210"/>
  <c r="D5" i="210"/>
  <c r="E5" i="210" s="1"/>
  <c r="D4" i="210"/>
  <c r="C24" i="342"/>
  <c r="B24" i="342"/>
  <c r="R23" i="342"/>
  <c r="S23" i="342" s="1"/>
  <c r="Q23" i="342"/>
  <c r="R22" i="342"/>
  <c r="Q22" i="342"/>
  <c r="S22" i="342" s="1"/>
  <c r="D22" i="342"/>
  <c r="R21" i="342"/>
  <c r="Q21" i="342"/>
  <c r="S21" i="342" s="1"/>
  <c r="D21" i="342"/>
  <c r="R20" i="342"/>
  <c r="Q20" i="342"/>
  <c r="D20" i="342"/>
  <c r="R19" i="342"/>
  <c r="Q19" i="342"/>
  <c r="S19" i="342" s="1"/>
  <c r="D19" i="342"/>
  <c r="S18" i="342"/>
  <c r="R18" i="342"/>
  <c r="Q18" i="342"/>
  <c r="D18" i="342"/>
  <c r="R17" i="342"/>
  <c r="Q17" i="342"/>
  <c r="S17" i="342" s="1"/>
  <c r="D17" i="342"/>
  <c r="R16" i="342"/>
  <c r="S16" i="342" s="1"/>
  <c r="Q16" i="342"/>
  <c r="D16" i="342"/>
  <c r="R15" i="342"/>
  <c r="Q15" i="342"/>
  <c r="S15" i="342" s="1"/>
  <c r="D15" i="342"/>
  <c r="R14" i="342"/>
  <c r="Q14" i="342"/>
  <c r="S14" i="342" s="1"/>
  <c r="D14" i="342"/>
  <c r="R13" i="342"/>
  <c r="Q13" i="342"/>
  <c r="S13" i="342" s="1"/>
  <c r="D13" i="342"/>
  <c r="S12" i="342"/>
  <c r="R12" i="342"/>
  <c r="Q12" i="342"/>
  <c r="D12" i="342"/>
  <c r="R11" i="342"/>
  <c r="Q11" i="342"/>
  <c r="D11" i="342"/>
  <c r="R10" i="342"/>
  <c r="S10" i="342" s="1"/>
  <c r="Q10" i="342"/>
  <c r="D10" i="342"/>
  <c r="R9" i="342"/>
  <c r="Q9" i="342"/>
  <c r="S9" i="342" s="1"/>
  <c r="D9" i="342"/>
  <c r="D24" i="342" s="1"/>
  <c r="S8" i="342"/>
  <c r="R8" i="342"/>
  <c r="Q8" i="342"/>
  <c r="D8" i="342"/>
  <c r="R7" i="342"/>
  <c r="Q7" i="342"/>
  <c r="S7" i="342" s="1"/>
  <c r="D7" i="342"/>
  <c r="R6" i="342"/>
  <c r="R24" i="342" s="1"/>
  <c r="Q6" i="342"/>
  <c r="D6" i="342"/>
  <c r="R5" i="342"/>
  <c r="Q5" i="342"/>
  <c r="S5" i="342" s="1"/>
  <c r="D5" i="342"/>
  <c r="D4" i="342"/>
  <c r="C36" i="341"/>
  <c r="D36" i="341" s="1"/>
  <c r="B36" i="341"/>
  <c r="D35" i="341"/>
  <c r="D34" i="341"/>
  <c r="D33" i="341"/>
  <c r="D32" i="341"/>
  <c r="D31" i="341"/>
  <c r="D30" i="341"/>
  <c r="D29" i="341"/>
  <c r="D28" i="341"/>
  <c r="D27" i="341"/>
  <c r="D26" i="341"/>
  <c r="D25" i="341"/>
  <c r="D24" i="341"/>
  <c r="D23" i="341"/>
  <c r="D22" i="341"/>
  <c r="D21" i="341"/>
  <c r="D20" i="341"/>
  <c r="D19" i="341"/>
  <c r="D18" i="341"/>
  <c r="D17" i="341"/>
  <c r="D16" i="341"/>
  <c r="D15" i="341"/>
  <c r="D14" i="341"/>
  <c r="D13" i="341"/>
  <c r="D12" i="341"/>
  <c r="D11" i="341"/>
  <c r="D10" i="341"/>
  <c r="D9" i="341"/>
  <c r="D8" i="341"/>
  <c r="D7" i="341"/>
  <c r="D6" i="341"/>
  <c r="D5" i="341"/>
  <c r="D4" i="341"/>
  <c r="T13" i="340"/>
  <c r="S13" i="340"/>
  <c r="R13" i="340"/>
  <c r="Q13" i="340"/>
  <c r="P13" i="340"/>
  <c r="O13" i="340"/>
  <c r="N13" i="340"/>
  <c r="M13" i="340"/>
  <c r="L13" i="340"/>
  <c r="K13" i="340"/>
  <c r="J13" i="340"/>
  <c r="I13" i="340"/>
  <c r="H13" i="340"/>
  <c r="G13" i="340"/>
  <c r="F13" i="340"/>
  <c r="E13" i="340"/>
  <c r="D13" i="340"/>
  <c r="C13" i="340"/>
  <c r="B13" i="340"/>
  <c r="U12" i="340"/>
  <c r="U11" i="340"/>
  <c r="U10" i="340"/>
  <c r="U9" i="340"/>
  <c r="U8" i="340"/>
  <c r="U7" i="340"/>
  <c r="U6" i="340"/>
  <c r="U5" i="340"/>
  <c r="U4" i="340"/>
  <c r="E13" i="339"/>
  <c r="D13" i="339"/>
  <c r="C13" i="339"/>
  <c r="B13" i="339"/>
  <c r="G12" i="339"/>
  <c r="H12" i="339" s="1"/>
  <c r="F12" i="339"/>
  <c r="G11" i="339"/>
  <c r="H11" i="339" s="1"/>
  <c r="F11" i="339"/>
  <c r="G10" i="339"/>
  <c r="H10" i="339" s="1"/>
  <c r="F10" i="339"/>
  <c r="G9" i="339"/>
  <c r="H9" i="339" s="1"/>
  <c r="F9" i="339"/>
  <c r="G8" i="339"/>
  <c r="F8" i="339"/>
  <c r="H8" i="339" s="1"/>
  <c r="G7" i="339"/>
  <c r="H7" i="339" s="1"/>
  <c r="F7" i="339"/>
  <c r="H6" i="339"/>
  <c r="G6" i="339"/>
  <c r="F6" i="339"/>
  <c r="G5" i="339"/>
  <c r="H5" i="339" s="1"/>
  <c r="F5" i="339"/>
  <c r="G4" i="339"/>
  <c r="F4" i="339"/>
  <c r="C13" i="338"/>
  <c r="B13" i="338"/>
  <c r="E12" i="338"/>
  <c r="D12" i="338"/>
  <c r="E11" i="338"/>
  <c r="D11" i="338"/>
  <c r="E10" i="338"/>
  <c r="D10" i="338"/>
  <c r="E9" i="338"/>
  <c r="D9" i="338"/>
  <c r="E8" i="338"/>
  <c r="D8" i="338"/>
  <c r="E7" i="338"/>
  <c r="D7" i="338"/>
  <c r="E6" i="338"/>
  <c r="D6" i="338"/>
  <c r="E5" i="338"/>
  <c r="D5" i="338"/>
  <c r="E4" i="338"/>
  <c r="D4" i="338"/>
  <c r="C13" i="337"/>
  <c r="B13" i="337"/>
  <c r="E12" i="337"/>
  <c r="D12" i="337"/>
  <c r="E11" i="337"/>
  <c r="D11" i="337"/>
  <c r="E10" i="337"/>
  <c r="D10" i="337"/>
  <c r="E9" i="337"/>
  <c r="D9" i="337"/>
  <c r="E8" i="337"/>
  <c r="D8" i="337"/>
  <c r="E7" i="337"/>
  <c r="D7" i="337"/>
  <c r="E6" i="337"/>
  <c r="D6" i="337"/>
  <c r="E5" i="337"/>
  <c r="D5" i="337"/>
  <c r="D13" i="337" s="1"/>
  <c r="E4" i="337"/>
  <c r="D4" i="337"/>
  <c r="D13" i="185"/>
  <c r="B13" i="185"/>
  <c r="G12" i="185"/>
  <c r="F12" i="185"/>
  <c r="E12" i="185"/>
  <c r="C12" i="185"/>
  <c r="G11" i="185"/>
  <c r="F11" i="185"/>
  <c r="E11" i="185" s="1"/>
  <c r="C11" i="185"/>
  <c r="G10" i="185"/>
  <c r="E10" i="185"/>
  <c r="C10" i="185"/>
  <c r="G9" i="185"/>
  <c r="E9" i="185"/>
  <c r="C9" i="185"/>
  <c r="G8" i="185"/>
  <c r="E8" i="185"/>
  <c r="C8" i="185"/>
  <c r="F5" i="185"/>
  <c r="B9" i="179"/>
  <c r="C7" i="179" s="1"/>
  <c r="C12" i="357"/>
  <c r="G10" i="357"/>
  <c r="D10" i="357"/>
  <c r="F10" i="357" s="1"/>
  <c r="G9" i="357"/>
  <c r="F9" i="357"/>
  <c r="G8" i="357"/>
  <c r="F8" i="357"/>
  <c r="G7" i="357"/>
  <c r="F7" i="357"/>
  <c r="G6" i="357"/>
  <c r="F6" i="357"/>
  <c r="G5" i="357"/>
  <c r="F5" i="357"/>
  <c r="G4" i="357"/>
  <c r="F4" i="357"/>
  <c r="IJ33" i="359"/>
  <c r="II33" i="359"/>
  <c r="IG33" i="359"/>
  <c r="IF33" i="359"/>
  <c r="ID33" i="359"/>
  <c r="IC33" i="359"/>
  <c r="IA33" i="359"/>
  <c r="HZ33" i="359"/>
  <c r="HX33" i="359"/>
  <c r="HW33" i="359"/>
  <c r="HU33" i="359"/>
  <c r="HT33" i="359"/>
  <c r="HR33" i="359"/>
  <c r="HQ33" i="359"/>
  <c r="HO33" i="359"/>
  <c r="HN33" i="359"/>
  <c r="HL33" i="359"/>
  <c r="HK33" i="359"/>
  <c r="HI33" i="359"/>
  <c r="HH33" i="359"/>
  <c r="HF33" i="359"/>
  <c r="HE33" i="359"/>
  <c r="HC33" i="359"/>
  <c r="HB33" i="359"/>
  <c r="GZ33" i="359"/>
  <c r="GY33" i="359"/>
  <c r="GW33" i="359"/>
  <c r="GV33" i="359"/>
  <c r="GT33" i="359"/>
  <c r="GS33" i="359"/>
  <c r="GQ33" i="359"/>
  <c r="GP33" i="359"/>
  <c r="GN33" i="359"/>
  <c r="GM33" i="359"/>
  <c r="GK33" i="359"/>
  <c r="GJ33" i="359"/>
  <c r="GH33" i="359"/>
  <c r="GG33" i="359"/>
  <c r="GE33" i="359"/>
  <c r="GD33" i="359"/>
  <c r="GB33" i="359"/>
  <c r="GA33" i="359"/>
  <c r="FY33" i="359"/>
  <c r="FX33" i="359"/>
  <c r="FV33" i="359"/>
  <c r="FU33" i="359"/>
  <c r="FS33" i="359"/>
  <c r="FR33" i="359"/>
  <c r="FP33" i="359"/>
  <c r="FO33" i="359"/>
  <c r="FM33" i="359"/>
  <c r="FL33" i="359"/>
  <c r="FJ33" i="359"/>
  <c r="FI33" i="359"/>
  <c r="FG33" i="359"/>
  <c r="FF33" i="359"/>
  <c r="FD33" i="359"/>
  <c r="FC33" i="359"/>
  <c r="FA33" i="359"/>
  <c r="EZ33" i="359"/>
  <c r="EX33" i="359"/>
  <c r="EW33" i="359"/>
  <c r="EU33" i="359"/>
  <c r="ET33" i="359"/>
  <c r="ER33" i="359"/>
  <c r="EQ33" i="359"/>
  <c r="EO33" i="359"/>
  <c r="EN33" i="359"/>
  <c r="EL33" i="359"/>
  <c r="EK33" i="359"/>
  <c r="EI33" i="359"/>
  <c r="EH33" i="359"/>
  <c r="EF33" i="359"/>
  <c r="EE33" i="359"/>
  <c r="EC33" i="359"/>
  <c r="EB33" i="359"/>
  <c r="DZ33" i="359"/>
  <c r="DY33" i="359"/>
  <c r="DW33" i="359"/>
  <c r="DV33" i="359"/>
  <c r="DT33" i="359"/>
  <c r="DS33" i="359"/>
  <c r="DQ33" i="359"/>
  <c r="DP33" i="359"/>
  <c r="DN33" i="359"/>
  <c r="DM33" i="359"/>
  <c r="DK33" i="359"/>
  <c r="DJ33" i="359"/>
  <c r="DH33" i="359"/>
  <c r="DG33" i="359"/>
  <c r="DE33" i="359"/>
  <c r="DD33" i="359"/>
  <c r="DB33" i="359"/>
  <c r="DA33" i="359"/>
  <c r="CY33" i="359"/>
  <c r="CX33" i="359"/>
  <c r="CV33" i="359"/>
  <c r="CU33" i="359"/>
  <c r="CS33" i="359"/>
  <c r="CR33" i="359"/>
  <c r="CP33" i="359"/>
  <c r="CO33" i="359"/>
  <c r="CM33" i="359"/>
  <c r="CL33" i="359"/>
  <c r="CK33" i="359"/>
  <c r="CJ33" i="359"/>
  <c r="CH33" i="359"/>
  <c r="CG33" i="359"/>
  <c r="CE33" i="359"/>
  <c r="CD33" i="359"/>
  <c r="CB33" i="359"/>
  <c r="CA33" i="359"/>
  <c r="BZ33" i="359"/>
  <c r="BY33" i="359"/>
  <c r="BW33" i="359"/>
  <c r="BV33" i="359"/>
  <c r="BT33" i="359"/>
  <c r="BS33" i="359"/>
  <c r="BQ33" i="359"/>
  <c r="BP33" i="359"/>
  <c r="BN33" i="359"/>
  <c r="BM33" i="359"/>
  <c r="BK33" i="359"/>
  <c r="BJ33" i="359"/>
  <c r="BH33" i="359"/>
  <c r="BG33" i="359"/>
  <c r="BE33" i="359"/>
  <c r="BD33" i="359"/>
  <c r="BB33" i="359"/>
  <c r="BA33" i="359"/>
  <c r="AY33" i="359"/>
  <c r="AX33" i="359"/>
  <c r="AV33" i="359"/>
  <c r="AU33" i="359"/>
  <c r="AS33" i="359"/>
  <c r="AR33" i="359"/>
  <c r="AP33" i="359"/>
  <c r="AO33" i="359"/>
  <c r="AM33" i="359"/>
  <c r="AL33" i="359"/>
  <c r="AJ33" i="359"/>
  <c r="AI33" i="359"/>
  <c r="AG33" i="359"/>
  <c r="AF33" i="359"/>
  <c r="AD33" i="359"/>
  <c r="AC33" i="359"/>
  <c r="AA33" i="359"/>
  <c r="Z33" i="359"/>
  <c r="X33" i="359"/>
  <c r="W33" i="359"/>
  <c r="U33" i="359"/>
  <c r="T33" i="359"/>
  <c r="R33" i="359"/>
  <c r="Q33" i="359"/>
  <c r="O33" i="359"/>
  <c r="N33" i="359"/>
  <c r="L33" i="359"/>
  <c r="K33" i="359"/>
  <c r="I33" i="359"/>
  <c r="H33" i="359"/>
  <c r="F33" i="359"/>
  <c r="E33" i="359"/>
  <c r="C33" i="359"/>
  <c r="B33" i="359"/>
  <c r="IK32" i="359"/>
  <c r="IL32" i="359" s="1"/>
  <c r="IH32" i="359"/>
  <c r="IE32" i="359"/>
  <c r="IB32" i="359"/>
  <c r="HY32" i="359"/>
  <c r="HV32" i="359"/>
  <c r="HS32" i="359"/>
  <c r="HP32" i="359"/>
  <c r="HM32" i="359"/>
  <c r="HJ32" i="359"/>
  <c r="HG32" i="359"/>
  <c r="HD32" i="359"/>
  <c r="HA32" i="359"/>
  <c r="GX32" i="359"/>
  <c r="GU32" i="359"/>
  <c r="GR32" i="359"/>
  <c r="GO32" i="359"/>
  <c r="GL32" i="359"/>
  <c r="GI32" i="359"/>
  <c r="GF32" i="359"/>
  <c r="GC32" i="359"/>
  <c r="FZ32" i="359"/>
  <c r="FW32" i="359"/>
  <c r="FT32" i="359"/>
  <c r="FQ32" i="359"/>
  <c r="FN32" i="359"/>
  <c r="FK32" i="359"/>
  <c r="FH32" i="359"/>
  <c r="FE32" i="359"/>
  <c r="FB32" i="359"/>
  <c r="EY32" i="359"/>
  <c r="EV32" i="359"/>
  <c r="ES32" i="359"/>
  <c r="EP32" i="359"/>
  <c r="EM32" i="359"/>
  <c r="EJ32" i="359"/>
  <c r="EG32" i="359"/>
  <c r="ED32" i="359"/>
  <c r="EA32" i="359"/>
  <c r="DX32" i="359"/>
  <c r="DU32" i="359"/>
  <c r="DR32" i="359"/>
  <c r="DO32" i="359"/>
  <c r="DL32" i="359"/>
  <c r="DI32" i="359"/>
  <c r="DF32" i="359"/>
  <c r="DC32" i="359"/>
  <c r="CZ32" i="359"/>
  <c r="CW32" i="359"/>
  <c r="CT32" i="359"/>
  <c r="CQ32" i="359"/>
  <c r="CN32" i="359"/>
  <c r="CI32" i="359"/>
  <c r="CF32" i="359"/>
  <c r="CC32" i="359"/>
  <c r="BX32" i="359"/>
  <c r="BU32" i="359"/>
  <c r="BR32" i="359"/>
  <c r="BO32" i="359"/>
  <c r="BL32" i="359"/>
  <c r="BI32" i="359"/>
  <c r="BF32" i="359"/>
  <c r="BC32" i="359"/>
  <c r="AZ32" i="359"/>
  <c r="AW32" i="359"/>
  <c r="AT32" i="359"/>
  <c r="AQ32" i="359"/>
  <c r="AN32" i="359"/>
  <c r="AK32" i="359"/>
  <c r="AH32" i="359"/>
  <c r="AE32" i="359"/>
  <c r="AB32" i="359"/>
  <c r="Y32" i="359"/>
  <c r="V32" i="359"/>
  <c r="S32" i="359"/>
  <c r="P32" i="359"/>
  <c r="M32" i="359"/>
  <c r="J32" i="359"/>
  <c r="G32" i="359"/>
  <c r="D32" i="359"/>
  <c r="IK31" i="359"/>
  <c r="IL31" i="359" s="1"/>
  <c r="IH31" i="359"/>
  <c r="IE31" i="359"/>
  <c r="IB31" i="359"/>
  <c r="HY31" i="359"/>
  <c r="HV31" i="359"/>
  <c r="HS31" i="359"/>
  <c r="HP31" i="359"/>
  <c r="HM31" i="359"/>
  <c r="HJ31" i="359"/>
  <c r="HG31" i="359"/>
  <c r="HD31" i="359"/>
  <c r="HA31" i="359"/>
  <c r="GX31" i="359"/>
  <c r="GU31" i="359"/>
  <c r="GR31" i="359"/>
  <c r="GO31" i="359"/>
  <c r="GL31" i="359"/>
  <c r="GI31" i="359"/>
  <c r="GF31" i="359"/>
  <c r="GC31" i="359"/>
  <c r="FZ31" i="359"/>
  <c r="FW31" i="359"/>
  <c r="FT31" i="359"/>
  <c r="FQ31" i="359"/>
  <c r="FN31" i="359"/>
  <c r="FK31" i="359"/>
  <c r="FH31" i="359"/>
  <c r="FE31" i="359"/>
  <c r="FB31" i="359"/>
  <c r="EY31" i="359"/>
  <c r="EV31" i="359"/>
  <c r="ES31" i="359"/>
  <c r="EP31" i="359"/>
  <c r="EM31" i="359"/>
  <c r="EJ31" i="359"/>
  <c r="EG31" i="359"/>
  <c r="ED31" i="359"/>
  <c r="EA31" i="359"/>
  <c r="DX31" i="359"/>
  <c r="DU31" i="359"/>
  <c r="DR31" i="359"/>
  <c r="DO31" i="359"/>
  <c r="DL31" i="359"/>
  <c r="DI31" i="359"/>
  <c r="DF31" i="359"/>
  <c r="DC31" i="359"/>
  <c r="CZ31" i="359"/>
  <c r="CW31" i="359"/>
  <c r="CT31" i="359"/>
  <c r="CQ31" i="359"/>
  <c r="CN31" i="359"/>
  <c r="CI31" i="359"/>
  <c r="CF31" i="359"/>
  <c r="CC31" i="359"/>
  <c r="BX31" i="359"/>
  <c r="BU31" i="359"/>
  <c r="BR31" i="359"/>
  <c r="BO31" i="359"/>
  <c r="BL31" i="359"/>
  <c r="BI31" i="359"/>
  <c r="BF31" i="359"/>
  <c r="BC31" i="359"/>
  <c r="AZ31" i="359"/>
  <c r="AW31" i="359"/>
  <c r="AT31" i="359"/>
  <c r="AQ31" i="359"/>
  <c r="AN31" i="359"/>
  <c r="AK31" i="359"/>
  <c r="AH31" i="359"/>
  <c r="AE31" i="359"/>
  <c r="AB31" i="359"/>
  <c r="Y31" i="359"/>
  <c r="V31" i="359"/>
  <c r="S31" i="359"/>
  <c r="P31" i="359"/>
  <c r="M31" i="359"/>
  <c r="J31" i="359"/>
  <c r="G31" i="359"/>
  <c r="D31" i="359"/>
  <c r="IK30" i="359"/>
  <c r="IL30" i="359" s="1"/>
  <c r="IH30" i="359"/>
  <c r="IE30" i="359"/>
  <c r="IB30" i="359"/>
  <c r="HY30" i="359"/>
  <c r="HV30" i="359"/>
  <c r="HS30" i="359"/>
  <c r="HP30" i="359"/>
  <c r="HM30" i="359"/>
  <c r="HJ30" i="359"/>
  <c r="HG30" i="359"/>
  <c r="HD30" i="359"/>
  <c r="HA30" i="359"/>
  <c r="GX30" i="359"/>
  <c r="GU30" i="359"/>
  <c r="GR30" i="359"/>
  <c r="GO30" i="359"/>
  <c r="GL30" i="359"/>
  <c r="GI30" i="359"/>
  <c r="GF30" i="359"/>
  <c r="GC30" i="359"/>
  <c r="FZ30" i="359"/>
  <c r="FW30" i="359"/>
  <c r="FT30" i="359"/>
  <c r="FQ30" i="359"/>
  <c r="FN30" i="359"/>
  <c r="FK30" i="359"/>
  <c r="FH30" i="359"/>
  <c r="FE30" i="359"/>
  <c r="FB30" i="359"/>
  <c r="EY30" i="359"/>
  <c r="EV30" i="359"/>
  <c r="ES30" i="359"/>
  <c r="EP30" i="359"/>
  <c r="EM30" i="359"/>
  <c r="EJ30" i="359"/>
  <c r="EG30" i="359"/>
  <c r="ED30" i="359"/>
  <c r="EA30" i="359"/>
  <c r="DX30" i="359"/>
  <c r="DU30" i="359"/>
  <c r="DR30" i="359"/>
  <c r="DO30" i="359"/>
  <c r="DL30" i="359"/>
  <c r="DI30" i="359"/>
  <c r="DF30" i="359"/>
  <c r="DC30" i="359"/>
  <c r="CZ30" i="359"/>
  <c r="CW30" i="359"/>
  <c r="CT30" i="359"/>
  <c r="CQ30" i="359"/>
  <c r="CN30" i="359"/>
  <c r="CI30" i="359"/>
  <c r="CF30" i="359"/>
  <c r="CC30" i="359"/>
  <c r="BX30" i="359"/>
  <c r="BU30" i="359"/>
  <c r="BR30" i="359"/>
  <c r="BO30" i="359"/>
  <c r="BL30" i="359"/>
  <c r="BI30" i="359"/>
  <c r="BF30" i="359"/>
  <c r="BC30" i="359"/>
  <c r="AZ30" i="359"/>
  <c r="AW30" i="359"/>
  <c r="AT30" i="359"/>
  <c r="AQ30" i="359"/>
  <c r="AN30" i="359"/>
  <c r="AK30" i="359"/>
  <c r="AH30" i="359"/>
  <c r="AE30" i="359"/>
  <c r="AB30" i="359"/>
  <c r="Y30" i="359"/>
  <c r="V30" i="359"/>
  <c r="S30" i="359"/>
  <c r="P30" i="359"/>
  <c r="M30" i="359"/>
  <c r="J30" i="359"/>
  <c r="G30" i="359"/>
  <c r="D30" i="359"/>
  <c r="IK29" i="359"/>
  <c r="IL29" i="359" s="1"/>
  <c r="IH29" i="359"/>
  <c r="IE29" i="359"/>
  <c r="IB29" i="359"/>
  <c r="HY29" i="359"/>
  <c r="HV29" i="359"/>
  <c r="HS29" i="359"/>
  <c r="HP29" i="359"/>
  <c r="HM29" i="359"/>
  <c r="HJ29" i="359"/>
  <c r="HG29" i="359"/>
  <c r="HD29" i="359"/>
  <c r="HA29" i="359"/>
  <c r="GX29" i="359"/>
  <c r="GU29" i="359"/>
  <c r="GR29" i="359"/>
  <c r="GO29" i="359"/>
  <c r="GL29" i="359"/>
  <c r="GI29" i="359"/>
  <c r="GF29" i="359"/>
  <c r="GC29" i="359"/>
  <c r="FZ29" i="359"/>
  <c r="FW29" i="359"/>
  <c r="FT29" i="359"/>
  <c r="FQ29" i="359"/>
  <c r="FN29" i="359"/>
  <c r="FK29" i="359"/>
  <c r="FH29" i="359"/>
  <c r="FE29" i="359"/>
  <c r="FB29" i="359"/>
  <c r="EY29" i="359"/>
  <c r="EV29" i="359"/>
  <c r="ES29" i="359"/>
  <c r="EP29" i="359"/>
  <c r="EM29" i="359"/>
  <c r="EJ29" i="359"/>
  <c r="EG29" i="359"/>
  <c r="ED29" i="359"/>
  <c r="EA29" i="359"/>
  <c r="DX29" i="359"/>
  <c r="DU29" i="359"/>
  <c r="DR29" i="359"/>
  <c r="DO29" i="359"/>
  <c r="DL29" i="359"/>
  <c r="DI29" i="359"/>
  <c r="DF29" i="359"/>
  <c r="DC29" i="359"/>
  <c r="CZ29" i="359"/>
  <c r="CW29" i="359"/>
  <c r="CT29" i="359"/>
  <c r="CQ29" i="359"/>
  <c r="CN29" i="359"/>
  <c r="CI29" i="359"/>
  <c r="CF29" i="359"/>
  <c r="CC29" i="359"/>
  <c r="BX29" i="359"/>
  <c r="BU29" i="359"/>
  <c r="BR29" i="359"/>
  <c r="BO29" i="359"/>
  <c r="BL29" i="359"/>
  <c r="BI29" i="359"/>
  <c r="BF29" i="359"/>
  <c r="BC29" i="359"/>
  <c r="AZ29" i="359"/>
  <c r="AW29" i="359"/>
  <c r="AT29" i="359"/>
  <c r="AQ29" i="359"/>
  <c r="AN29" i="359"/>
  <c r="AK29" i="359"/>
  <c r="AH29" i="359"/>
  <c r="AE29" i="359"/>
  <c r="AB29" i="359"/>
  <c r="Y29" i="359"/>
  <c r="V29" i="359"/>
  <c r="S29" i="359"/>
  <c r="P29" i="359"/>
  <c r="M29" i="359"/>
  <c r="J29" i="359"/>
  <c r="G29" i="359"/>
  <c r="D29" i="359"/>
  <c r="IK28" i="359"/>
  <c r="IL28" i="359" s="1"/>
  <c r="IH28" i="359"/>
  <c r="IE28" i="359"/>
  <c r="IB28" i="359"/>
  <c r="HY28" i="359"/>
  <c r="HV28" i="359"/>
  <c r="HS28" i="359"/>
  <c r="HP28" i="359"/>
  <c r="HM28" i="359"/>
  <c r="HJ28" i="359"/>
  <c r="HG28" i="359"/>
  <c r="HD28" i="359"/>
  <c r="HA28" i="359"/>
  <c r="GX28" i="359"/>
  <c r="GU28" i="359"/>
  <c r="GR28" i="359"/>
  <c r="GO28" i="359"/>
  <c r="GL28" i="359"/>
  <c r="GI28" i="359"/>
  <c r="GF28" i="359"/>
  <c r="GC28" i="359"/>
  <c r="FZ28" i="359"/>
  <c r="FW28" i="359"/>
  <c r="FT28" i="359"/>
  <c r="FQ28" i="359"/>
  <c r="FN28" i="359"/>
  <c r="FK28" i="359"/>
  <c r="FH28" i="359"/>
  <c r="FE28" i="359"/>
  <c r="FB28" i="359"/>
  <c r="EY28" i="359"/>
  <c r="EV28" i="359"/>
  <c r="ES28" i="359"/>
  <c r="EP28" i="359"/>
  <c r="EM28" i="359"/>
  <c r="EJ28" i="359"/>
  <c r="EG28" i="359"/>
  <c r="ED28" i="359"/>
  <c r="EA28" i="359"/>
  <c r="DX28" i="359"/>
  <c r="DU28" i="359"/>
  <c r="DR28" i="359"/>
  <c r="DO28" i="359"/>
  <c r="DL28" i="359"/>
  <c r="DI28" i="359"/>
  <c r="DF28" i="359"/>
  <c r="DC28" i="359"/>
  <c r="CZ28" i="359"/>
  <c r="CW28" i="359"/>
  <c r="CT28" i="359"/>
  <c r="CQ28" i="359"/>
  <c r="CN28" i="359"/>
  <c r="CI28" i="359"/>
  <c r="CF28" i="359"/>
  <c r="CC28" i="359"/>
  <c r="BX28" i="359"/>
  <c r="BU28" i="359"/>
  <c r="BR28" i="359"/>
  <c r="BO28" i="359"/>
  <c r="BL28" i="359"/>
  <c r="BI28" i="359"/>
  <c r="BF28" i="359"/>
  <c r="BC28" i="359"/>
  <c r="AZ28" i="359"/>
  <c r="AW28" i="359"/>
  <c r="AT28" i="359"/>
  <c r="AQ28" i="359"/>
  <c r="AN28" i="359"/>
  <c r="AK28" i="359"/>
  <c r="AH28" i="359"/>
  <c r="AE28" i="359"/>
  <c r="AB28" i="359"/>
  <c r="Y28" i="359"/>
  <c r="V28" i="359"/>
  <c r="S28" i="359"/>
  <c r="P28" i="359"/>
  <c r="M28" i="359"/>
  <c r="J28" i="359"/>
  <c r="G28" i="359"/>
  <c r="D28" i="359"/>
  <c r="IK27" i="359"/>
  <c r="IL27" i="359" s="1"/>
  <c r="IH27" i="359"/>
  <c r="IE27" i="359"/>
  <c r="IB27" i="359"/>
  <c r="HY27" i="359"/>
  <c r="HV27" i="359"/>
  <c r="HS27" i="359"/>
  <c r="HP27" i="359"/>
  <c r="HM27" i="359"/>
  <c r="HJ27" i="359"/>
  <c r="HG27" i="359"/>
  <c r="HD27" i="359"/>
  <c r="HA27" i="359"/>
  <c r="GX27" i="359"/>
  <c r="GU27" i="359"/>
  <c r="GR27" i="359"/>
  <c r="GO27" i="359"/>
  <c r="GL27" i="359"/>
  <c r="GI27" i="359"/>
  <c r="GF27" i="359"/>
  <c r="GC27" i="359"/>
  <c r="FZ27" i="359"/>
  <c r="FW27" i="359"/>
  <c r="FT27" i="359"/>
  <c r="FQ27" i="359"/>
  <c r="FN27" i="359"/>
  <c r="FK27" i="359"/>
  <c r="FH27" i="359"/>
  <c r="FE27" i="359"/>
  <c r="FB27" i="359"/>
  <c r="EY27" i="359"/>
  <c r="EV27" i="359"/>
  <c r="ES27" i="359"/>
  <c r="EP27" i="359"/>
  <c r="EM27" i="359"/>
  <c r="EJ27" i="359"/>
  <c r="EG27" i="359"/>
  <c r="ED27" i="359"/>
  <c r="EA27" i="359"/>
  <c r="DX27" i="359"/>
  <c r="DU27" i="359"/>
  <c r="DR27" i="359"/>
  <c r="DO27" i="359"/>
  <c r="DL27" i="359"/>
  <c r="DI27" i="359"/>
  <c r="DF27" i="359"/>
  <c r="DC27" i="359"/>
  <c r="CZ27" i="359"/>
  <c r="CW27" i="359"/>
  <c r="CT27" i="359"/>
  <c r="CQ27" i="359"/>
  <c r="CN27" i="359"/>
  <c r="CI27" i="359"/>
  <c r="CF27" i="359"/>
  <c r="CC27" i="359"/>
  <c r="BX27" i="359"/>
  <c r="BU27" i="359"/>
  <c r="BR27" i="359"/>
  <c r="BO27" i="359"/>
  <c r="BL27" i="359"/>
  <c r="BI27" i="359"/>
  <c r="BF27" i="359"/>
  <c r="BC27" i="359"/>
  <c r="AZ27" i="359"/>
  <c r="AW27" i="359"/>
  <c r="AT27" i="359"/>
  <c r="AQ27" i="359"/>
  <c r="AN27" i="359"/>
  <c r="AK27" i="359"/>
  <c r="AH27" i="359"/>
  <c r="AE27" i="359"/>
  <c r="AB27" i="359"/>
  <c r="Y27" i="359"/>
  <c r="V27" i="359"/>
  <c r="S27" i="359"/>
  <c r="P27" i="359"/>
  <c r="M27" i="359"/>
  <c r="J27" i="359"/>
  <c r="G27" i="359"/>
  <c r="D27" i="359"/>
  <c r="IK26" i="359"/>
  <c r="IH26" i="359"/>
  <c r="IE26" i="359"/>
  <c r="IB26" i="359"/>
  <c r="HY26" i="359"/>
  <c r="HV26" i="359"/>
  <c r="HS26" i="359"/>
  <c r="HP26" i="359"/>
  <c r="HM26" i="359"/>
  <c r="HJ26" i="359"/>
  <c r="HG26" i="359"/>
  <c r="HD26" i="359"/>
  <c r="HA26" i="359"/>
  <c r="GX26" i="359"/>
  <c r="GU26" i="359"/>
  <c r="GR26" i="359"/>
  <c r="GO26" i="359"/>
  <c r="GL26" i="359"/>
  <c r="GI26" i="359"/>
  <c r="GF26" i="359"/>
  <c r="GC26" i="359"/>
  <c r="FZ26" i="359"/>
  <c r="FW26" i="359"/>
  <c r="FT26" i="359"/>
  <c r="FQ26" i="359"/>
  <c r="FN26" i="359"/>
  <c r="FK26" i="359"/>
  <c r="FH26" i="359"/>
  <c r="FE26" i="359"/>
  <c r="FB26" i="359"/>
  <c r="EY26" i="359"/>
  <c r="EV26" i="359"/>
  <c r="ES26" i="359"/>
  <c r="EP26" i="359"/>
  <c r="EM26" i="359"/>
  <c r="EJ26" i="359"/>
  <c r="EG26" i="359"/>
  <c r="ED26" i="359"/>
  <c r="EA26" i="359"/>
  <c r="DX26" i="359"/>
  <c r="DU26" i="359"/>
  <c r="DR26" i="359"/>
  <c r="DO26" i="359"/>
  <c r="DL26" i="359"/>
  <c r="DI26" i="359"/>
  <c r="DF26" i="359"/>
  <c r="DC26" i="359"/>
  <c r="CZ26" i="359"/>
  <c r="CW26" i="359"/>
  <c r="CT26" i="359"/>
  <c r="CQ26" i="359"/>
  <c r="CN26" i="359"/>
  <c r="CI26" i="359"/>
  <c r="CF26" i="359"/>
  <c r="CC26" i="359"/>
  <c r="BX26" i="359"/>
  <c r="BU26" i="359"/>
  <c r="BR26" i="359"/>
  <c r="BO26" i="359"/>
  <c r="BL26" i="359"/>
  <c r="BI26" i="359"/>
  <c r="BF26" i="359"/>
  <c r="BC26" i="359"/>
  <c r="AZ26" i="359"/>
  <c r="AW26" i="359"/>
  <c r="AT26" i="359"/>
  <c r="AQ26" i="359"/>
  <c r="AN26" i="359"/>
  <c r="AK26" i="359"/>
  <c r="AH26" i="359"/>
  <c r="AE26" i="359"/>
  <c r="AB26" i="359"/>
  <c r="Y26" i="359"/>
  <c r="V26" i="359"/>
  <c r="S26" i="359"/>
  <c r="P26" i="359"/>
  <c r="M26" i="359"/>
  <c r="J26" i="359"/>
  <c r="G26" i="359"/>
  <c r="D26" i="359"/>
  <c r="IK25" i="359"/>
  <c r="IH25" i="359"/>
  <c r="IE25" i="359"/>
  <c r="IB25" i="359"/>
  <c r="HY25" i="359"/>
  <c r="HV25" i="359"/>
  <c r="HS25" i="359"/>
  <c r="HP25" i="359"/>
  <c r="HM25" i="359"/>
  <c r="HJ25" i="359"/>
  <c r="HG25" i="359"/>
  <c r="HD25" i="359"/>
  <c r="HA25" i="359"/>
  <c r="GX25" i="359"/>
  <c r="GU25" i="359"/>
  <c r="GR25" i="359"/>
  <c r="GO25" i="359"/>
  <c r="GL25" i="359"/>
  <c r="GI25" i="359"/>
  <c r="GF25" i="359"/>
  <c r="GC25" i="359"/>
  <c r="FZ25" i="359"/>
  <c r="FW25" i="359"/>
  <c r="FT25" i="359"/>
  <c r="FQ25" i="359"/>
  <c r="FN25" i="359"/>
  <c r="FK25" i="359"/>
  <c r="FH25" i="359"/>
  <c r="FE25" i="359"/>
  <c r="FB25" i="359"/>
  <c r="EY25" i="359"/>
  <c r="EV25" i="359"/>
  <c r="ES25" i="359"/>
  <c r="EP25" i="359"/>
  <c r="EM25" i="359"/>
  <c r="EJ25" i="359"/>
  <c r="EG25" i="359"/>
  <c r="ED25" i="359"/>
  <c r="EA25" i="359"/>
  <c r="DX25" i="359"/>
  <c r="DU25" i="359"/>
  <c r="DR25" i="359"/>
  <c r="DO25" i="359"/>
  <c r="DL25" i="359"/>
  <c r="DI25" i="359"/>
  <c r="DF25" i="359"/>
  <c r="DC25" i="359"/>
  <c r="CZ25" i="359"/>
  <c r="CW25" i="359"/>
  <c r="CT25" i="359"/>
  <c r="CQ25" i="359"/>
  <c r="CN25" i="359"/>
  <c r="CI25" i="359"/>
  <c r="CF25" i="359"/>
  <c r="CC25" i="359"/>
  <c r="BX25" i="359"/>
  <c r="BU25" i="359"/>
  <c r="BR25" i="359"/>
  <c r="BO25" i="359"/>
  <c r="BL25" i="359"/>
  <c r="BI25" i="359"/>
  <c r="BF25" i="359"/>
  <c r="BC25" i="359"/>
  <c r="AZ25" i="359"/>
  <c r="AW25" i="359"/>
  <c r="AT25" i="359"/>
  <c r="AQ25" i="359"/>
  <c r="AN25" i="359"/>
  <c r="AK25" i="359"/>
  <c r="AH25" i="359"/>
  <c r="AE25" i="359"/>
  <c r="AB25" i="359"/>
  <c r="Y25" i="359"/>
  <c r="V25" i="359"/>
  <c r="S25" i="359"/>
  <c r="P25" i="359"/>
  <c r="M25" i="359"/>
  <c r="J25" i="359"/>
  <c r="G25" i="359"/>
  <c r="D25" i="359"/>
  <c r="IK24" i="359"/>
  <c r="IH24" i="359"/>
  <c r="IE24" i="359"/>
  <c r="IB24" i="359"/>
  <c r="HY24" i="359"/>
  <c r="HV24" i="359"/>
  <c r="HS24" i="359"/>
  <c r="HP24" i="359"/>
  <c r="HM24" i="359"/>
  <c r="HJ24" i="359"/>
  <c r="HG24" i="359"/>
  <c r="HD24" i="359"/>
  <c r="HA24" i="359"/>
  <c r="GX24" i="359"/>
  <c r="GU24" i="359"/>
  <c r="GR24" i="359"/>
  <c r="GO24" i="359"/>
  <c r="GL24" i="359"/>
  <c r="GI24" i="359"/>
  <c r="GF24" i="359"/>
  <c r="GC24" i="359"/>
  <c r="FZ24" i="359"/>
  <c r="FW24" i="359"/>
  <c r="FT24" i="359"/>
  <c r="FQ24" i="359"/>
  <c r="FN24" i="359"/>
  <c r="FK24" i="359"/>
  <c r="FH24" i="359"/>
  <c r="FE24" i="359"/>
  <c r="FB24" i="359"/>
  <c r="EY24" i="359"/>
  <c r="EV24" i="359"/>
  <c r="ES24" i="359"/>
  <c r="EP24" i="359"/>
  <c r="EM24" i="359"/>
  <c r="EJ24" i="359"/>
  <c r="EG24" i="359"/>
  <c r="ED24" i="359"/>
  <c r="EA24" i="359"/>
  <c r="DX24" i="359"/>
  <c r="DU24" i="359"/>
  <c r="DR24" i="359"/>
  <c r="DO24" i="359"/>
  <c r="DL24" i="359"/>
  <c r="DI24" i="359"/>
  <c r="DF24" i="359"/>
  <c r="DC24" i="359"/>
  <c r="CZ24" i="359"/>
  <c r="CW24" i="359"/>
  <c r="CT24" i="359"/>
  <c r="CQ24" i="359"/>
  <c r="CN24" i="359"/>
  <c r="CI24" i="359"/>
  <c r="CF24" i="359"/>
  <c r="CC24" i="359"/>
  <c r="BX24" i="359"/>
  <c r="BU24" i="359"/>
  <c r="BR24" i="359"/>
  <c r="BO24" i="359"/>
  <c r="BL24" i="359"/>
  <c r="BI24" i="359"/>
  <c r="BF24" i="359"/>
  <c r="BC24" i="359"/>
  <c r="AZ24" i="359"/>
  <c r="AW24" i="359"/>
  <c r="AT24" i="359"/>
  <c r="AQ24" i="359"/>
  <c r="AN24" i="359"/>
  <c r="AK24" i="359"/>
  <c r="AH24" i="359"/>
  <c r="AE24" i="359"/>
  <c r="AB24" i="359"/>
  <c r="Y24" i="359"/>
  <c r="V24" i="359"/>
  <c r="S24" i="359"/>
  <c r="P24" i="359"/>
  <c r="M24" i="359"/>
  <c r="J24" i="359"/>
  <c r="G24" i="359"/>
  <c r="D24" i="359"/>
  <c r="IK23" i="359"/>
  <c r="IH23" i="359"/>
  <c r="IE23" i="359"/>
  <c r="IB23" i="359"/>
  <c r="HY23" i="359"/>
  <c r="HV23" i="359"/>
  <c r="HS23" i="359"/>
  <c r="HP23" i="359"/>
  <c r="HM23" i="359"/>
  <c r="HJ23" i="359"/>
  <c r="HG23" i="359"/>
  <c r="HD23" i="359"/>
  <c r="HA23" i="359"/>
  <c r="GX23" i="359"/>
  <c r="GU23" i="359"/>
  <c r="GR23" i="359"/>
  <c r="GO23" i="359"/>
  <c r="GL23" i="359"/>
  <c r="GI23" i="359"/>
  <c r="GF23" i="359"/>
  <c r="GC23" i="359"/>
  <c r="FZ23" i="359"/>
  <c r="FW23" i="359"/>
  <c r="FT23" i="359"/>
  <c r="FQ23" i="359"/>
  <c r="FN23" i="359"/>
  <c r="FK23" i="359"/>
  <c r="FH23" i="359"/>
  <c r="FE23" i="359"/>
  <c r="FB23" i="359"/>
  <c r="EY23" i="359"/>
  <c r="EV23" i="359"/>
  <c r="ES23" i="359"/>
  <c r="EP23" i="359"/>
  <c r="EM23" i="359"/>
  <c r="EJ23" i="359"/>
  <c r="EG23" i="359"/>
  <c r="ED23" i="359"/>
  <c r="EA23" i="359"/>
  <c r="DX23" i="359"/>
  <c r="DU23" i="359"/>
  <c r="DR23" i="359"/>
  <c r="DO23" i="359"/>
  <c r="DL23" i="359"/>
  <c r="DI23" i="359"/>
  <c r="DF23" i="359"/>
  <c r="DC23" i="359"/>
  <c r="CZ23" i="359"/>
  <c r="CW23" i="359"/>
  <c r="CT23" i="359"/>
  <c r="CQ23" i="359"/>
  <c r="CN23" i="359"/>
  <c r="CI23" i="359"/>
  <c r="CF23" i="359"/>
  <c r="CC23" i="359"/>
  <c r="BX23" i="359"/>
  <c r="BU23" i="359"/>
  <c r="BR23" i="359"/>
  <c r="BO23" i="359"/>
  <c r="BL23" i="359"/>
  <c r="BI23" i="359"/>
  <c r="BF23" i="359"/>
  <c r="BC23" i="359"/>
  <c r="AZ23" i="359"/>
  <c r="AW23" i="359"/>
  <c r="AT23" i="359"/>
  <c r="AQ23" i="359"/>
  <c r="AN23" i="359"/>
  <c r="AK23" i="359"/>
  <c r="AH23" i="359"/>
  <c r="AE23" i="359"/>
  <c r="AB23" i="359"/>
  <c r="Y23" i="359"/>
  <c r="V23" i="359"/>
  <c r="S23" i="359"/>
  <c r="P23" i="359"/>
  <c r="M23" i="359"/>
  <c r="J23" i="359"/>
  <c r="G23" i="359"/>
  <c r="D23" i="359"/>
  <c r="IK22" i="359"/>
  <c r="IH22" i="359"/>
  <c r="IE22" i="359"/>
  <c r="IB22" i="359"/>
  <c r="HY22" i="359"/>
  <c r="HV22" i="359"/>
  <c r="HS22" i="359"/>
  <c r="HP22" i="359"/>
  <c r="HM22" i="359"/>
  <c r="HJ22" i="359"/>
  <c r="HG22" i="359"/>
  <c r="HD22" i="359"/>
  <c r="HA22" i="359"/>
  <c r="GX22" i="359"/>
  <c r="GU22" i="359"/>
  <c r="GR22" i="359"/>
  <c r="GO22" i="359"/>
  <c r="GL22" i="359"/>
  <c r="GI22" i="359"/>
  <c r="GF22" i="359"/>
  <c r="GC22" i="359"/>
  <c r="FZ22" i="359"/>
  <c r="FW22" i="359"/>
  <c r="FT22" i="359"/>
  <c r="FQ22" i="359"/>
  <c r="FN22" i="359"/>
  <c r="FK22" i="359"/>
  <c r="FH22" i="359"/>
  <c r="FE22" i="359"/>
  <c r="FB22" i="359"/>
  <c r="EY22" i="359"/>
  <c r="EV22" i="359"/>
  <c r="ES22" i="359"/>
  <c r="EP22" i="359"/>
  <c r="EM22" i="359"/>
  <c r="EJ22" i="359"/>
  <c r="EG22" i="359"/>
  <c r="ED22" i="359"/>
  <c r="EA22" i="359"/>
  <c r="DX22" i="359"/>
  <c r="DU22" i="359"/>
  <c r="DR22" i="359"/>
  <c r="DO22" i="359"/>
  <c r="DL22" i="359"/>
  <c r="DI22" i="359"/>
  <c r="DF22" i="359"/>
  <c r="DC22" i="359"/>
  <c r="CZ22" i="359"/>
  <c r="CW22" i="359"/>
  <c r="CT22" i="359"/>
  <c r="CQ22" i="359"/>
  <c r="CN22" i="359"/>
  <c r="CI22" i="359"/>
  <c r="CF22" i="359"/>
  <c r="CC22" i="359"/>
  <c r="BX22" i="359"/>
  <c r="BU22" i="359"/>
  <c r="BR22" i="359"/>
  <c r="BO22" i="359"/>
  <c r="BL22" i="359"/>
  <c r="BI22" i="359"/>
  <c r="BF22" i="359"/>
  <c r="BC22" i="359"/>
  <c r="AZ22" i="359"/>
  <c r="AW22" i="359"/>
  <c r="AT22" i="359"/>
  <c r="AQ22" i="359"/>
  <c r="AN22" i="359"/>
  <c r="AK22" i="359"/>
  <c r="AH22" i="359"/>
  <c r="AE22" i="359"/>
  <c r="AB22" i="359"/>
  <c r="Y22" i="359"/>
  <c r="V22" i="359"/>
  <c r="S22" i="359"/>
  <c r="P22" i="359"/>
  <c r="M22" i="359"/>
  <c r="J22" i="359"/>
  <c r="G22" i="359"/>
  <c r="D22" i="359"/>
  <c r="IK21" i="359"/>
  <c r="IH21" i="359"/>
  <c r="IE21" i="359"/>
  <c r="IB21" i="359"/>
  <c r="HY21" i="359"/>
  <c r="HV21" i="359"/>
  <c r="HS21" i="359"/>
  <c r="HP21" i="359"/>
  <c r="HM21" i="359"/>
  <c r="HJ21" i="359"/>
  <c r="HG21" i="359"/>
  <c r="HD21" i="359"/>
  <c r="HA21" i="359"/>
  <c r="GX21" i="359"/>
  <c r="GU21" i="359"/>
  <c r="GR21" i="359"/>
  <c r="GO21" i="359"/>
  <c r="GL21" i="359"/>
  <c r="GI21" i="359"/>
  <c r="GF21" i="359"/>
  <c r="GC21" i="359"/>
  <c r="FZ21" i="359"/>
  <c r="FW21" i="359"/>
  <c r="FT21" i="359"/>
  <c r="FQ21" i="359"/>
  <c r="FN21" i="359"/>
  <c r="FK21" i="359"/>
  <c r="FH21" i="359"/>
  <c r="FE21" i="359"/>
  <c r="FB21" i="359"/>
  <c r="EY21" i="359"/>
  <c r="EV21" i="359"/>
  <c r="ES21" i="359"/>
  <c r="EP21" i="359"/>
  <c r="EM21" i="359"/>
  <c r="EJ21" i="359"/>
  <c r="EG21" i="359"/>
  <c r="ED21" i="359"/>
  <c r="EA21" i="359"/>
  <c r="DX21" i="359"/>
  <c r="DU21" i="359"/>
  <c r="DR21" i="359"/>
  <c r="DO21" i="359"/>
  <c r="DL21" i="359"/>
  <c r="DI21" i="359"/>
  <c r="DF21" i="359"/>
  <c r="DC21" i="359"/>
  <c r="CZ21" i="359"/>
  <c r="CW21" i="359"/>
  <c r="CT21" i="359"/>
  <c r="CQ21" i="359"/>
  <c r="CN21" i="359"/>
  <c r="CI21" i="359"/>
  <c r="CF21" i="359"/>
  <c r="CC21" i="359"/>
  <c r="BX21" i="359"/>
  <c r="BU21" i="359"/>
  <c r="BR21" i="359"/>
  <c r="BO21" i="359"/>
  <c r="BL21" i="359"/>
  <c r="BI21" i="359"/>
  <c r="BF21" i="359"/>
  <c r="BC21" i="359"/>
  <c r="AZ21" i="359"/>
  <c r="AW21" i="359"/>
  <c r="AT21" i="359"/>
  <c r="AQ21" i="359"/>
  <c r="AN21" i="359"/>
  <c r="AK21" i="359"/>
  <c r="AH21" i="359"/>
  <c r="AE21" i="359"/>
  <c r="AB21" i="359"/>
  <c r="Y21" i="359"/>
  <c r="V21" i="359"/>
  <c r="S21" i="359"/>
  <c r="P21" i="359"/>
  <c r="M21" i="359"/>
  <c r="J21" i="359"/>
  <c r="G21" i="359"/>
  <c r="D21" i="359"/>
  <c r="IK20" i="359"/>
  <c r="IH20" i="359"/>
  <c r="IE20" i="359"/>
  <c r="IB20" i="359"/>
  <c r="HY20" i="359"/>
  <c r="HV20" i="359"/>
  <c r="HS20" i="359"/>
  <c r="HP20" i="359"/>
  <c r="HM20" i="359"/>
  <c r="HJ20" i="359"/>
  <c r="HG20" i="359"/>
  <c r="HD20" i="359"/>
  <c r="HA20" i="359"/>
  <c r="GX20" i="359"/>
  <c r="GU20" i="359"/>
  <c r="GR20" i="359"/>
  <c r="GO20" i="359"/>
  <c r="GL20" i="359"/>
  <c r="GI20" i="359"/>
  <c r="GF20" i="359"/>
  <c r="GC20" i="359"/>
  <c r="FZ20" i="359"/>
  <c r="FW20" i="359"/>
  <c r="FT20" i="359"/>
  <c r="FQ20" i="359"/>
  <c r="FN20" i="359"/>
  <c r="FK20" i="359"/>
  <c r="FH20" i="359"/>
  <c r="FE20" i="359"/>
  <c r="FB20" i="359"/>
  <c r="EY20" i="359"/>
  <c r="EV20" i="359"/>
  <c r="ES20" i="359"/>
  <c r="EP20" i="359"/>
  <c r="EM20" i="359"/>
  <c r="EJ20" i="359"/>
  <c r="EG20" i="359"/>
  <c r="ED20" i="359"/>
  <c r="EA20" i="359"/>
  <c r="DX20" i="359"/>
  <c r="DU20" i="359"/>
  <c r="DR20" i="359"/>
  <c r="DO20" i="359"/>
  <c r="DL20" i="359"/>
  <c r="DI20" i="359"/>
  <c r="DF20" i="359"/>
  <c r="DC20" i="359"/>
  <c r="CZ20" i="359"/>
  <c r="CW20" i="359"/>
  <c r="CT20" i="359"/>
  <c r="CQ20" i="359"/>
  <c r="CN20" i="359"/>
  <c r="CI20" i="359"/>
  <c r="CF20" i="359"/>
  <c r="CC20" i="359"/>
  <c r="BX20" i="359"/>
  <c r="BU20" i="359"/>
  <c r="BR20" i="359"/>
  <c r="BO20" i="359"/>
  <c r="BL20" i="359"/>
  <c r="BI20" i="359"/>
  <c r="BF20" i="359"/>
  <c r="BC20" i="359"/>
  <c r="AZ20" i="359"/>
  <c r="AW20" i="359"/>
  <c r="AT20" i="359"/>
  <c r="AQ20" i="359"/>
  <c r="AN20" i="359"/>
  <c r="AK20" i="359"/>
  <c r="AH20" i="359"/>
  <c r="AE20" i="359"/>
  <c r="AB20" i="359"/>
  <c r="Y20" i="359"/>
  <c r="V20" i="359"/>
  <c r="S20" i="359"/>
  <c r="P20" i="359"/>
  <c r="M20" i="359"/>
  <c r="J20" i="359"/>
  <c r="G20" i="359"/>
  <c r="D20" i="359"/>
  <c r="IK19" i="359"/>
  <c r="IH19" i="359"/>
  <c r="IE19" i="359"/>
  <c r="IB19" i="359"/>
  <c r="HY19" i="359"/>
  <c r="HV19" i="359"/>
  <c r="HS19" i="359"/>
  <c r="HP19" i="359"/>
  <c r="HM19" i="359"/>
  <c r="HJ19" i="359"/>
  <c r="HG19" i="359"/>
  <c r="HD19" i="359"/>
  <c r="HA19" i="359"/>
  <c r="GX19" i="359"/>
  <c r="GU19" i="359"/>
  <c r="GR19" i="359"/>
  <c r="GO19" i="359"/>
  <c r="GL19" i="359"/>
  <c r="GI19" i="359"/>
  <c r="GF19" i="359"/>
  <c r="GC19" i="359"/>
  <c r="FZ19" i="359"/>
  <c r="FW19" i="359"/>
  <c r="FT19" i="359"/>
  <c r="FQ19" i="359"/>
  <c r="FN19" i="359"/>
  <c r="FK19" i="359"/>
  <c r="FH19" i="359"/>
  <c r="FE19" i="359"/>
  <c r="FB19" i="359"/>
  <c r="EY19" i="359"/>
  <c r="EV19" i="359"/>
  <c r="ES19" i="359"/>
  <c r="EP19" i="359"/>
  <c r="EM19" i="359"/>
  <c r="EJ19" i="359"/>
  <c r="EG19" i="359"/>
  <c r="ED19" i="359"/>
  <c r="EA19" i="359"/>
  <c r="DX19" i="359"/>
  <c r="DU19" i="359"/>
  <c r="DR19" i="359"/>
  <c r="DO19" i="359"/>
  <c r="DL19" i="359"/>
  <c r="DI19" i="359"/>
  <c r="DF19" i="359"/>
  <c r="DC19" i="359"/>
  <c r="CZ19" i="359"/>
  <c r="CW19" i="359"/>
  <c r="CT19" i="359"/>
  <c r="CQ19" i="359"/>
  <c r="CN19" i="359"/>
  <c r="CI19" i="359"/>
  <c r="CF19" i="359"/>
  <c r="CC19" i="359"/>
  <c r="BX19" i="359"/>
  <c r="BU19" i="359"/>
  <c r="BR19" i="359"/>
  <c r="BO19" i="359"/>
  <c r="BL19" i="359"/>
  <c r="BI19" i="359"/>
  <c r="BF19" i="359"/>
  <c r="BC19" i="359"/>
  <c r="AZ19" i="359"/>
  <c r="AW19" i="359"/>
  <c r="AT19" i="359"/>
  <c r="AQ19" i="359"/>
  <c r="AN19" i="359"/>
  <c r="AK19" i="359"/>
  <c r="AH19" i="359"/>
  <c r="AE19" i="359"/>
  <c r="AB19" i="359"/>
  <c r="Y19" i="359"/>
  <c r="V19" i="359"/>
  <c r="S19" i="359"/>
  <c r="P19" i="359"/>
  <c r="M19" i="359"/>
  <c r="J19" i="359"/>
  <c r="G19" i="359"/>
  <c r="D19" i="359"/>
  <c r="IK18" i="359"/>
  <c r="IH18" i="359"/>
  <c r="IE18" i="359"/>
  <c r="IB18" i="359"/>
  <c r="HY18" i="359"/>
  <c r="HV18" i="359"/>
  <c r="HS18" i="359"/>
  <c r="HP18" i="359"/>
  <c r="HM18" i="359"/>
  <c r="HJ18" i="359"/>
  <c r="HG18" i="359"/>
  <c r="HD18" i="359"/>
  <c r="HA18" i="359"/>
  <c r="GX18" i="359"/>
  <c r="GU18" i="359"/>
  <c r="GR18" i="359"/>
  <c r="GO18" i="359"/>
  <c r="GL18" i="359"/>
  <c r="GI18" i="359"/>
  <c r="GF18" i="359"/>
  <c r="GC18" i="359"/>
  <c r="FZ18" i="359"/>
  <c r="FW18" i="359"/>
  <c r="FT18" i="359"/>
  <c r="FQ18" i="359"/>
  <c r="FN18" i="359"/>
  <c r="FK18" i="359"/>
  <c r="FH18" i="359"/>
  <c r="FE18" i="359"/>
  <c r="FB18" i="359"/>
  <c r="EY18" i="359"/>
  <c r="EV18" i="359"/>
  <c r="ES18" i="359"/>
  <c r="EP18" i="359"/>
  <c r="EM18" i="359"/>
  <c r="EJ18" i="359"/>
  <c r="EG18" i="359"/>
  <c r="ED18" i="359"/>
  <c r="EA18" i="359"/>
  <c r="DX18" i="359"/>
  <c r="DU18" i="359"/>
  <c r="DR18" i="359"/>
  <c r="DO18" i="359"/>
  <c r="DL18" i="359"/>
  <c r="DI18" i="359"/>
  <c r="DF18" i="359"/>
  <c r="DC18" i="359"/>
  <c r="CZ18" i="359"/>
  <c r="CW18" i="359"/>
  <c r="CT18" i="359"/>
  <c r="CQ18" i="359"/>
  <c r="CN18" i="359"/>
  <c r="CI18" i="359"/>
  <c r="CF18" i="359"/>
  <c r="CC18" i="359"/>
  <c r="BX18" i="359"/>
  <c r="BU18" i="359"/>
  <c r="BR18" i="359"/>
  <c r="BO18" i="359"/>
  <c r="BL18" i="359"/>
  <c r="BI18" i="359"/>
  <c r="BF18" i="359"/>
  <c r="BC18" i="359"/>
  <c r="AZ18" i="359"/>
  <c r="AW18" i="359"/>
  <c r="AT18" i="359"/>
  <c r="AQ18" i="359"/>
  <c r="AN18" i="359"/>
  <c r="AK18" i="359"/>
  <c r="AH18" i="359"/>
  <c r="AE18" i="359"/>
  <c r="AB18" i="359"/>
  <c r="Y18" i="359"/>
  <c r="V18" i="359"/>
  <c r="S18" i="359"/>
  <c r="P18" i="359"/>
  <c r="M18" i="359"/>
  <c r="J18" i="359"/>
  <c r="G18" i="359"/>
  <c r="D18" i="359"/>
  <c r="IK17" i="359"/>
  <c r="IH17" i="359"/>
  <c r="IE17" i="359"/>
  <c r="IB17" i="359"/>
  <c r="HY17" i="359"/>
  <c r="HV17" i="359"/>
  <c r="HS17" i="359"/>
  <c r="HP17" i="359"/>
  <c r="HM17" i="359"/>
  <c r="HJ17" i="359"/>
  <c r="HG17" i="359"/>
  <c r="HD17" i="359"/>
  <c r="HA17" i="359"/>
  <c r="GX17" i="359"/>
  <c r="GU17" i="359"/>
  <c r="GR17" i="359"/>
  <c r="GO17" i="359"/>
  <c r="GL17" i="359"/>
  <c r="GI17" i="359"/>
  <c r="GF17" i="359"/>
  <c r="GC17" i="359"/>
  <c r="FZ17" i="359"/>
  <c r="FW17" i="359"/>
  <c r="FT17" i="359"/>
  <c r="FQ17" i="359"/>
  <c r="FN17" i="359"/>
  <c r="FK17" i="359"/>
  <c r="FH17" i="359"/>
  <c r="FE17" i="359"/>
  <c r="FB17" i="359"/>
  <c r="EY17" i="359"/>
  <c r="EV17" i="359"/>
  <c r="ES17" i="359"/>
  <c r="EP17" i="359"/>
  <c r="EM17" i="359"/>
  <c r="EJ17" i="359"/>
  <c r="EG17" i="359"/>
  <c r="ED17" i="359"/>
  <c r="EA17" i="359"/>
  <c r="DX17" i="359"/>
  <c r="DU17" i="359"/>
  <c r="DR17" i="359"/>
  <c r="DO17" i="359"/>
  <c r="DL17" i="359"/>
  <c r="DI17" i="359"/>
  <c r="DF17" i="359"/>
  <c r="DC17" i="359"/>
  <c r="CZ17" i="359"/>
  <c r="CW17" i="359"/>
  <c r="CT17" i="359"/>
  <c r="CQ17" i="359"/>
  <c r="CN17" i="359"/>
  <c r="CI17" i="359"/>
  <c r="CF17" i="359"/>
  <c r="CC17" i="359"/>
  <c r="BX17" i="359"/>
  <c r="BU17" i="359"/>
  <c r="BR17" i="359"/>
  <c r="BO17" i="359"/>
  <c r="BL17" i="359"/>
  <c r="BI17" i="359"/>
  <c r="BF17" i="359"/>
  <c r="BC17" i="359"/>
  <c r="AZ17" i="359"/>
  <c r="AW17" i="359"/>
  <c r="AT17" i="359"/>
  <c r="AQ17" i="359"/>
  <c r="AN17" i="359"/>
  <c r="AK17" i="359"/>
  <c r="AH17" i="359"/>
  <c r="AE17" i="359"/>
  <c r="AB17" i="359"/>
  <c r="Y17" i="359"/>
  <c r="V17" i="359"/>
  <c r="S17" i="359"/>
  <c r="P17" i="359"/>
  <c r="M17" i="359"/>
  <c r="J17" i="359"/>
  <c r="G17" i="359"/>
  <c r="D17" i="359"/>
  <c r="IK16" i="359"/>
  <c r="IH16" i="359"/>
  <c r="IE16" i="359"/>
  <c r="IB16" i="359"/>
  <c r="HY16" i="359"/>
  <c r="HV16" i="359"/>
  <c r="HS16" i="359"/>
  <c r="HP16" i="359"/>
  <c r="HM16" i="359"/>
  <c r="HJ16" i="359"/>
  <c r="HG16" i="359"/>
  <c r="HD16" i="359"/>
  <c r="HA16" i="359"/>
  <c r="GX16" i="359"/>
  <c r="GU16" i="359"/>
  <c r="GR16" i="359"/>
  <c r="GO16" i="359"/>
  <c r="GL16" i="359"/>
  <c r="GI16" i="359"/>
  <c r="GF16" i="359"/>
  <c r="GC16" i="359"/>
  <c r="FZ16" i="359"/>
  <c r="FW16" i="359"/>
  <c r="FT16" i="359"/>
  <c r="FQ16" i="359"/>
  <c r="FN16" i="359"/>
  <c r="FK16" i="359"/>
  <c r="FH16" i="359"/>
  <c r="FE16" i="359"/>
  <c r="FB16" i="359"/>
  <c r="EY16" i="359"/>
  <c r="EV16" i="359"/>
  <c r="ES16" i="359"/>
  <c r="EP16" i="359"/>
  <c r="EM16" i="359"/>
  <c r="EJ16" i="359"/>
  <c r="EG16" i="359"/>
  <c r="ED16" i="359"/>
  <c r="EA16" i="359"/>
  <c r="DX16" i="359"/>
  <c r="DU16" i="359"/>
  <c r="DR16" i="359"/>
  <c r="DO16" i="359"/>
  <c r="DL16" i="359"/>
  <c r="DI16" i="359"/>
  <c r="DF16" i="359"/>
  <c r="DC16" i="359"/>
  <c r="CZ16" i="359"/>
  <c r="CW16" i="359"/>
  <c r="CT16" i="359"/>
  <c r="CQ16" i="359"/>
  <c r="CN16" i="359"/>
  <c r="CI16" i="359"/>
  <c r="CF16" i="359"/>
  <c r="CC16" i="359"/>
  <c r="BX16" i="359"/>
  <c r="BU16" i="359"/>
  <c r="BR16" i="359"/>
  <c r="BO16" i="359"/>
  <c r="BL16" i="359"/>
  <c r="BI16" i="359"/>
  <c r="BF16" i="359"/>
  <c r="BC16" i="359"/>
  <c r="AZ16" i="359"/>
  <c r="AW16" i="359"/>
  <c r="AT16" i="359"/>
  <c r="AQ16" i="359"/>
  <c r="AN16" i="359"/>
  <c r="AK16" i="359"/>
  <c r="AH16" i="359"/>
  <c r="AE16" i="359"/>
  <c r="AB16" i="359"/>
  <c r="Y16" i="359"/>
  <c r="V16" i="359"/>
  <c r="S16" i="359"/>
  <c r="P16" i="359"/>
  <c r="M16" i="359"/>
  <c r="J16" i="359"/>
  <c r="G16" i="359"/>
  <c r="D16" i="359"/>
  <c r="IK15" i="359"/>
  <c r="IH15" i="359"/>
  <c r="IE15" i="359"/>
  <c r="IB15" i="359"/>
  <c r="HY15" i="359"/>
  <c r="HV15" i="359"/>
  <c r="HS15" i="359"/>
  <c r="HP15" i="359"/>
  <c r="HM15" i="359"/>
  <c r="HJ15" i="359"/>
  <c r="HG15" i="359"/>
  <c r="HD15" i="359"/>
  <c r="HA15" i="359"/>
  <c r="GX15" i="359"/>
  <c r="GU15" i="359"/>
  <c r="GR15" i="359"/>
  <c r="GO15" i="359"/>
  <c r="GL15" i="359"/>
  <c r="GI15" i="359"/>
  <c r="GF15" i="359"/>
  <c r="GC15" i="359"/>
  <c r="FZ15" i="359"/>
  <c r="FW15" i="359"/>
  <c r="FT15" i="359"/>
  <c r="FQ15" i="359"/>
  <c r="FN15" i="359"/>
  <c r="FK15" i="359"/>
  <c r="FH15" i="359"/>
  <c r="FE15" i="359"/>
  <c r="FB15" i="359"/>
  <c r="EY15" i="359"/>
  <c r="EV15" i="359"/>
  <c r="ES15" i="359"/>
  <c r="EP15" i="359"/>
  <c r="EM15" i="359"/>
  <c r="EJ15" i="359"/>
  <c r="EG15" i="359"/>
  <c r="ED15" i="359"/>
  <c r="EA15" i="359"/>
  <c r="DX15" i="359"/>
  <c r="DU15" i="359"/>
  <c r="DR15" i="359"/>
  <c r="DO15" i="359"/>
  <c r="DL15" i="359"/>
  <c r="DI15" i="359"/>
  <c r="DF15" i="359"/>
  <c r="DC15" i="359"/>
  <c r="CZ15" i="359"/>
  <c r="CW15" i="359"/>
  <c r="CT15" i="359"/>
  <c r="CQ15" i="359"/>
  <c r="CN15" i="359"/>
  <c r="CI15" i="359"/>
  <c r="CF15" i="359"/>
  <c r="CC15" i="359"/>
  <c r="BX15" i="359"/>
  <c r="BU15" i="359"/>
  <c r="BR15" i="359"/>
  <c r="BO15" i="359"/>
  <c r="BL15" i="359"/>
  <c r="BI15" i="359"/>
  <c r="BF15" i="359"/>
  <c r="BC15" i="359"/>
  <c r="AZ15" i="359"/>
  <c r="AW15" i="359"/>
  <c r="AT15" i="359"/>
  <c r="AQ15" i="359"/>
  <c r="AN15" i="359"/>
  <c r="AK15" i="359"/>
  <c r="AH15" i="359"/>
  <c r="AE15" i="359"/>
  <c r="AB15" i="359"/>
  <c r="Y15" i="359"/>
  <c r="V15" i="359"/>
  <c r="S15" i="359"/>
  <c r="P15" i="359"/>
  <c r="M15" i="359"/>
  <c r="J15" i="359"/>
  <c r="G15" i="359"/>
  <c r="D15" i="359"/>
  <c r="IK14" i="359"/>
  <c r="IH14" i="359"/>
  <c r="IE14" i="359"/>
  <c r="IB14" i="359"/>
  <c r="HY14" i="359"/>
  <c r="HV14" i="359"/>
  <c r="HS14" i="359"/>
  <c r="HP14" i="359"/>
  <c r="HM14" i="359"/>
  <c r="HJ14" i="359"/>
  <c r="HG14" i="359"/>
  <c r="HD14" i="359"/>
  <c r="HA14" i="359"/>
  <c r="GX14" i="359"/>
  <c r="GU14" i="359"/>
  <c r="GR14" i="359"/>
  <c r="GO14" i="359"/>
  <c r="GL14" i="359"/>
  <c r="GI14" i="359"/>
  <c r="GF14" i="359"/>
  <c r="GC14" i="359"/>
  <c r="FZ14" i="359"/>
  <c r="FW14" i="359"/>
  <c r="FT14" i="359"/>
  <c r="FQ14" i="359"/>
  <c r="FN14" i="359"/>
  <c r="FK14" i="359"/>
  <c r="FH14" i="359"/>
  <c r="FE14" i="359"/>
  <c r="FB14" i="359"/>
  <c r="EY14" i="359"/>
  <c r="EV14" i="359"/>
  <c r="ES14" i="359"/>
  <c r="EP14" i="359"/>
  <c r="EM14" i="359"/>
  <c r="EJ14" i="359"/>
  <c r="EG14" i="359"/>
  <c r="ED14" i="359"/>
  <c r="EA14" i="359"/>
  <c r="DX14" i="359"/>
  <c r="DU14" i="359"/>
  <c r="DR14" i="359"/>
  <c r="DO14" i="359"/>
  <c r="DL14" i="359"/>
  <c r="DI14" i="359"/>
  <c r="DF14" i="359"/>
  <c r="DC14" i="359"/>
  <c r="CZ14" i="359"/>
  <c r="CW14" i="359"/>
  <c r="CT14" i="359"/>
  <c r="CQ14" i="359"/>
  <c r="CN14" i="359"/>
  <c r="CI14" i="359"/>
  <c r="CF14" i="359"/>
  <c r="CC14" i="359"/>
  <c r="BX14" i="359"/>
  <c r="BU14" i="359"/>
  <c r="BR14" i="359"/>
  <c r="BO14" i="359"/>
  <c r="BL14" i="359"/>
  <c r="BI14" i="359"/>
  <c r="BF14" i="359"/>
  <c r="BC14" i="359"/>
  <c r="AZ14" i="359"/>
  <c r="AW14" i="359"/>
  <c r="AT14" i="359"/>
  <c r="AQ14" i="359"/>
  <c r="AN14" i="359"/>
  <c r="AK14" i="359"/>
  <c r="AH14" i="359"/>
  <c r="AE14" i="359"/>
  <c r="AB14" i="359"/>
  <c r="Y14" i="359"/>
  <c r="V14" i="359"/>
  <c r="S14" i="359"/>
  <c r="P14" i="359"/>
  <c r="M14" i="359"/>
  <c r="J14" i="359"/>
  <c r="G14" i="359"/>
  <c r="D14" i="359"/>
  <c r="IK13" i="359"/>
  <c r="IH13" i="359"/>
  <c r="IE13" i="359"/>
  <c r="IB13" i="359"/>
  <c r="HY13" i="359"/>
  <c r="HV13" i="359"/>
  <c r="HS13" i="359"/>
  <c r="HP13" i="359"/>
  <c r="HM13" i="359"/>
  <c r="HJ13" i="359"/>
  <c r="HG13" i="359"/>
  <c r="HD13" i="359"/>
  <c r="HA13" i="359"/>
  <c r="GX13" i="359"/>
  <c r="GU13" i="359"/>
  <c r="GR13" i="359"/>
  <c r="GO13" i="359"/>
  <c r="GL13" i="359"/>
  <c r="GI13" i="359"/>
  <c r="GF13" i="359"/>
  <c r="GC13" i="359"/>
  <c r="FZ13" i="359"/>
  <c r="FW13" i="359"/>
  <c r="FT13" i="359"/>
  <c r="FQ13" i="359"/>
  <c r="FN13" i="359"/>
  <c r="FK13" i="359"/>
  <c r="FH13" i="359"/>
  <c r="FE13" i="359"/>
  <c r="FB13" i="359"/>
  <c r="EY13" i="359"/>
  <c r="EV13" i="359"/>
  <c r="ES13" i="359"/>
  <c r="EP13" i="359"/>
  <c r="EM13" i="359"/>
  <c r="EJ13" i="359"/>
  <c r="EG13" i="359"/>
  <c r="ED13" i="359"/>
  <c r="EA13" i="359"/>
  <c r="DX13" i="359"/>
  <c r="DU13" i="359"/>
  <c r="DR13" i="359"/>
  <c r="DO13" i="359"/>
  <c r="DL13" i="359"/>
  <c r="DI13" i="359"/>
  <c r="DF13" i="359"/>
  <c r="DC13" i="359"/>
  <c r="CZ13" i="359"/>
  <c r="CW13" i="359"/>
  <c r="CT13" i="359"/>
  <c r="CQ13" i="359"/>
  <c r="CN13" i="359"/>
  <c r="CI13" i="359"/>
  <c r="CF13" i="359"/>
  <c r="CC13" i="359"/>
  <c r="BX13" i="359"/>
  <c r="BU13" i="359"/>
  <c r="BR13" i="359"/>
  <c r="BO13" i="359"/>
  <c r="BL13" i="359"/>
  <c r="BI13" i="359"/>
  <c r="BF13" i="359"/>
  <c r="BC13" i="359"/>
  <c r="AZ13" i="359"/>
  <c r="AW13" i="359"/>
  <c r="AT13" i="359"/>
  <c r="AQ13" i="359"/>
  <c r="AN13" i="359"/>
  <c r="AK13" i="359"/>
  <c r="AH13" i="359"/>
  <c r="AE13" i="359"/>
  <c r="AB13" i="359"/>
  <c r="Y13" i="359"/>
  <c r="V13" i="359"/>
  <c r="S13" i="359"/>
  <c r="P13" i="359"/>
  <c r="M13" i="359"/>
  <c r="J13" i="359"/>
  <c r="G13" i="359"/>
  <c r="D13" i="359"/>
  <c r="IK12" i="359"/>
  <c r="IH12" i="359"/>
  <c r="IE12" i="359"/>
  <c r="IB12" i="359"/>
  <c r="HY12" i="359"/>
  <c r="HV12" i="359"/>
  <c r="HS12" i="359"/>
  <c r="HP12" i="359"/>
  <c r="HM12" i="359"/>
  <c r="HJ12" i="359"/>
  <c r="HG12" i="359"/>
  <c r="HD12" i="359"/>
  <c r="HA12" i="359"/>
  <c r="GX12" i="359"/>
  <c r="GU12" i="359"/>
  <c r="GR12" i="359"/>
  <c r="GO12" i="359"/>
  <c r="GL12" i="359"/>
  <c r="GI12" i="359"/>
  <c r="GF12" i="359"/>
  <c r="GC12" i="359"/>
  <c r="FZ12" i="359"/>
  <c r="FW12" i="359"/>
  <c r="FT12" i="359"/>
  <c r="FQ12" i="359"/>
  <c r="FN12" i="359"/>
  <c r="FK12" i="359"/>
  <c r="FH12" i="359"/>
  <c r="FE12" i="359"/>
  <c r="FB12" i="359"/>
  <c r="EY12" i="359"/>
  <c r="EV12" i="359"/>
  <c r="ES12" i="359"/>
  <c r="EP12" i="359"/>
  <c r="EM12" i="359"/>
  <c r="EJ12" i="359"/>
  <c r="EG12" i="359"/>
  <c r="ED12" i="359"/>
  <c r="EA12" i="359"/>
  <c r="DX12" i="359"/>
  <c r="DU12" i="359"/>
  <c r="DR12" i="359"/>
  <c r="DO12" i="359"/>
  <c r="DL12" i="359"/>
  <c r="DI12" i="359"/>
  <c r="DF12" i="359"/>
  <c r="DC12" i="359"/>
  <c r="CZ12" i="359"/>
  <c r="CW12" i="359"/>
  <c r="CT12" i="359"/>
  <c r="CQ12" i="359"/>
  <c r="CN12" i="359"/>
  <c r="CI12" i="359"/>
  <c r="CF12" i="359"/>
  <c r="CC12" i="359"/>
  <c r="BX12" i="359"/>
  <c r="BU12" i="359"/>
  <c r="BR12" i="359"/>
  <c r="BO12" i="359"/>
  <c r="BL12" i="359"/>
  <c r="BI12" i="359"/>
  <c r="BF12" i="359"/>
  <c r="BC12" i="359"/>
  <c r="AZ12" i="359"/>
  <c r="AW12" i="359"/>
  <c r="AT12" i="359"/>
  <c r="AQ12" i="359"/>
  <c r="AN12" i="359"/>
  <c r="AK12" i="359"/>
  <c r="AH12" i="359"/>
  <c r="AE12" i="359"/>
  <c r="AB12" i="359"/>
  <c r="Y12" i="359"/>
  <c r="V12" i="359"/>
  <c r="S12" i="359"/>
  <c r="P12" i="359"/>
  <c r="M12" i="359"/>
  <c r="J12" i="359"/>
  <c r="G12" i="359"/>
  <c r="D12" i="359"/>
  <c r="IK11" i="359"/>
  <c r="IL11" i="359" s="1"/>
  <c r="IH11" i="359"/>
  <c r="IE11" i="359"/>
  <c r="IB11" i="359"/>
  <c r="HY11" i="359"/>
  <c r="HV11" i="359"/>
  <c r="HS11" i="359"/>
  <c r="HP11" i="359"/>
  <c r="HM11" i="359"/>
  <c r="HJ11" i="359"/>
  <c r="HG11" i="359"/>
  <c r="HD11" i="359"/>
  <c r="HA11" i="359"/>
  <c r="GX11" i="359"/>
  <c r="GU11" i="359"/>
  <c r="GR11" i="359"/>
  <c r="GO11" i="359"/>
  <c r="GL11" i="359"/>
  <c r="GI11" i="359"/>
  <c r="GF11" i="359"/>
  <c r="GC11" i="359"/>
  <c r="FZ11" i="359"/>
  <c r="FW11" i="359"/>
  <c r="FT11" i="359"/>
  <c r="FQ11" i="359"/>
  <c r="FN11" i="359"/>
  <c r="FK11" i="359"/>
  <c r="FH11" i="359"/>
  <c r="FE11" i="359"/>
  <c r="FB11" i="359"/>
  <c r="EY11" i="359"/>
  <c r="EV11" i="359"/>
  <c r="ES11" i="359"/>
  <c r="EP11" i="359"/>
  <c r="EM11" i="359"/>
  <c r="EJ11" i="359"/>
  <c r="EG11" i="359"/>
  <c r="ED11" i="359"/>
  <c r="EA11" i="359"/>
  <c r="DX11" i="359"/>
  <c r="DU11" i="359"/>
  <c r="DR11" i="359"/>
  <c r="DO11" i="359"/>
  <c r="DL11" i="359"/>
  <c r="DI11" i="359"/>
  <c r="DF11" i="359"/>
  <c r="DC11" i="359"/>
  <c r="CZ11" i="359"/>
  <c r="CW11" i="359"/>
  <c r="CT11" i="359"/>
  <c r="CQ11" i="359"/>
  <c r="CN11" i="359"/>
  <c r="CI11" i="359"/>
  <c r="CF11" i="359"/>
  <c r="CC11" i="359"/>
  <c r="BX11" i="359"/>
  <c r="BU11" i="359"/>
  <c r="BR11" i="359"/>
  <c r="BO11" i="359"/>
  <c r="BL11" i="359"/>
  <c r="BI11" i="359"/>
  <c r="BF11" i="359"/>
  <c r="BC11" i="359"/>
  <c r="AZ11" i="359"/>
  <c r="AW11" i="359"/>
  <c r="AT11" i="359"/>
  <c r="AQ11" i="359"/>
  <c r="AN11" i="359"/>
  <c r="AK11" i="359"/>
  <c r="AH11" i="359"/>
  <c r="AE11" i="359"/>
  <c r="AB11" i="359"/>
  <c r="Y11" i="359"/>
  <c r="V11" i="359"/>
  <c r="S11" i="359"/>
  <c r="P11" i="359"/>
  <c r="M11" i="359"/>
  <c r="J11" i="359"/>
  <c r="G11" i="359"/>
  <c r="D11" i="359"/>
  <c r="IK10" i="359"/>
  <c r="IL10" i="359" s="1"/>
  <c r="IH10" i="359"/>
  <c r="IE10" i="359"/>
  <c r="IB10" i="359"/>
  <c r="HY10" i="359"/>
  <c r="HV10" i="359"/>
  <c r="HS10" i="359"/>
  <c r="HP10" i="359"/>
  <c r="HM10" i="359"/>
  <c r="HJ10" i="359"/>
  <c r="HG10" i="359"/>
  <c r="HD10" i="359"/>
  <c r="HA10" i="359"/>
  <c r="GX10" i="359"/>
  <c r="GU10" i="359"/>
  <c r="GR10" i="359"/>
  <c r="GO10" i="359"/>
  <c r="GL10" i="359"/>
  <c r="GI10" i="359"/>
  <c r="GF10" i="359"/>
  <c r="GC10" i="359"/>
  <c r="FZ10" i="359"/>
  <c r="FW10" i="359"/>
  <c r="FT10" i="359"/>
  <c r="FQ10" i="359"/>
  <c r="FN10" i="359"/>
  <c r="FK10" i="359"/>
  <c r="FH10" i="359"/>
  <c r="FE10" i="359"/>
  <c r="FB10" i="359"/>
  <c r="EY10" i="359"/>
  <c r="EV10" i="359"/>
  <c r="ES10" i="359"/>
  <c r="EP10" i="359"/>
  <c r="EM10" i="359"/>
  <c r="EJ10" i="359"/>
  <c r="EG10" i="359"/>
  <c r="ED10" i="359"/>
  <c r="EA10" i="359"/>
  <c r="DX10" i="359"/>
  <c r="DU10" i="359"/>
  <c r="DR10" i="359"/>
  <c r="DO10" i="359"/>
  <c r="DL10" i="359"/>
  <c r="DI10" i="359"/>
  <c r="DF10" i="359"/>
  <c r="DC10" i="359"/>
  <c r="CZ10" i="359"/>
  <c r="CW10" i="359"/>
  <c r="CT10" i="359"/>
  <c r="CQ10" i="359"/>
  <c r="CN10" i="359"/>
  <c r="CI10" i="359"/>
  <c r="CF10" i="359"/>
  <c r="CC10" i="359"/>
  <c r="BX10" i="359"/>
  <c r="BU10" i="359"/>
  <c r="BR10" i="359"/>
  <c r="BO10" i="359"/>
  <c r="BL10" i="359"/>
  <c r="BI10" i="359"/>
  <c r="BF10" i="359"/>
  <c r="BC10" i="359"/>
  <c r="AZ10" i="359"/>
  <c r="AW10" i="359"/>
  <c r="AT10" i="359"/>
  <c r="AQ10" i="359"/>
  <c r="AN10" i="359"/>
  <c r="AK10" i="359"/>
  <c r="AH10" i="359"/>
  <c r="AE10" i="359"/>
  <c r="AB10" i="359"/>
  <c r="Y10" i="359"/>
  <c r="V10" i="359"/>
  <c r="S10" i="359"/>
  <c r="P10" i="359"/>
  <c r="M10" i="359"/>
  <c r="J10" i="359"/>
  <c r="G10" i="359"/>
  <c r="D10" i="359"/>
  <c r="IK9" i="359"/>
  <c r="IL9" i="359" s="1"/>
  <c r="IH9" i="359"/>
  <c r="IE9" i="359"/>
  <c r="IB9" i="359"/>
  <c r="HY9" i="359"/>
  <c r="HV9" i="359"/>
  <c r="HS9" i="359"/>
  <c r="HP9" i="359"/>
  <c r="HM9" i="359"/>
  <c r="HJ9" i="359"/>
  <c r="HG9" i="359"/>
  <c r="HD9" i="359"/>
  <c r="HA9" i="359"/>
  <c r="GX9" i="359"/>
  <c r="GU9" i="359"/>
  <c r="GR9" i="359"/>
  <c r="GO9" i="359"/>
  <c r="GL9" i="359"/>
  <c r="GI9" i="359"/>
  <c r="GF9" i="359"/>
  <c r="GC9" i="359"/>
  <c r="FZ9" i="359"/>
  <c r="FW9" i="359"/>
  <c r="FT9" i="359"/>
  <c r="FQ9" i="359"/>
  <c r="FN9" i="359"/>
  <c r="FK9" i="359"/>
  <c r="FH9" i="359"/>
  <c r="FE9" i="359"/>
  <c r="FB9" i="359"/>
  <c r="EY9" i="359"/>
  <c r="EV9" i="359"/>
  <c r="ES9" i="359"/>
  <c r="EP9" i="359"/>
  <c r="EM9" i="359"/>
  <c r="EJ9" i="359"/>
  <c r="EG9" i="359"/>
  <c r="ED9" i="359"/>
  <c r="EA9" i="359"/>
  <c r="DX9" i="359"/>
  <c r="DU9" i="359"/>
  <c r="DR9" i="359"/>
  <c r="DO9" i="359"/>
  <c r="DL9" i="359"/>
  <c r="DI9" i="359"/>
  <c r="DF9" i="359"/>
  <c r="DC9" i="359"/>
  <c r="CZ9" i="359"/>
  <c r="CW9" i="359"/>
  <c r="CT9" i="359"/>
  <c r="CQ9" i="359"/>
  <c r="CN9" i="359"/>
  <c r="CI9" i="359"/>
  <c r="CF9" i="359"/>
  <c r="CC9" i="359"/>
  <c r="BX9" i="359"/>
  <c r="BU9" i="359"/>
  <c r="BR9" i="359"/>
  <c r="BO9" i="359"/>
  <c r="BL9" i="359"/>
  <c r="BI9" i="359"/>
  <c r="BF9" i="359"/>
  <c r="BC9" i="359"/>
  <c r="AZ9" i="359"/>
  <c r="AW9" i="359"/>
  <c r="AT9" i="359"/>
  <c r="AQ9" i="359"/>
  <c r="AN9" i="359"/>
  <c r="AK9" i="359"/>
  <c r="AH9" i="359"/>
  <c r="AE9" i="359"/>
  <c r="AB9" i="359"/>
  <c r="Y9" i="359"/>
  <c r="V9" i="359"/>
  <c r="S9" i="359"/>
  <c r="P9" i="359"/>
  <c r="M9" i="359"/>
  <c r="J9" i="359"/>
  <c r="G9" i="359"/>
  <c r="D9" i="359"/>
  <c r="IK8" i="359"/>
  <c r="IL8" i="359" s="1"/>
  <c r="IH8" i="359"/>
  <c r="IE8" i="359"/>
  <c r="IB8" i="359"/>
  <c r="HY8" i="359"/>
  <c r="HV8" i="359"/>
  <c r="HS8" i="359"/>
  <c r="HP8" i="359"/>
  <c r="HM8" i="359"/>
  <c r="HJ8" i="359"/>
  <c r="HG8" i="359"/>
  <c r="HD8" i="359"/>
  <c r="HA8" i="359"/>
  <c r="GX8" i="359"/>
  <c r="GU8" i="359"/>
  <c r="GR8" i="359"/>
  <c r="GO8" i="359"/>
  <c r="GL8" i="359"/>
  <c r="GI8" i="359"/>
  <c r="GF8" i="359"/>
  <c r="GC8" i="359"/>
  <c r="FZ8" i="359"/>
  <c r="FW8" i="359"/>
  <c r="FT8" i="359"/>
  <c r="FQ8" i="359"/>
  <c r="FN8" i="359"/>
  <c r="FK8" i="359"/>
  <c r="FH8" i="359"/>
  <c r="FE8" i="359"/>
  <c r="FB8" i="359"/>
  <c r="EY8" i="359"/>
  <c r="EV8" i="359"/>
  <c r="ES8" i="359"/>
  <c r="EP8" i="359"/>
  <c r="EM8" i="359"/>
  <c r="EJ8" i="359"/>
  <c r="EG8" i="359"/>
  <c r="ED8" i="359"/>
  <c r="EA8" i="359"/>
  <c r="DX8" i="359"/>
  <c r="DU8" i="359"/>
  <c r="DR8" i="359"/>
  <c r="DO8" i="359"/>
  <c r="DL8" i="359"/>
  <c r="DI8" i="359"/>
  <c r="DF8" i="359"/>
  <c r="DC8" i="359"/>
  <c r="CZ8" i="359"/>
  <c r="CW8" i="359"/>
  <c r="CT8" i="359"/>
  <c r="CQ8" i="359"/>
  <c r="CN8" i="359"/>
  <c r="CI8" i="359"/>
  <c r="CF8" i="359"/>
  <c r="CC8" i="359"/>
  <c r="BX8" i="359"/>
  <c r="BU8" i="359"/>
  <c r="BR8" i="359"/>
  <c r="BO8" i="359"/>
  <c r="BL8" i="359"/>
  <c r="BI8" i="359"/>
  <c r="BF8" i="359"/>
  <c r="BC8" i="359"/>
  <c r="AZ8" i="359"/>
  <c r="AW8" i="359"/>
  <c r="AT8" i="359"/>
  <c r="AQ8" i="359"/>
  <c r="AN8" i="359"/>
  <c r="AK8" i="359"/>
  <c r="AH8" i="359"/>
  <c r="AE8" i="359"/>
  <c r="AB8" i="359"/>
  <c r="Y8" i="359"/>
  <c r="V8" i="359"/>
  <c r="S8" i="359"/>
  <c r="P8" i="359"/>
  <c r="M8" i="359"/>
  <c r="J8" i="359"/>
  <c r="G8" i="359"/>
  <c r="D8" i="359"/>
  <c r="IK7" i="359"/>
  <c r="IL7" i="359" s="1"/>
  <c r="IH7" i="359"/>
  <c r="IE7" i="359"/>
  <c r="IB7" i="359"/>
  <c r="HY7" i="359"/>
  <c r="HV7" i="359"/>
  <c r="HS7" i="359"/>
  <c r="HP7" i="359"/>
  <c r="HM7" i="359"/>
  <c r="HJ7" i="359"/>
  <c r="HG7" i="359"/>
  <c r="HD7" i="359"/>
  <c r="HA7" i="359"/>
  <c r="GX7" i="359"/>
  <c r="GU7" i="359"/>
  <c r="GR7" i="359"/>
  <c r="GO7" i="359"/>
  <c r="GL7" i="359"/>
  <c r="GI7" i="359"/>
  <c r="GF7" i="359"/>
  <c r="GC7" i="359"/>
  <c r="FZ7" i="359"/>
  <c r="FW7" i="359"/>
  <c r="FT7" i="359"/>
  <c r="FQ7" i="359"/>
  <c r="FN7" i="359"/>
  <c r="FK7" i="359"/>
  <c r="FH7" i="359"/>
  <c r="FE7" i="359"/>
  <c r="FB7" i="359"/>
  <c r="EY7" i="359"/>
  <c r="EV7" i="359"/>
  <c r="ES7" i="359"/>
  <c r="EP7" i="359"/>
  <c r="EM7" i="359"/>
  <c r="EJ7" i="359"/>
  <c r="EG7" i="359"/>
  <c r="ED7" i="359"/>
  <c r="EA7" i="359"/>
  <c r="DX7" i="359"/>
  <c r="DU7" i="359"/>
  <c r="DR7" i="359"/>
  <c r="DO7" i="359"/>
  <c r="DL7" i="359"/>
  <c r="DI7" i="359"/>
  <c r="DF7" i="359"/>
  <c r="DC7" i="359"/>
  <c r="CZ7" i="359"/>
  <c r="CW7" i="359"/>
  <c r="CT7" i="359"/>
  <c r="CQ7" i="359"/>
  <c r="CN7" i="359"/>
  <c r="CI7" i="359"/>
  <c r="CF7" i="359"/>
  <c r="CC7" i="359"/>
  <c r="BX7" i="359"/>
  <c r="BU7" i="359"/>
  <c r="BR7" i="359"/>
  <c r="BO7" i="359"/>
  <c r="BL7" i="359"/>
  <c r="BI7" i="359"/>
  <c r="BF7" i="359"/>
  <c r="BC7" i="359"/>
  <c r="AZ7" i="359"/>
  <c r="AW7" i="359"/>
  <c r="AT7" i="359"/>
  <c r="AQ7" i="359"/>
  <c r="AN7" i="359"/>
  <c r="AK7" i="359"/>
  <c r="AH7" i="359"/>
  <c r="AE7" i="359"/>
  <c r="AB7" i="359"/>
  <c r="Y7" i="359"/>
  <c r="V7" i="359"/>
  <c r="S7" i="359"/>
  <c r="P7" i="359"/>
  <c r="M7" i="359"/>
  <c r="J7" i="359"/>
  <c r="G7" i="359"/>
  <c r="D7" i="359"/>
  <c r="IK6" i="359"/>
  <c r="IL6" i="359" s="1"/>
  <c r="IH6" i="359"/>
  <c r="IE6" i="359"/>
  <c r="IB6" i="359"/>
  <c r="HY6" i="359"/>
  <c r="HV6" i="359"/>
  <c r="HS6" i="359"/>
  <c r="HP6" i="359"/>
  <c r="HM6" i="359"/>
  <c r="HJ6" i="359"/>
  <c r="HG6" i="359"/>
  <c r="HD6" i="359"/>
  <c r="HA6" i="359"/>
  <c r="GX6" i="359"/>
  <c r="GU6" i="359"/>
  <c r="GR6" i="359"/>
  <c r="GO6" i="359"/>
  <c r="GL6" i="359"/>
  <c r="GI6" i="359"/>
  <c r="GF6" i="359"/>
  <c r="GC6" i="359"/>
  <c r="FZ6" i="359"/>
  <c r="FW6" i="359"/>
  <c r="FT6" i="359"/>
  <c r="FQ6" i="359"/>
  <c r="FN6" i="359"/>
  <c r="FK6" i="359"/>
  <c r="FH6" i="359"/>
  <c r="FE6" i="359"/>
  <c r="FB6" i="359"/>
  <c r="EY6" i="359"/>
  <c r="EV6" i="359"/>
  <c r="ES6" i="359"/>
  <c r="EP6" i="359"/>
  <c r="EM6" i="359"/>
  <c r="EJ6" i="359"/>
  <c r="EG6" i="359"/>
  <c r="ED6" i="359"/>
  <c r="EA6" i="359"/>
  <c r="DX6" i="359"/>
  <c r="DU6" i="359"/>
  <c r="DR6" i="359"/>
  <c r="DO6" i="359"/>
  <c r="DL6" i="359"/>
  <c r="DI6" i="359"/>
  <c r="DF6" i="359"/>
  <c r="DC6" i="359"/>
  <c r="CZ6" i="359"/>
  <c r="CW6" i="359"/>
  <c r="CT6" i="359"/>
  <c r="CQ6" i="359"/>
  <c r="CN6" i="359"/>
  <c r="CI6" i="359"/>
  <c r="CF6" i="359"/>
  <c r="CC6" i="359"/>
  <c r="BX6" i="359"/>
  <c r="BU6" i="359"/>
  <c r="BR6" i="359"/>
  <c r="BO6" i="359"/>
  <c r="BL6" i="359"/>
  <c r="BI6" i="359"/>
  <c r="BF6" i="359"/>
  <c r="BC6" i="359"/>
  <c r="AZ6" i="359"/>
  <c r="AW6" i="359"/>
  <c r="AT6" i="359"/>
  <c r="AQ6" i="359"/>
  <c r="AN6" i="359"/>
  <c r="AK6" i="359"/>
  <c r="AH6" i="359"/>
  <c r="AE6" i="359"/>
  <c r="AB6" i="359"/>
  <c r="Y6" i="359"/>
  <c r="V6" i="359"/>
  <c r="S6" i="359"/>
  <c r="P6" i="359"/>
  <c r="M6" i="359"/>
  <c r="J6" i="359"/>
  <c r="G6" i="359"/>
  <c r="D6" i="359"/>
  <c r="IK5" i="359"/>
  <c r="IH5" i="359"/>
  <c r="IE5" i="359"/>
  <c r="IB5" i="359"/>
  <c r="HY5" i="359"/>
  <c r="HV5" i="359"/>
  <c r="HS5" i="359"/>
  <c r="HP5" i="359"/>
  <c r="HM5" i="359"/>
  <c r="HJ5" i="359"/>
  <c r="HG5" i="359"/>
  <c r="HD5" i="359"/>
  <c r="HA5" i="359"/>
  <c r="GX5" i="359"/>
  <c r="GU5" i="359"/>
  <c r="GR5" i="359"/>
  <c r="GO5" i="359"/>
  <c r="GL5" i="359"/>
  <c r="GI5" i="359"/>
  <c r="GF5" i="359"/>
  <c r="GC5" i="359"/>
  <c r="FZ5" i="359"/>
  <c r="FW5" i="359"/>
  <c r="FT5" i="359"/>
  <c r="FQ5" i="359"/>
  <c r="FN5" i="359"/>
  <c r="FK5" i="359"/>
  <c r="FH5" i="359"/>
  <c r="FE5" i="359"/>
  <c r="FB5" i="359"/>
  <c r="EY5" i="359"/>
  <c r="EV5" i="359"/>
  <c r="ES5" i="359"/>
  <c r="EP5" i="359"/>
  <c r="EM5" i="359"/>
  <c r="EJ5" i="359"/>
  <c r="EG5" i="359"/>
  <c r="ED5" i="359"/>
  <c r="EA5" i="359"/>
  <c r="DX5" i="359"/>
  <c r="DU5" i="359"/>
  <c r="DR5" i="359"/>
  <c r="DO5" i="359"/>
  <c r="DL5" i="359"/>
  <c r="DI5" i="359"/>
  <c r="DF5" i="359"/>
  <c r="DC5" i="359"/>
  <c r="CZ5" i="359"/>
  <c r="CW5" i="359"/>
  <c r="CT5" i="359"/>
  <c r="CQ5" i="359"/>
  <c r="CN5" i="359"/>
  <c r="CI5" i="359"/>
  <c r="CF5" i="359"/>
  <c r="CC5" i="359"/>
  <c r="BX5" i="359"/>
  <c r="BU5" i="359"/>
  <c r="BR5" i="359"/>
  <c r="BO5" i="359"/>
  <c r="BL5" i="359"/>
  <c r="BI5" i="359"/>
  <c r="BF5" i="359"/>
  <c r="BC5" i="359"/>
  <c r="AZ5" i="359"/>
  <c r="AW5" i="359"/>
  <c r="AT5" i="359"/>
  <c r="AQ5" i="359"/>
  <c r="AN5" i="359"/>
  <c r="AK5" i="359"/>
  <c r="AH5" i="359"/>
  <c r="AE5" i="359"/>
  <c r="AB5" i="359"/>
  <c r="Y5" i="359"/>
  <c r="V5" i="359"/>
  <c r="S5" i="359"/>
  <c r="P5" i="359"/>
  <c r="M5" i="359"/>
  <c r="J5" i="359"/>
  <c r="G5" i="359"/>
  <c r="D5" i="359"/>
  <c r="IK33" i="358"/>
  <c r="IJ33" i="358"/>
  <c r="II33" i="358"/>
  <c r="IG33" i="358"/>
  <c r="IF33" i="358"/>
  <c r="ID33" i="358"/>
  <c r="IC33" i="358"/>
  <c r="IA33" i="358"/>
  <c r="HZ33" i="358"/>
  <c r="HX33" i="358"/>
  <c r="HW33" i="358"/>
  <c r="HU33" i="358"/>
  <c r="HT33" i="358"/>
  <c r="HR33" i="358"/>
  <c r="HQ33" i="358"/>
  <c r="HO33" i="358"/>
  <c r="HN33" i="358"/>
  <c r="HL33" i="358"/>
  <c r="HK33" i="358"/>
  <c r="HI33" i="358"/>
  <c r="HH33" i="358"/>
  <c r="HF33" i="358"/>
  <c r="HE33" i="358"/>
  <c r="HD33" i="358"/>
  <c r="HC33" i="358"/>
  <c r="HB33" i="358"/>
  <c r="GZ33" i="358"/>
  <c r="GY33" i="358"/>
  <c r="GW33" i="358"/>
  <c r="GV33" i="358"/>
  <c r="GT33" i="358"/>
  <c r="GS33" i="358"/>
  <c r="GQ33" i="358"/>
  <c r="GP33" i="358"/>
  <c r="GN33" i="358"/>
  <c r="GM33" i="358"/>
  <c r="GK33" i="358"/>
  <c r="GJ33" i="358"/>
  <c r="GH33" i="358"/>
  <c r="GG33" i="358"/>
  <c r="GE33" i="358"/>
  <c r="GD33" i="358"/>
  <c r="GB33" i="358"/>
  <c r="GA33" i="358"/>
  <c r="FY33" i="358"/>
  <c r="FX33" i="358"/>
  <c r="FV33" i="358"/>
  <c r="FU33" i="358"/>
  <c r="FS33" i="358"/>
  <c r="FR33" i="358"/>
  <c r="FP33" i="358"/>
  <c r="FO33" i="358"/>
  <c r="FM33" i="358"/>
  <c r="FL33" i="358"/>
  <c r="FJ33" i="358"/>
  <c r="FI33" i="358"/>
  <c r="FG33" i="358"/>
  <c r="FF33" i="358"/>
  <c r="FD33" i="358"/>
  <c r="FC33" i="358"/>
  <c r="FA33" i="358"/>
  <c r="EZ33" i="358"/>
  <c r="EX33" i="358"/>
  <c r="EW33" i="358"/>
  <c r="EU33" i="358"/>
  <c r="ET33" i="358"/>
  <c r="ER33" i="358"/>
  <c r="EQ33" i="358"/>
  <c r="EO33" i="358"/>
  <c r="EN33" i="358"/>
  <c r="EL33" i="358"/>
  <c r="EK33" i="358"/>
  <c r="EI33" i="358"/>
  <c r="EH33" i="358"/>
  <c r="EF33" i="358"/>
  <c r="EE33" i="358"/>
  <c r="EC33" i="358"/>
  <c r="EB33" i="358"/>
  <c r="DZ33" i="358"/>
  <c r="DY33" i="358"/>
  <c r="DW33" i="358"/>
  <c r="DV33" i="358"/>
  <c r="DT33" i="358"/>
  <c r="DS33" i="358"/>
  <c r="DQ33" i="358"/>
  <c r="DP33" i="358"/>
  <c r="DN33" i="358"/>
  <c r="DM33" i="358"/>
  <c r="DK33" i="358"/>
  <c r="DJ33" i="358"/>
  <c r="DH33" i="358"/>
  <c r="DG33" i="358"/>
  <c r="DF33" i="358"/>
  <c r="DE33" i="358"/>
  <c r="DD33" i="358"/>
  <c r="DB33" i="358"/>
  <c r="DA33" i="358"/>
  <c r="CY33" i="358"/>
  <c r="CX33" i="358"/>
  <c r="CV33" i="358"/>
  <c r="CU33" i="358"/>
  <c r="CS33" i="358"/>
  <c r="CR33" i="358"/>
  <c r="CP33" i="358"/>
  <c r="CO33" i="358"/>
  <c r="CM33" i="358"/>
  <c r="CL33" i="358"/>
  <c r="CK33" i="358"/>
  <c r="CJ33" i="358"/>
  <c r="CH33" i="358"/>
  <c r="CG33" i="358"/>
  <c r="CE33" i="358"/>
  <c r="CD33" i="358"/>
  <c r="CB33" i="358"/>
  <c r="CA33" i="358"/>
  <c r="BZ33" i="358"/>
  <c r="BY33" i="358"/>
  <c r="BW33" i="358"/>
  <c r="BV33" i="358"/>
  <c r="BT33" i="358"/>
  <c r="BS33" i="358"/>
  <c r="BQ33" i="358"/>
  <c r="BP33" i="358"/>
  <c r="BN33" i="358"/>
  <c r="BM33" i="358"/>
  <c r="BK33" i="358"/>
  <c r="BJ33" i="358"/>
  <c r="BH33" i="358"/>
  <c r="BG33" i="358"/>
  <c r="BE33" i="358"/>
  <c r="BD33" i="358"/>
  <c r="BB33" i="358"/>
  <c r="BA33" i="358"/>
  <c r="AY33" i="358"/>
  <c r="AX33" i="358"/>
  <c r="AV33" i="358"/>
  <c r="AU33" i="358"/>
  <c r="AS33" i="358"/>
  <c r="AR33" i="358"/>
  <c r="AP33" i="358"/>
  <c r="AO33" i="358"/>
  <c r="AM33" i="358"/>
  <c r="AL33" i="358"/>
  <c r="AJ33" i="358"/>
  <c r="AI33" i="358"/>
  <c r="AG33" i="358"/>
  <c r="AF33" i="358"/>
  <c r="AE33" i="358"/>
  <c r="AD33" i="358"/>
  <c r="AC33" i="358"/>
  <c r="AA33" i="358"/>
  <c r="Z33" i="358"/>
  <c r="X33" i="358"/>
  <c r="W33" i="358"/>
  <c r="U33" i="358"/>
  <c r="T33" i="358"/>
  <c r="R33" i="358"/>
  <c r="Q33" i="358"/>
  <c r="O33" i="358"/>
  <c r="N33" i="358"/>
  <c r="L33" i="358"/>
  <c r="K33" i="358"/>
  <c r="I33" i="358"/>
  <c r="H33" i="358"/>
  <c r="F33" i="358"/>
  <c r="E33" i="358"/>
  <c r="C33" i="358"/>
  <c r="B33" i="358"/>
  <c r="IK32" i="358"/>
  <c r="IH32" i="358"/>
  <c r="IE32" i="358"/>
  <c r="IB32" i="358"/>
  <c r="HY32" i="358"/>
  <c r="HV32" i="358"/>
  <c r="HS32" i="358"/>
  <c r="HP32" i="358"/>
  <c r="HM32" i="358"/>
  <c r="HJ32" i="358"/>
  <c r="HG32" i="358"/>
  <c r="HD32" i="358"/>
  <c r="HA32" i="358"/>
  <c r="GX32" i="358"/>
  <c r="GU32" i="358"/>
  <c r="GR32" i="358"/>
  <c r="GO32" i="358"/>
  <c r="GL32" i="358"/>
  <c r="GI32" i="358"/>
  <c r="GF32" i="358"/>
  <c r="GC32" i="358"/>
  <c r="FZ32" i="358"/>
  <c r="FW32" i="358"/>
  <c r="FT32" i="358"/>
  <c r="FQ32" i="358"/>
  <c r="FN32" i="358"/>
  <c r="FK32" i="358"/>
  <c r="FH32" i="358"/>
  <c r="FE32" i="358"/>
  <c r="FB32" i="358"/>
  <c r="EY32" i="358"/>
  <c r="EV32" i="358"/>
  <c r="ES32" i="358"/>
  <c r="EP32" i="358"/>
  <c r="EM32" i="358"/>
  <c r="EJ32" i="358"/>
  <c r="EG32" i="358"/>
  <c r="ED32" i="358"/>
  <c r="EA32" i="358"/>
  <c r="DX32" i="358"/>
  <c r="DU32" i="358"/>
  <c r="DR32" i="358"/>
  <c r="DO32" i="358"/>
  <c r="DL32" i="358"/>
  <c r="DI32" i="358"/>
  <c r="DF32" i="358"/>
  <c r="DC32" i="358"/>
  <c r="CZ32" i="358"/>
  <c r="CW32" i="358"/>
  <c r="CT32" i="358"/>
  <c r="CQ32" i="358"/>
  <c r="CN32" i="358"/>
  <c r="CI32" i="358"/>
  <c r="CF32" i="358"/>
  <c r="CC32" i="358"/>
  <c r="BX32" i="358"/>
  <c r="BU32" i="358"/>
  <c r="BR32" i="358"/>
  <c r="BO32" i="358"/>
  <c r="BL32" i="358"/>
  <c r="BI32" i="358"/>
  <c r="BF32" i="358"/>
  <c r="BC32" i="358"/>
  <c r="AZ32" i="358"/>
  <c r="AW32" i="358"/>
  <c r="AT32" i="358"/>
  <c r="AQ32" i="358"/>
  <c r="AN32" i="358"/>
  <c r="AK32" i="358"/>
  <c r="AH32" i="358"/>
  <c r="AE32" i="358"/>
  <c r="AB32" i="358"/>
  <c r="Y32" i="358"/>
  <c r="V32" i="358"/>
  <c r="S32" i="358"/>
  <c r="P32" i="358"/>
  <c r="M32" i="358"/>
  <c r="J32" i="358"/>
  <c r="G32" i="358"/>
  <c r="D32" i="358"/>
  <c r="IK31" i="358"/>
  <c r="IH31" i="358"/>
  <c r="IE31" i="358"/>
  <c r="IB31" i="358"/>
  <c r="HY31" i="358"/>
  <c r="HV31" i="358"/>
  <c r="HS31" i="358"/>
  <c r="HP31" i="358"/>
  <c r="HM31" i="358"/>
  <c r="HJ31" i="358"/>
  <c r="HG31" i="358"/>
  <c r="HD31" i="358"/>
  <c r="HA31" i="358"/>
  <c r="GX31" i="358"/>
  <c r="GU31" i="358"/>
  <c r="GR31" i="358"/>
  <c r="GO31" i="358"/>
  <c r="GL31" i="358"/>
  <c r="GI31" i="358"/>
  <c r="GF31" i="358"/>
  <c r="GC31" i="358"/>
  <c r="FZ31" i="358"/>
  <c r="FW31" i="358"/>
  <c r="FT31" i="358"/>
  <c r="FQ31" i="358"/>
  <c r="FN31" i="358"/>
  <c r="FK31" i="358"/>
  <c r="FH31" i="358"/>
  <c r="FE31" i="358"/>
  <c r="FB31" i="358"/>
  <c r="EY31" i="358"/>
  <c r="EV31" i="358"/>
  <c r="ES31" i="358"/>
  <c r="EP31" i="358"/>
  <c r="EM31" i="358"/>
  <c r="EJ31" i="358"/>
  <c r="EG31" i="358"/>
  <c r="ED31" i="358"/>
  <c r="EA31" i="358"/>
  <c r="DX31" i="358"/>
  <c r="DU31" i="358"/>
  <c r="DR31" i="358"/>
  <c r="DO31" i="358"/>
  <c r="DL31" i="358"/>
  <c r="DI31" i="358"/>
  <c r="DF31" i="358"/>
  <c r="DC31" i="358"/>
  <c r="CZ31" i="358"/>
  <c r="CW31" i="358"/>
  <c r="CT31" i="358"/>
  <c r="CQ31" i="358"/>
  <c r="CN31" i="358"/>
  <c r="CI31" i="358"/>
  <c r="CF31" i="358"/>
  <c r="CC31" i="358"/>
  <c r="BX31" i="358"/>
  <c r="BU31" i="358"/>
  <c r="BR31" i="358"/>
  <c r="BO31" i="358"/>
  <c r="BL31" i="358"/>
  <c r="BI31" i="358"/>
  <c r="BF31" i="358"/>
  <c r="BC31" i="358"/>
  <c r="AZ31" i="358"/>
  <c r="AW31" i="358"/>
  <c r="AT31" i="358"/>
  <c r="AQ31" i="358"/>
  <c r="AN31" i="358"/>
  <c r="AK31" i="358"/>
  <c r="AH31" i="358"/>
  <c r="AE31" i="358"/>
  <c r="AB31" i="358"/>
  <c r="Y31" i="358"/>
  <c r="V31" i="358"/>
  <c r="S31" i="358"/>
  <c r="P31" i="358"/>
  <c r="M31" i="358"/>
  <c r="J31" i="358"/>
  <c r="G31" i="358"/>
  <c r="D31" i="358"/>
  <c r="IK30" i="358"/>
  <c r="IH30" i="358"/>
  <c r="IE30" i="358"/>
  <c r="IB30" i="358"/>
  <c r="HY30" i="358"/>
  <c r="HV30" i="358"/>
  <c r="HS30" i="358"/>
  <c r="HP30" i="358"/>
  <c r="HM30" i="358"/>
  <c r="HJ30" i="358"/>
  <c r="HG30" i="358"/>
  <c r="HD30" i="358"/>
  <c r="HA30" i="358"/>
  <c r="GX30" i="358"/>
  <c r="GU30" i="358"/>
  <c r="GR30" i="358"/>
  <c r="GO30" i="358"/>
  <c r="GL30" i="358"/>
  <c r="GI30" i="358"/>
  <c r="GF30" i="358"/>
  <c r="GC30" i="358"/>
  <c r="FZ30" i="358"/>
  <c r="FW30" i="358"/>
  <c r="FT30" i="358"/>
  <c r="FQ30" i="358"/>
  <c r="FN30" i="358"/>
  <c r="FK30" i="358"/>
  <c r="FH30" i="358"/>
  <c r="FE30" i="358"/>
  <c r="FB30" i="358"/>
  <c r="EY30" i="358"/>
  <c r="EV30" i="358"/>
  <c r="ES30" i="358"/>
  <c r="EP30" i="358"/>
  <c r="EM30" i="358"/>
  <c r="EJ30" i="358"/>
  <c r="EG30" i="358"/>
  <c r="ED30" i="358"/>
  <c r="EA30" i="358"/>
  <c r="DX30" i="358"/>
  <c r="DU30" i="358"/>
  <c r="DR30" i="358"/>
  <c r="DO30" i="358"/>
  <c r="DL30" i="358"/>
  <c r="DI30" i="358"/>
  <c r="DF30" i="358"/>
  <c r="DC30" i="358"/>
  <c r="CZ30" i="358"/>
  <c r="CW30" i="358"/>
  <c r="CT30" i="358"/>
  <c r="CQ30" i="358"/>
  <c r="CN30" i="358"/>
  <c r="CI30" i="358"/>
  <c r="CF30" i="358"/>
  <c r="CC30" i="358"/>
  <c r="BX30" i="358"/>
  <c r="BU30" i="358"/>
  <c r="BR30" i="358"/>
  <c r="BO30" i="358"/>
  <c r="BL30" i="358"/>
  <c r="BI30" i="358"/>
  <c r="BF30" i="358"/>
  <c r="BC30" i="358"/>
  <c r="AZ30" i="358"/>
  <c r="AW30" i="358"/>
  <c r="AT30" i="358"/>
  <c r="AQ30" i="358"/>
  <c r="AN30" i="358"/>
  <c r="AK30" i="358"/>
  <c r="AH30" i="358"/>
  <c r="AE30" i="358"/>
  <c r="AB30" i="358"/>
  <c r="Y30" i="358"/>
  <c r="V30" i="358"/>
  <c r="S30" i="358"/>
  <c r="P30" i="358"/>
  <c r="M30" i="358"/>
  <c r="J30" i="358"/>
  <c r="G30" i="358"/>
  <c r="D30" i="358"/>
  <c r="IK29" i="358"/>
  <c r="IH29" i="358"/>
  <c r="IE29" i="358"/>
  <c r="IB29" i="358"/>
  <c r="HY29" i="358"/>
  <c r="HV29" i="358"/>
  <c r="HS29" i="358"/>
  <c r="HP29" i="358"/>
  <c r="HM29" i="358"/>
  <c r="HJ29" i="358"/>
  <c r="HG29" i="358"/>
  <c r="HD29" i="358"/>
  <c r="HA29" i="358"/>
  <c r="GX29" i="358"/>
  <c r="GU29" i="358"/>
  <c r="GR29" i="358"/>
  <c r="GO29" i="358"/>
  <c r="GL29" i="358"/>
  <c r="GI29" i="358"/>
  <c r="GF29" i="358"/>
  <c r="GC29" i="358"/>
  <c r="FZ29" i="358"/>
  <c r="FW29" i="358"/>
  <c r="FT29" i="358"/>
  <c r="FQ29" i="358"/>
  <c r="FN29" i="358"/>
  <c r="FK29" i="358"/>
  <c r="FH29" i="358"/>
  <c r="FE29" i="358"/>
  <c r="FB29" i="358"/>
  <c r="EY29" i="358"/>
  <c r="EV29" i="358"/>
  <c r="ES29" i="358"/>
  <c r="EP29" i="358"/>
  <c r="EM29" i="358"/>
  <c r="EJ29" i="358"/>
  <c r="EG29" i="358"/>
  <c r="ED29" i="358"/>
  <c r="EA29" i="358"/>
  <c r="DX29" i="358"/>
  <c r="DU29" i="358"/>
  <c r="DR29" i="358"/>
  <c r="DO29" i="358"/>
  <c r="DL29" i="358"/>
  <c r="DI29" i="358"/>
  <c r="DF29" i="358"/>
  <c r="DC29" i="358"/>
  <c r="CZ29" i="358"/>
  <c r="CW29" i="358"/>
  <c r="CT29" i="358"/>
  <c r="CQ29" i="358"/>
  <c r="CN29" i="358"/>
  <c r="CI29" i="358"/>
  <c r="CF29" i="358"/>
  <c r="CC29" i="358"/>
  <c r="BX29" i="358"/>
  <c r="BU29" i="358"/>
  <c r="BR29" i="358"/>
  <c r="BO29" i="358"/>
  <c r="BL29" i="358"/>
  <c r="BI29" i="358"/>
  <c r="BF29" i="358"/>
  <c r="BC29" i="358"/>
  <c r="AZ29" i="358"/>
  <c r="AW29" i="358"/>
  <c r="AT29" i="358"/>
  <c r="AQ29" i="358"/>
  <c r="AN29" i="358"/>
  <c r="AK29" i="358"/>
  <c r="AH29" i="358"/>
  <c r="AE29" i="358"/>
  <c r="AB29" i="358"/>
  <c r="Y29" i="358"/>
  <c r="V29" i="358"/>
  <c r="S29" i="358"/>
  <c r="P29" i="358"/>
  <c r="M29" i="358"/>
  <c r="J29" i="358"/>
  <c r="G29" i="358"/>
  <c r="D29" i="358"/>
  <c r="IK28" i="358"/>
  <c r="IH28" i="358"/>
  <c r="IE28" i="358"/>
  <c r="IB28" i="358"/>
  <c r="HY28" i="358"/>
  <c r="HV28" i="358"/>
  <c r="HS28" i="358"/>
  <c r="HP28" i="358"/>
  <c r="HM28" i="358"/>
  <c r="HJ28" i="358"/>
  <c r="HG28" i="358"/>
  <c r="HD28" i="358"/>
  <c r="HA28" i="358"/>
  <c r="GX28" i="358"/>
  <c r="GU28" i="358"/>
  <c r="GR28" i="358"/>
  <c r="GO28" i="358"/>
  <c r="GL28" i="358"/>
  <c r="GI28" i="358"/>
  <c r="GF28" i="358"/>
  <c r="GC28" i="358"/>
  <c r="FZ28" i="358"/>
  <c r="FW28" i="358"/>
  <c r="FT28" i="358"/>
  <c r="FQ28" i="358"/>
  <c r="FN28" i="358"/>
  <c r="FK28" i="358"/>
  <c r="FH28" i="358"/>
  <c r="FE28" i="358"/>
  <c r="FB28" i="358"/>
  <c r="EY28" i="358"/>
  <c r="EV28" i="358"/>
  <c r="ES28" i="358"/>
  <c r="EP28" i="358"/>
  <c r="EM28" i="358"/>
  <c r="EJ28" i="358"/>
  <c r="EG28" i="358"/>
  <c r="ED28" i="358"/>
  <c r="EA28" i="358"/>
  <c r="DX28" i="358"/>
  <c r="DU28" i="358"/>
  <c r="DR28" i="358"/>
  <c r="DO28" i="358"/>
  <c r="DL28" i="358"/>
  <c r="DI28" i="358"/>
  <c r="DF28" i="358"/>
  <c r="DC28" i="358"/>
  <c r="CZ28" i="358"/>
  <c r="CW28" i="358"/>
  <c r="CT28" i="358"/>
  <c r="CQ28" i="358"/>
  <c r="CN28" i="358"/>
  <c r="CI28" i="358"/>
  <c r="CF28" i="358"/>
  <c r="CC28" i="358"/>
  <c r="BX28" i="358"/>
  <c r="BU28" i="358"/>
  <c r="BR28" i="358"/>
  <c r="BO28" i="358"/>
  <c r="BL28" i="358"/>
  <c r="BI28" i="358"/>
  <c r="BF28" i="358"/>
  <c r="BC28" i="358"/>
  <c r="AZ28" i="358"/>
  <c r="AW28" i="358"/>
  <c r="AT28" i="358"/>
  <c r="AQ28" i="358"/>
  <c r="AN28" i="358"/>
  <c r="AK28" i="358"/>
  <c r="AH28" i="358"/>
  <c r="AE28" i="358"/>
  <c r="AB28" i="358"/>
  <c r="Y28" i="358"/>
  <c r="V28" i="358"/>
  <c r="S28" i="358"/>
  <c r="P28" i="358"/>
  <c r="M28" i="358"/>
  <c r="J28" i="358"/>
  <c r="G28" i="358"/>
  <c r="D28" i="358"/>
  <c r="IK27" i="358"/>
  <c r="IH27" i="358"/>
  <c r="IE27" i="358"/>
  <c r="IB27" i="358"/>
  <c r="HY27" i="358"/>
  <c r="HV27" i="358"/>
  <c r="HS27" i="358"/>
  <c r="HP27" i="358"/>
  <c r="HM27" i="358"/>
  <c r="HJ27" i="358"/>
  <c r="HG27" i="358"/>
  <c r="HD27" i="358"/>
  <c r="HA27" i="358"/>
  <c r="GX27" i="358"/>
  <c r="GU27" i="358"/>
  <c r="GR27" i="358"/>
  <c r="GO27" i="358"/>
  <c r="GL27" i="358"/>
  <c r="GI27" i="358"/>
  <c r="GF27" i="358"/>
  <c r="GC27" i="358"/>
  <c r="FZ27" i="358"/>
  <c r="FW27" i="358"/>
  <c r="FT27" i="358"/>
  <c r="FQ27" i="358"/>
  <c r="FN27" i="358"/>
  <c r="FK27" i="358"/>
  <c r="FH27" i="358"/>
  <c r="FE27" i="358"/>
  <c r="FB27" i="358"/>
  <c r="EY27" i="358"/>
  <c r="EV27" i="358"/>
  <c r="ES27" i="358"/>
  <c r="EP27" i="358"/>
  <c r="EM27" i="358"/>
  <c r="EJ27" i="358"/>
  <c r="EG27" i="358"/>
  <c r="ED27" i="358"/>
  <c r="EA27" i="358"/>
  <c r="DX27" i="358"/>
  <c r="DU27" i="358"/>
  <c r="DR27" i="358"/>
  <c r="DO27" i="358"/>
  <c r="DL27" i="358"/>
  <c r="DI27" i="358"/>
  <c r="DF27" i="358"/>
  <c r="DC27" i="358"/>
  <c r="CZ27" i="358"/>
  <c r="CW27" i="358"/>
  <c r="CT27" i="358"/>
  <c r="CQ27" i="358"/>
  <c r="CN27" i="358"/>
  <c r="CI27" i="358"/>
  <c r="CF27" i="358"/>
  <c r="CC27" i="358"/>
  <c r="BX27" i="358"/>
  <c r="BU27" i="358"/>
  <c r="BR27" i="358"/>
  <c r="BO27" i="358"/>
  <c r="BL27" i="358"/>
  <c r="BI27" i="358"/>
  <c r="BF27" i="358"/>
  <c r="BC27" i="358"/>
  <c r="AZ27" i="358"/>
  <c r="AW27" i="358"/>
  <c r="AT27" i="358"/>
  <c r="AQ27" i="358"/>
  <c r="AN27" i="358"/>
  <c r="AK27" i="358"/>
  <c r="AH27" i="358"/>
  <c r="AE27" i="358"/>
  <c r="AB27" i="358"/>
  <c r="Y27" i="358"/>
  <c r="V27" i="358"/>
  <c r="S27" i="358"/>
  <c r="P27" i="358"/>
  <c r="M27" i="358"/>
  <c r="J27" i="358"/>
  <c r="G27" i="358"/>
  <c r="D27" i="358"/>
  <c r="IK26" i="358"/>
  <c r="IH26" i="358"/>
  <c r="IE26" i="358"/>
  <c r="IB26" i="358"/>
  <c r="HY26" i="358"/>
  <c r="HV26" i="358"/>
  <c r="HS26" i="358"/>
  <c r="HP26" i="358"/>
  <c r="HM26" i="358"/>
  <c r="HJ26" i="358"/>
  <c r="HG26" i="358"/>
  <c r="HD26" i="358"/>
  <c r="HA26" i="358"/>
  <c r="GX26" i="358"/>
  <c r="GU26" i="358"/>
  <c r="GR26" i="358"/>
  <c r="GO26" i="358"/>
  <c r="GL26" i="358"/>
  <c r="GI26" i="358"/>
  <c r="GF26" i="358"/>
  <c r="GC26" i="358"/>
  <c r="FZ26" i="358"/>
  <c r="FW26" i="358"/>
  <c r="FT26" i="358"/>
  <c r="FQ26" i="358"/>
  <c r="FN26" i="358"/>
  <c r="FK26" i="358"/>
  <c r="FH26" i="358"/>
  <c r="FE26" i="358"/>
  <c r="FB26" i="358"/>
  <c r="EY26" i="358"/>
  <c r="EV26" i="358"/>
  <c r="ES26" i="358"/>
  <c r="EP26" i="358"/>
  <c r="EM26" i="358"/>
  <c r="EJ26" i="358"/>
  <c r="EG26" i="358"/>
  <c r="ED26" i="358"/>
  <c r="EA26" i="358"/>
  <c r="DX26" i="358"/>
  <c r="DU26" i="358"/>
  <c r="DR26" i="358"/>
  <c r="DO26" i="358"/>
  <c r="DL26" i="358"/>
  <c r="DI26" i="358"/>
  <c r="DF26" i="358"/>
  <c r="DC26" i="358"/>
  <c r="CZ26" i="358"/>
  <c r="CW26" i="358"/>
  <c r="CT26" i="358"/>
  <c r="CQ26" i="358"/>
  <c r="CN26" i="358"/>
  <c r="CI26" i="358"/>
  <c r="CF26" i="358"/>
  <c r="CC26" i="358"/>
  <c r="BX26" i="358"/>
  <c r="BU26" i="358"/>
  <c r="BR26" i="358"/>
  <c r="BO26" i="358"/>
  <c r="BL26" i="358"/>
  <c r="BI26" i="358"/>
  <c r="BF26" i="358"/>
  <c r="BC26" i="358"/>
  <c r="AZ26" i="358"/>
  <c r="AW26" i="358"/>
  <c r="AT26" i="358"/>
  <c r="AQ26" i="358"/>
  <c r="AN26" i="358"/>
  <c r="AK26" i="358"/>
  <c r="AH26" i="358"/>
  <c r="AE26" i="358"/>
  <c r="AB26" i="358"/>
  <c r="Y26" i="358"/>
  <c r="V26" i="358"/>
  <c r="S26" i="358"/>
  <c r="P26" i="358"/>
  <c r="M26" i="358"/>
  <c r="J26" i="358"/>
  <c r="G26" i="358"/>
  <c r="D26" i="358"/>
  <c r="IK25" i="358"/>
  <c r="IH25" i="358"/>
  <c r="IE25" i="358"/>
  <c r="IB25" i="358"/>
  <c r="HY25" i="358"/>
  <c r="HV25" i="358"/>
  <c r="HS25" i="358"/>
  <c r="HP25" i="358"/>
  <c r="HM25" i="358"/>
  <c r="HJ25" i="358"/>
  <c r="HG25" i="358"/>
  <c r="HD25" i="358"/>
  <c r="HA25" i="358"/>
  <c r="GX25" i="358"/>
  <c r="GU25" i="358"/>
  <c r="GR25" i="358"/>
  <c r="GO25" i="358"/>
  <c r="GL25" i="358"/>
  <c r="GI25" i="358"/>
  <c r="GF25" i="358"/>
  <c r="GC25" i="358"/>
  <c r="FZ25" i="358"/>
  <c r="FW25" i="358"/>
  <c r="FT25" i="358"/>
  <c r="FQ25" i="358"/>
  <c r="FN25" i="358"/>
  <c r="FK25" i="358"/>
  <c r="FH25" i="358"/>
  <c r="FE25" i="358"/>
  <c r="FB25" i="358"/>
  <c r="EY25" i="358"/>
  <c r="EV25" i="358"/>
  <c r="ES25" i="358"/>
  <c r="EP25" i="358"/>
  <c r="EM25" i="358"/>
  <c r="EJ25" i="358"/>
  <c r="EG25" i="358"/>
  <c r="ED25" i="358"/>
  <c r="EA25" i="358"/>
  <c r="DX25" i="358"/>
  <c r="DU25" i="358"/>
  <c r="DR25" i="358"/>
  <c r="DO25" i="358"/>
  <c r="DL25" i="358"/>
  <c r="DI25" i="358"/>
  <c r="DF25" i="358"/>
  <c r="DC25" i="358"/>
  <c r="CZ25" i="358"/>
  <c r="CW25" i="358"/>
  <c r="CT25" i="358"/>
  <c r="CQ25" i="358"/>
  <c r="CN25" i="358"/>
  <c r="CI25" i="358"/>
  <c r="CF25" i="358"/>
  <c r="CC25" i="358"/>
  <c r="BX25" i="358"/>
  <c r="BU25" i="358"/>
  <c r="BR25" i="358"/>
  <c r="BO25" i="358"/>
  <c r="BL25" i="358"/>
  <c r="BI25" i="358"/>
  <c r="BF25" i="358"/>
  <c r="BC25" i="358"/>
  <c r="AZ25" i="358"/>
  <c r="AW25" i="358"/>
  <c r="AT25" i="358"/>
  <c r="AQ25" i="358"/>
  <c r="AN25" i="358"/>
  <c r="AK25" i="358"/>
  <c r="AH25" i="358"/>
  <c r="AE25" i="358"/>
  <c r="AB25" i="358"/>
  <c r="Y25" i="358"/>
  <c r="V25" i="358"/>
  <c r="S25" i="358"/>
  <c r="P25" i="358"/>
  <c r="M25" i="358"/>
  <c r="J25" i="358"/>
  <c r="G25" i="358"/>
  <c r="D25" i="358"/>
  <c r="IK24" i="358"/>
  <c r="IH24" i="358"/>
  <c r="IE24" i="358"/>
  <c r="IB24" i="358"/>
  <c r="HY24" i="358"/>
  <c r="HV24" i="358"/>
  <c r="HS24" i="358"/>
  <c r="HP24" i="358"/>
  <c r="HM24" i="358"/>
  <c r="HJ24" i="358"/>
  <c r="HG24" i="358"/>
  <c r="HD24" i="358"/>
  <c r="HA24" i="358"/>
  <c r="GX24" i="358"/>
  <c r="GU24" i="358"/>
  <c r="GR24" i="358"/>
  <c r="GO24" i="358"/>
  <c r="GL24" i="358"/>
  <c r="GI24" i="358"/>
  <c r="GF24" i="358"/>
  <c r="GC24" i="358"/>
  <c r="FZ24" i="358"/>
  <c r="FW24" i="358"/>
  <c r="FT24" i="358"/>
  <c r="FQ24" i="358"/>
  <c r="FN24" i="358"/>
  <c r="FK24" i="358"/>
  <c r="FH24" i="358"/>
  <c r="FE24" i="358"/>
  <c r="FB24" i="358"/>
  <c r="EY24" i="358"/>
  <c r="EV24" i="358"/>
  <c r="ES24" i="358"/>
  <c r="EP24" i="358"/>
  <c r="EM24" i="358"/>
  <c r="EJ24" i="358"/>
  <c r="EG24" i="358"/>
  <c r="ED24" i="358"/>
  <c r="EA24" i="358"/>
  <c r="DX24" i="358"/>
  <c r="DU24" i="358"/>
  <c r="DR24" i="358"/>
  <c r="DO24" i="358"/>
  <c r="DL24" i="358"/>
  <c r="DI24" i="358"/>
  <c r="DF24" i="358"/>
  <c r="DC24" i="358"/>
  <c r="CZ24" i="358"/>
  <c r="CW24" i="358"/>
  <c r="CT24" i="358"/>
  <c r="CQ24" i="358"/>
  <c r="CN24" i="358"/>
  <c r="CI24" i="358"/>
  <c r="CF24" i="358"/>
  <c r="CC24" i="358"/>
  <c r="BX24" i="358"/>
  <c r="BU24" i="358"/>
  <c r="BR24" i="358"/>
  <c r="BO24" i="358"/>
  <c r="BL24" i="358"/>
  <c r="BI24" i="358"/>
  <c r="BF24" i="358"/>
  <c r="BC24" i="358"/>
  <c r="AZ24" i="358"/>
  <c r="AW24" i="358"/>
  <c r="AT24" i="358"/>
  <c r="AQ24" i="358"/>
  <c r="AN24" i="358"/>
  <c r="AK24" i="358"/>
  <c r="AH24" i="358"/>
  <c r="AE24" i="358"/>
  <c r="AB24" i="358"/>
  <c r="Y24" i="358"/>
  <c r="V24" i="358"/>
  <c r="S24" i="358"/>
  <c r="P24" i="358"/>
  <c r="M24" i="358"/>
  <c r="J24" i="358"/>
  <c r="G24" i="358"/>
  <c r="D24" i="358"/>
  <c r="IK23" i="358"/>
  <c r="IH23" i="358"/>
  <c r="IE23" i="358"/>
  <c r="IB23" i="358"/>
  <c r="HY23" i="358"/>
  <c r="HV23" i="358"/>
  <c r="HS23" i="358"/>
  <c r="HP23" i="358"/>
  <c r="HM23" i="358"/>
  <c r="HJ23" i="358"/>
  <c r="HG23" i="358"/>
  <c r="HD23" i="358"/>
  <c r="HA23" i="358"/>
  <c r="GX23" i="358"/>
  <c r="GU23" i="358"/>
  <c r="GR23" i="358"/>
  <c r="GO23" i="358"/>
  <c r="GL23" i="358"/>
  <c r="GI23" i="358"/>
  <c r="GF23" i="358"/>
  <c r="GC23" i="358"/>
  <c r="FZ23" i="358"/>
  <c r="FW23" i="358"/>
  <c r="FT23" i="358"/>
  <c r="FQ23" i="358"/>
  <c r="FN23" i="358"/>
  <c r="FK23" i="358"/>
  <c r="FH23" i="358"/>
  <c r="FE23" i="358"/>
  <c r="FB23" i="358"/>
  <c r="EY23" i="358"/>
  <c r="EV23" i="358"/>
  <c r="ES23" i="358"/>
  <c r="EP23" i="358"/>
  <c r="EM23" i="358"/>
  <c r="EJ23" i="358"/>
  <c r="EG23" i="358"/>
  <c r="ED23" i="358"/>
  <c r="EA23" i="358"/>
  <c r="DX23" i="358"/>
  <c r="DU23" i="358"/>
  <c r="DR23" i="358"/>
  <c r="DO23" i="358"/>
  <c r="DL23" i="358"/>
  <c r="DI23" i="358"/>
  <c r="DF23" i="358"/>
  <c r="DC23" i="358"/>
  <c r="CZ23" i="358"/>
  <c r="CW23" i="358"/>
  <c r="CT23" i="358"/>
  <c r="CQ23" i="358"/>
  <c r="CN23" i="358"/>
  <c r="CI23" i="358"/>
  <c r="CF23" i="358"/>
  <c r="CC23" i="358"/>
  <c r="BX23" i="358"/>
  <c r="BU23" i="358"/>
  <c r="BR23" i="358"/>
  <c r="BO23" i="358"/>
  <c r="BL23" i="358"/>
  <c r="BI23" i="358"/>
  <c r="BF23" i="358"/>
  <c r="BC23" i="358"/>
  <c r="AZ23" i="358"/>
  <c r="AW23" i="358"/>
  <c r="AT23" i="358"/>
  <c r="AQ23" i="358"/>
  <c r="AN23" i="358"/>
  <c r="AK23" i="358"/>
  <c r="AH23" i="358"/>
  <c r="AE23" i="358"/>
  <c r="AB23" i="358"/>
  <c r="Y23" i="358"/>
  <c r="V23" i="358"/>
  <c r="S23" i="358"/>
  <c r="P23" i="358"/>
  <c r="M23" i="358"/>
  <c r="J23" i="358"/>
  <c r="G23" i="358"/>
  <c r="D23" i="358"/>
  <c r="IK22" i="358"/>
  <c r="IH22" i="358"/>
  <c r="IE22" i="358"/>
  <c r="IB22" i="358"/>
  <c r="HY22" i="358"/>
  <c r="HV22" i="358"/>
  <c r="HS22" i="358"/>
  <c r="HP22" i="358"/>
  <c r="HM22" i="358"/>
  <c r="HJ22" i="358"/>
  <c r="HG22" i="358"/>
  <c r="HD22" i="358"/>
  <c r="HA22" i="358"/>
  <c r="GX22" i="358"/>
  <c r="GU22" i="358"/>
  <c r="GR22" i="358"/>
  <c r="GO22" i="358"/>
  <c r="GL22" i="358"/>
  <c r="GI22" i="358"/>
  <c r="GF22" i="358"/>
  <c r="GC22" i="358"/>
  <c r="FZ22" i="358"/>
  <c r="FW22" i="358"/>
  <c r="FT22" i="358"/>
  <c r="FQ22" i="358"/>
  <c r="FN22" i="358"/>
  <c r="FK22" i="358"/>
  <c r="FH22" i="358"/>
  <c r="FE22" i="358"/>
  <c r="FB22" i="358"/>
  <c r="EY22" i="358"/>
  <c r="EV22" i="358"/>
  <c r="ES22" i="358"/>
  <c r="EP22" i="358"/>
  <c r="EM22" i="358"/>
  <c r="EJ22" i="358"/>
  <c r="EG22" i="358"/>
  <c r="ED22" i="358"/>
  <c r="EA22" i="358"/>
  <c r="DX22" i="358"/>
  <c r="DU22" i="358"/>
  <c r="DR22" i="358"/>
  <c r="DO22" i="358"/>
  <c r="DL22" i="358"/>
  <c r="DI22" i="358"/>
  <c r="DF22" i="358"/>
  <c r="DC22" i="358"/>
  <c r="CZ22" i="358"/>
  <c r="CW22" i="358"/>
  <c r="CT22" i="358"/>
  <c r="CQ22" i="358"/>
  <c r="CN22" i="358"/>
  <c r="CI22" i="358"/>
  <c r="CF22" i="358"/>
  <c r="CC22" i="358"/>
  <c r="BX22" i="358"/>
  <c r="BU22" i="358"/>
  <c r="BR22" i="358"/>
  <c r="BO22" i="358"/>
  <c r="BL22" i="358"/>
  <c r="BI22" i="358"/>
  <c r="BF22" i="358"/>
  <c r="BC22" i="358"/>
  <c r="AZ22" i="358"/>
  <c r="AW22" i="358"/>
  <c r="AT22" i="358"/>
  <c r="AQ22" i="358"/>
  <c r="AN22" i="358"/>
  <c r="AK22" i="358"/>
  <c r="AH22" i="358"/>
  <c r="AE22" i="358"/>
  <c r="AB22" i="358"/>
  <c r="Y22" i="358"/>
  <c r="V22" i="358"/>
  <c r="S22" i="358"/>
  <c r="P22" i="358"/>
  <c r="M22" i="358"/>
  <c r="J22" i="358"/>
  <c r="G22" i="358"/>
  <c r="D22" i="358"/>
  <c r="IK21" i="358"/>
  <c r="IH21" i="358"/>
  <c r="IE21" i="358"/>
  <c r="IB21" i="358"/>
  <c r="HY21" i="358"/>
  <c r="HV21" i="358"/>
  <c r="HS21" i="358"/>
  <c r="HP21" i="358"/>
  <c r="HM21" i="358"/>
  <c r="HJ21" i="358"/>
  <c r="HG21" i="358"/>
  <c r="HD21" i="358"/>
  <c r="HA21" i="358"/>
  <c r="GX21" i="358"/>
  <c r="GU21" i="358"/>
  <c r="GR21" i="358"/>
  <c r="GO21" i="358"/>
  <c r="GL21" i="358"/>
  <c r="GI21" i="358"/>
  <c r="GF21" i="358"/>
  <c r="GC21" i="358"/>
  <c r="FZ21" i="358"/>
  <c r="FW21" i="358"/>
  <c r="FT21" i="358"/>
  <c r="FQ21" i="358"/>
  <c r="FN21" i="358"/>
  <c r="FK21" i="358"/>
  <c r="FH21" i="358"/>
  <c r="FE21" i="358"/>
  <c r="FB21" i="358"/>
  <c r="EY21" i="358"/>
  <c r="EV21" i="358"/>
  <c r="ES21" i="358"/>
  <c r="EP21" i="358"/>
  <c r="EM21" i="358"/>
  <c r="EJ21" i="358"/>
  <c r="EG21" i="358"/>
  <c r="ED21" i="358"/>
  <c r="EA21" i="358"/>
  <c r="DX21" i="358"/>
  <c r="DU21" i="358"/>
  <c r="DR21" i="358"/>
  <c r="DO21" i="358"/>
  <c r="DL21" i="358"/>
  <c r="DI21" i="358"/>
  <c r="DF21" i="358"/>
  <c r="DC21" i="358"/>
  <c r="CZ21" i="358"/>
  <c r="CW21" i="358"/>
  <c r="CT21" i="358"/>
  <c r="CQ21" i="358"/>
  <c r="CN21" i="358"/>
  <c r="CI21" i="358"/>
  <c r="CF21" i="358"/>
  <c r="CC21" i="358"/>
  <c r="BX21" i="358"/>
  <c r="BU21" i="358"/>
  <c r="BR21" i="358"/>
  <c r="BO21" i="358"/>
  <c r="BL21" i="358"/>
  <c r="BI21" i="358"/>
  <c r="BF21" i="358"/>
  <c r="BC21" i="358"/>
  <c r="AZ21" i="358"/>
  <c r="AW21" i="358"/>
  <c r="AT21" i="358"/>
  <c r="AQ21" i="358"/>
  <c r="AN21" i="358"/>
  <c r="AK21" i="358"/>
  <c r="AH21" i="358"/>
  <c r="AE21" i="358"/>
  <c r="AB21" i="358"/>
  <c r="Y21" i="358"/>
  <c r="V21" i="358"/>
  <c r="S21" i="358"/>
  <c r="P21" i="358"/>
  <c r="M21" i="358"/>
  <c r="J21" i="358"/>
  <c r="G21" i="358"/>
  <c r="D21" i="358"/>
  <c r="IK20" i="358"/>
  <c r="IH20" i="358"/>
  <c r="IE20" i="358"/>
  <c r="IB20" i="358"/>
  <c r="HY20" i="358"/>
  <c r="HV20" i="358"/>
  <c r="HS20" i="358"/>
  <c r="HP20" i="358"/>
  <c r="HM20" i="358"/>
  <c r="HJ20" i="358"/>
  <c r="HG20" i="358"/>
  <c r="HD20" i="358"/>
  <c r="HA20" i="358"/>
  <c r="GX20" i="358"/>
  <c r="GU20" i="358"/>
  <c r="GR20" i="358"/>
  <c r="GO20" i="358"/>
  <c r="GL20" i="358"/>
  <c r="GI20" i="358"/>
  <c r="GF20" i="358"/>
  <c r="GC20" i="358"/>
  <c r="FZ20" i="358"/>
  <c r="FW20" i="358"/>
  <c r="FT20" i="358"/>
  <c r="FQ20" i="358"/>
  <c r="FN20" i="358"/>
  <c r="FK20" i="358"/>
  <c r="FH20" i="358"/>
  <c r="FE20" i="358"/>
  <c r="FB20" i="358"/>
  <c r="EY20" i="358"/>
  <c r="EV20" i="358"/>
  <c r="ES20" i="358"/>
  <c r="EP20" i="358"/>
  <c r="EM20" i="358"/>
  <c r="EJ20" i="358"/>
  <c r="EG20" i="358"/>
  <c r="ED20" i="358"/>
  <c r="EA20" i="358"/>
  <c r="DX20" i="358"/>
  <c r="DU20" i="358"/>
  <c r="DR20" i="358"/>
  <c r="DO20" i="358"/>
  <c r="DL20" i="358"/>
  <c r="DI20" i="358"/>
  <c r="DF20" i="358"/>
  <c r="DC20" i="358"/>
  <c r="CZ20" i="358"/>
  <c r="CW20" i="358"/>
  <c r="CT20" i="358"/>
  <c r="CQ20" i="358"/>
  <c r="CN20" i="358"/>
  <c r="CI20" i="358"/>
  <c r="CF20" i="358"/>
  <c r="CC20" i="358"/>
  <c r="BX20" i="358"/>
  <c r="BU20" i="358"/>
  <c r="BR20" i="358"/>
  <c r="BO20" i="358"/>
  <c r="BL20" i="358"/>
  <c r="BI20" i="358"/>
  <c r="BF20" i="358"/>
  <c r="BC20" i="358"/>
  <c r="AZ20" i="358"/>
  <c r="AW20" i="358"/>
  <c r="AT20" i="358"/>
  <c r="AQ20" i="358"/>
  <c r="AN20" i="358"/>
  <c r="AK20" i="358"/>
  <c r="AH20" i="358"/>
  <c r="AE20" i="358"/>
  <c r="AB20" i="358"/>
  <c r="Y20" i="358"/>
  <c r="V20" i="358"/>
  <c r="S20" i="358"/>
  <c r="P20" i="358"/>
  <c r="M20" i="358"/>
  <c r="J20" i="358"/>
  <c r="G20" i="358"/>
  <c r="D20" i="358"/>
  <c r="IK19" i="358"/>
  <c r="IH19" i="358"/>
  <c r="IE19" i="358"/>
  <c r="IB19" i="358"/>
  <c r="HY19" i="358"/>
  <c r="HV19" i="358"/>
  <c r="HS19" i="358"/>
  <c r="HP19" i="358"/>
  <c r="HM19" i="358"/>
  <c r="HJ19" i="358"/>
  <c r="HG19" i="358"/>
  <c r="HD19" i="358"/>
  <c r="HA19" i="358"/>
  <c r="GX19" i="358"/>
  <c r="GU19" i="358"/>
  <c r="GR19" i="358"/>
  <c r="GO19" i="358"/>
  <c r="GL19" i="358"/>
  <c r="GI19" i="358"/>
  <c r="GF19" i="358"/>
  <c r="GC19" i="358"/>
  <c r="FZ19" i="358"/>
  <c r="FW19" i="358"/>
  <c r="FT19" i="358"/>
  <c r="FQ19" i="358"/>
  <c r="FN19" i="358"/>
  <c r="FK19" i="358"/>
  <c r="FH19" i="358"/>
  <c r="FE19" i="358"/>
  <c r="FB19" i="358"/>
  <c r="EY19" i="358"/>
  <c r="EV19" i="358"/>
  <c r="ES19" i="358"/>
  <c r="EP19" i="358"/>
  <c r="EM19" i="358"/>
  <c r="EJ19" i="358"/>
  <c r="EG19" i="358"/>
  <c r="ED19" i="358"/>
  <c r="EA19" i="358"/>
  <c r="DX19" i="358"/>
  <c r="DU19" i="358"/>
  <c r="DR19" i="358"/>
  <c r="DO19" i="358"/>
  <c r="DL19" i="358"/>
  <c r="DI19" i="358"/>
  <c r="DF19" i="358"/>
  <c r="DC19" i="358"/>
  <c r="CZ19" i="358"/>
  <c r="CW19" i="358"/>
  <c r="CT19" i="358"/>
  <c r="CQ19" i="358"/>
  <c r="CN19" i="358"/>
  <c r="CI19" i="358"/>
  <c r="CF19" i="358"/>
  <c r="CC19" i="358"/>
  <c r="BX19" i="358"/>
  <c r="BU19" i="358"/>
  <c r="BR19" i="358"/>
  <c r="BO19" i="358"/>
  <c r="BL19" i="358"/>
  <c r="BI19" i="358"/>
  <c r="BF19" i="358"/>
  <c r="BC19" i="358"/>
  <c r="AZ19" i="358"/>
  <c r="AW19" i="358"/>
  <c r="AT19" i="358"/>
  <c r="AQ19" i="358"/>
  <c r="AN19" i="358"/>
  <c r="AK19" i="358"/>
  <c r="AH19" i="358"/>
  <c r="AE19" i="358"/>
  <c r="AB19" i="358"/>
  <c r="Y19" i="358"/>
  <c r="V19" i="358"/>
  <c r="S19" i="358"/>
  <c r="P19" i="358"/>
  <c r="M19" i="358"/>
  <c r="J19" i="358"/>
  <c r="G19" i="358"/>
  <c r="D19" i="358"/>
  <c r="IK18" i="358"/>
  <c r="IH18" i="358"/>
  <c r="IE18" i="358"/>
  <c r="IB18" i="358"/>
  <c r="HY18" i="358"/>
  <c r="HV18" i="358"/>
  <c r="HS18" i="358"/>
  <c r="HP18" i="358"/>
  <c r="HM18" i="358"/>
  <c r="HJ18" i="358"/>
  <c r="HG18" i="358"/>
  <c r="HD18" i="358"/>
  <c r="HA18" i="358"/>
  <c r="GX18" i="358"/>
  <c r="GU18" i="358"/>
  <c r="GR18" i="358"/>
  <c r="GO18" i="358"/>
  <c r="GL18" i="358"/>
  <c r="GI18" i="358"/>
  <c r="GF18" i="358"/>
  <c r="GC18" i="358"/>
  <c r="FZ18" i="358"/>
  <c r="FW18" i="358"/>
  <c r="FT18" i="358"/>
  <c r="FQ18" i="358"/>
  <c r="FN18" i="358"/>
  <c r="FK18" i="358"/>
  <c r="FH18" i="358"/>
  <c r="FE18" i="358"/>
  <c r="FB18" i="358"/>
  <c r="EY18" i="358"/>
  <c r="EV18" i="358"/>
  <c r="ES18" i="358"/>
  <c r="EP18" i="358"/>
  <c r="EM18" i="358"/>
  <c r="EJ18" i="358"/>
  <c r="EG18" i="358"/>
  <c r="ED18" i="358"/>
  <c r="EA18" i="358"/>
  <c r="DX18" i="358"/>
  <c r="DU18" i="358"/>
  <c r="DR18" i="358"/>
  <c r="DO18" i="358"/>
  <c r="DL18" i="358"/>
  <c r="DI18" i="358"/>
  <c r="DF18" i="358"/>
  <c r="DC18" i="358"/>
  <c r="CZ18" i="358"/>
  <c r="CW18" i="358"/>
  <c r="CT18" i="358"/>
  <c r="CQ18" i="358"/>
  <c r="CN18" i="358"/>
  <c r="CI18" i="358"/>
  <c r="CF18" i="358"/>
  <c r="CC18" i="358"/>
  <c r="BX18" i="358"/>
  <c r="BU18" i="358"/>
  <c r="BR18" i="358"/>
  <c r="BO18" i="358"/>
  <c r="BL18" i="358"/>
  <c r="BI18" i="358"/>
  <c r="BF18" i="358"/>
  <c r="BC18" i="358"/>
  <c r="AZ18" i="358"/>
  <c r="AW18" i="358"/>
  <c r="AT18" i="358"/>
  <c r="AQ18" i="358"/>
  <c r="AN18" i="358"/>
  <c r="AK18" i="358"/>
  <c r="AH18" i="358"/>
  <c r="AE18" i="358"/>
  <c r="AB18" i="358"/>
  <c r="Y18" i="358"/>
  <c r="V18" i="358"/>
  <c r="S18" i="358"/>
  <c r="P18" i="358"/>
  <c r="M18" i="358"/>
  <c r="J18" i="358"/>
  <c r="G18" i="358"/>
  <c r="D18" i="358"/>
  <c r="IK17" i="358"/>
  <c r="IH17" i="358"/>
  <c r="IE17" i="358"/>
  <c r="IB17" i="358"/>
  <c r="HY17" i="358"/>
  <c r="HV17" i="358"/>
  <c r="HS17" i="358"/>
  <c r="HP17" i="358"/>
  <c r="HM17" i="358"/>
  <c r="HJ17" i="358"/>
  <c r="HG17" i="358"/>
  <c r="HD17" i="358"/>
  <c r="HA17" i="358"/>
  <c r="GX17" i="358"/>
  <c r="GU17" i="358"/>
  <c r="GR17" i="358"/>
  <c r="GO17" i="358"/>
  <c r="GL17" i="358"/>
  <c r="GI17" i="358"/>
  <c r="GF17" i="358"/>
  <c r="GC17" i="358"/>
  <c r="FZ17" i="358"/>
  <c r="FW17" i="358"/>
  <c r="FT17" i="358"/>
  <c r="FQ17" i="358"/>
  <c r="FN17" i="358"/>
  <c r="FK17" i="358"/>
  <c r="FH17" i="358"/>
  <c r="FE17" i="358"/>
  <c r="FB17" i="358"/>
  <c r="EY17" i="358"/>
  <c r="EV17" i="358"/>
  <c r="ES17" i="358"/>
  <c r="EP17" i="358"/>
  <c r="EM17" i="358"/>
  <c r="EJ17" i="358"/>
  <c r="EG17" i="358"/>
  <c r="ED17" i="358"/>
  <c r="EA17" i="358"/>
  <c r="DX17" i="358"/>
  <c r="DU17" i="358"/>
  <c r="DR17" i="358"/>
  <c r="DO17" i="358"/>
  <c r="DL17" i="358"/>
  <c r="DI17" i="358"/>
  <c r="DF17" i="358"/>
  <c r="DC17" i="358"/>
  <c r="CZ17" i="358"/>
  <c r="CW17" i="358"/>
  <c r="CT17" i="358"/>
  <c r="CQ17" i="358"/>
  <c r="CN17" i="358"/>
  <c r="CI17" i="358"/>
  <c r="CF17" i="358"/>
  <c r="CC17" i="358"/>
  <c r="BX17" i="358"/>
  <c r="BU17" i="358"/>
  <c r="BR17" i="358"/>
  <c r="BO17" i="358"/>
  <c r="BL17" i="358"/>
  <c r="BI17" i="358"/>
  <c r="BF17" i="358"/>
  <c r="BC17" i="358"/>
  <c r="AZ17" i="358"/>
  <c r="AW17" i="358"/>
  <c r="AT17" i="358"/>
  <c r="AQ17" i="358"/>
  <c r="AN17" i="358"/>
  <c r="AK17" i="358"/>
  <c r="AH17" i="358"/>
  <c r="AE17" i="358"/>
  <c r="AB17" i="358"/>
  <c r="Y17" i="358"/>
  <c r="V17" i="358"/>
  <c r="S17" i="358"/>
  <c r="P17" i="358"/>
  <c r="M17" i="358"/>
  <c r="J17" i="358"/>
  <c r="G17" i="358"/>
  <c r="D17" i="358"/>
  <c r="IK16" i="358"/>
  <c r="IH16" i="358"/>
  <c r="IE16" i="358"/>
  <c r="IB16" i="358"/>
  <c r="HY16" i="358"/>
  <c r="HV16" i="358"/>
  <c r="HS16" i="358"/>
  <c r="HP16" i="358"/>
  <c r="HM16" i="358"/>
  <c r="HJ16" i="358"/>
  <c r="HG16" i="358"/>
  <c r="HD16" i="358"/>
  <c r="HA16" i="358"/>
  <c r="GX16" i="358"/>
  <c r="GU16" i="358"/>
  <c r="GR16" i="358"/>
  <c r="GO16" i="358"/>
  <c r="GL16" i="358"/>
  <c r="GI16" i="358"/>
  <c r="GF16" i="358"/>
  <c r="GC16" i="358"/>
  <c r="FZ16" i="358"/>
  <c r="FW16" i="358"/>
  <c r="FT16" i="358"/>
  <c r="FQ16" i="358"/>
  <c r="FN16" i="358"/>
  <c r="FK16" i="358"/>
  <c r="FH16" i="358"/>
  <c r="FE16" i="358"/>
  <c r="FB16" i="358"/>
  <c r="EY16" i="358"/>
  <c r="EV16" i="358"/>
  <c r="ES16" i="358"/>
  <c r="EP16" i="358"/>
  <c r="EM16" i="358"/>
  <c r="EJ16" i="358"/>
  <c r="EG16" i="358"/>
  <c r="ED16" i="358"/>
  <c r="EA16" i="358"/>
  <c r="DX16" i="358"/>
  <c r="DU16" i="358"/>
  <c r="DR16" i="358"/>
  <c r="DO16" i="358"/>
  <c r="DL16" i="358"/>
  <c r="DI16" i="358"/>
  <c r="DF16" i="358"/>
  <c r="DC16" i="358"/>
  <c r="CZ16" i="358"/>
  <c r="CW16" i="358"/>
  <c r="CT16" i="358"/>
  <c r="CQ16" i="358"/>
  <c r="CN16" i="358"/>
  <c r="CI16" i="358"/>
  <c r="CF16" i="358"/>
  <c r="CC16" i="358"/>
  <c r="BX16" i="358"/>
  <c r="BU16" i="358"/>
  <c r="BR16" i="358"/>
  <c r="BO16" i="358"/>
  <c r="BL16" i="358"/>
  <c r="BI16" i="358"/>
  <c r="BF16" i="358"/>
  <c r="BC16" i="358"/>
  <c r="AZ16" i="358"/>
  <c r="AW16" i="358"/>
  <c r="AT16" i="358"/>
  <c r="AQ16" i="358"/>
  <c r="AN16" i="358"/>
  <c r="AK16" i="358"/>
  <c r="AH16" i="358"/>
  <c r="AE16" i="358"/>
  <c r="AB16" i="358"/>
  <c r="Y16" i="358"/>
  <c r="V16" i="358"/>
  <c r="S16" i="358"/>
  <c r="P16" i="358"/>
  <c r="M16" i="358"/>
  <c r="J16" i="358"/>
  <c r="G16" i="358"/>
  <c r="D16" i="358"/>
  <c r="IK15" i="358"/>
  <c r="IH15" i="358"/>
  <c r="IE15" i="358"/>
  <c r="IB15" i="358"/>
  <c r="HY15" i="358"/>
  <c r="HV15" i="358"/>
  <c r="HS15" i="358"/>
  <c r="HP15" i="358"/>
  <c r="HM15" i="358"/>
  <c r="HJ15" i="358"/>
  <c r="HG15" i="358"/>
  <c r="HD15" i="358"/>
  <c r="HA15" i="358"/>
  <c r="GX15" i="358"/>
  <c r="GU15" i="358"/>
  <c r="GR15" i="358"/>
  <c r="GO15" i="358"/>
  <c r="GL15" i="358"/>
  <c r="GI15" i="358"/>
  <c r="GF15" i="358"/>
  <c r="GC15" i="358"/>
  <c r="FZ15" i="358"/>
  <c r="FW15" i="358"/>
  <c r="FT15" i="358"/>
  <c r="FQ15" i="358"/>
  <c r="FN15" i="358"/>
  <c r="FK15" i="358"/>
  <c r="FH15" i="358"/>
  <c r="FE15" i="358"/>
  <c r="FB15" i="358"/>
  <c r="EY15" i="358"/>
  <c r="EV15" i="358"/>
  <c r="ES15" i="358"/>
  <c r="EP15" i="358"/>
  <c r="EM15" i="358"/>
  <c r="EJ15" i="358"/>
  <c r="EG15" i="358"/>
  <c r="ED15" i="358"/>
  <c r="EA15" i="358"/>
  <c r="DX15" i="358"/>
  <c r="DU15" i="358"/>
  <c r="DR15" i="358"/>
  <c r="DO15" i="358"/>
  <c r="DL15" i="358"/>
  <c r="DI15" i="358"/>
  <c r="DF15" i="358"/>
  <c r="DC15" i="358"/>
  <c r="CZ15" i="358"/>
  <c r="CW15" i="358"/>
  <c r="CT15" i="358"/>
  <c r="CQ15" i="358"/>
  <c r="CN15" i="358"/>
  <c r="CI15" i="358"/>
  <c r="CF15" i="358"/>
  <c r="CC15" i="358"/>
  <c r="BX15" i="358"/>
  <c r="BU15" i="358"/>
  <c r="BR15" i="358"/>
  <c r="BO15" i="358"/>
  <c r="BL15" i="358"/>
  <c r="BI15" i="358"/>
  <c r="BF15" i="358"/>
  <c r="BC15" i="358"/>
  <c r="AZ15" i="358"/>
  <c r="AW15" i="358"/>
  <c r="AT15" i="358"/>
  <c r="AQ15" i="358"/>
  <c r="AN15" i="358"/>
  <c r="AK15" i="358"/>
  <c r="AH15" i="358"/>
  <c r="AE15" i="358"/>
  <c r="AB15" i="358"/>
  <c r="Y15" i="358"/>
  <c r="V15" i="358"/>
  <c r="S15" i="358"/>
  <c r="P15" i="358"/>
  <c r="M15" i="358"/>
  <c r="J15" i="358"/>
  <c r="G15" i="358"/>
  <c r="D15" i="358"/>
  <c r="IK14" i="358"/>
  <c r="IH14" i="358"/>
  <c r="IE14" i="358"/>
  <c r="IB14" i="358"/>
  <c r="HY14" i="358"/>
  <c r="HV14" i="358"/>
  <c r="HS14" i="358"/>
  <c r="HP14" i="358"/>
  <c r="HM14" i="358"/>
  <c r="HJ14" i="358"/>
  <c r="HG14" i="358"/>
  <c r="HD14" i="358"/>
  <c r="HA14" i="358"/>
  <c r="GX14" i="358"/>
  <c r="GU14" i="358"/>
  <c r="GR14" i="358"/>
  <c r="GO14" i="358"/>
  <c r="GL14" i="358"/>
  <c r="GI14" i="358"/>
  <c r="GF14" i="358"/>
  <c r="GC14" i="358"/>
  <c r="FZ14" i="358"/>
  <c r="FW14" i="358"/>
  <c r="FT14" i="358"/>
  <c r="FQ14" i="358"/>
  <c r="FN14" i="358"/>
  <c r="FK14" i="358"/>
  <c r="FH14" i="358"/>
  <c r="FE14" i="358"/>
  <c r="FB14" i="358"/>
  <c r="EY14" i="358"/>
  <c r="EV14" i="358"/>
  <c r="ES14" i="358"/>
  <c r="EP14" i="358"/>
  <c r="EM14" i="358"/>
  <c r="EJ14" i="358"/>
  <c r="EG14" i="358"/>
  <c r="ED14" i="358"/>
  <c r="EA14" i="358"/>
  <c r="DX14" i="358"/>
  <c r="DU14" i="358"/>
  <c r="DR14" i="358"/>
  <c r="DO14" i="358"/>
  <c r="DL14" i="358"/>
  <c r="DI14" i="358"/>
  <c r="DF14" i="358"/>
  <c r="DC14" i="358"/>
  <c r="CZ14" i="358"/>
  <c r="CW14" i="358"/>
  <c r="CT14" i="358"/>
  <c r="CQ14" i="358"/>
  <c r="CN14" i="358"/>
  <c r="CI14" i="358"/>
  <c r="CF14" i="358"/>
  <c r="CC14" i="358"/>
  <c r="BX14" i="358"/>
  <c r="BU14" i="358"/>
  <c r="BR14" i="358"/>
  <c r="BO14" i="358"/>
  <c r="BL14" i="358"/>
  <c r="BI14" i="358"/>
  <c r="BF14" i="358"/>
  <c r="BC14" i="358"/>
  <c r="AZ14" i="358"/>
  <c r="AW14" i="358"/>
  <c r="AT14" i="358"/>
  <c r="AQ14" i="358"/>
  <c r="AN14" i="358"/>
  <c r="AK14" i="358"/>
  <c r="AH14" i="358"/>
  <c r="AE14" i="358"/>
  <c r="AB14" i="358"/>
  <c r="Y14" i="358"/>
  <c r="V14" i="358"/>
  <c r="S14" i="358"/>
  <c r="P14" i="358"/>
  <c r="M14" i="358"/>
  <c r="J14" i="358"/>
  <c r="G14" i="358"/>
  <c r="D14" i="358"/>
  <c r="IK13" i="358"/>
  <c r="IH13" i="358"/>
  <c r="IE13" i="358"/>
  <c r="IB13" i="358"/>
  <c r="HY13" i="358"/>
  <c r="HV13" i="358"/>
  <c r="HS13" i="358"/>
  <c r="HP13" i="358"/>
  <c r="HM13" i="358"/>
  <c r="HJ13" i="358"/>
  <c r="HG13" i="358"/>
  <c r="HD13" i="358"/>
  <c r="HA13" i="358"/>
  <c r="GX13" i="358"/>
  <c r="GU13" i="358"/>
  <c r="GR13" i="358"/>
  <c r="GO13" i="358"/>
  <c r="GL13" i="358"/>
  <c r="GI13" i="358"/>
  <c r="GF13" i="358"/>
  <c r="GC13" i="358"/>
  <c r="FZ13" i="358"/>
  <c r="FW13" i="358"/>
  <c r="FT13" i="358"/>
  <c r="FQ13" i="358"/>
  <c r="FN13" i="358"/>
  <c r="FK13" i="358"/>
  <c r="FH13" i="358"/>
  <c r="FE13" i="358"/>
  <c r="FB13" i="358"/>
  <c r="EY13" i="358"/>
  <c r="EV13" i="358"/>
  <c r="ES13" i="358"/>
  <c r="EP13" i="358"/>
  <c r="EM13" i="358"/>
  <c r="EJ13" i="358"/>
  <c r="EG13" i="358"/>
  <c r="ED13" i="358"/>
  <c r="EA13" i="358"/>
  <c r="DX13" i="358"/>
  <c r="DU13" i="358"/>
  <c r="DR13" i="358"/>
  <c r="DR33" i="358" s="1"/>
  <c r="DO13" i="358"/>
  <c r="DL13" i="358"/>
  <c r="DI13" i="358"/>
  <c r="DF13" i="358"/>
  <c r="DC13" i="358"/>
  <c r="CZ13" i="358"/>
  <c r="CW13" i="358"/>
  <c r="CT13" i="358"/>
  <c r="CQ13" i="358"/>
  <c r="CN13" i="358"/>
  <c r="CI13" i="358"/>
  <c r="CF13" i="358"/>
  <c r="CC13" i="358"/>
  <c r="BX13" i="358"/>
  <c r="BU13" i="358"/>
  <c r="BR13" i="358"/>
  <c r="BO13" i="358"/>
  <c r="BL13" i="358"/>
  <c r="BI13" i="358"/>
  <c r="BF13" i="358"/>
  <c r="BC13" i="358"/>
  <c r="AZ13" i="358"/>
  <c r="AW13" i="358"/>
  <c r="AT13" i="358"/>
  <c r="AQ13" i="358"/>
  <c r="AN13" i="358"/>
  <c r="AK13" i="358"/>
  <c r="AH13" i="358"/>
  <c r="AE13" i="358"/>
  <c r="AB13" i="358"/>
  <c r="Y13" i="358"/>
  <c r="V13" i="358"/>
  <c r="S13" i="358"/>
  <c r="P13" i="358"/>
  <c r="M13" i="358"/>
  <c r="J13" i="358"/>
  <c r="G13" i="358"/>
  <c r="D13" i="358"/>
  <c r="IK12" i="358"/>
  <c r="IH12" i="358"/>
  <c r="IE12" i="358"/>
  <c r="IB12" i="358"/>
  <c r="HY12" i="358"/>
  <c r="HV12" i="358"/>
  <c r="HS12" i="358"/>
  <c r="HP12" i="358"/>
  <c r="HM12" i="358"/>
  <c r="HJ12" i="358"/>
  <c r="HG12" i="358"/>
  <c r="HD12" i="358"/>
  <c r="HA12" i="358"/>
  <c r="GX12" i="358"/>
  <c r="GU12" i="358"/>
  <c r="GR12" i="358"/>
  <c r="GO12" i="358"/>
  <c r="GL12" i="358"/>
  <c r="GI12" i="358"/>
  <c r="GF12" i="358"/>
  <c r="GC12" i="358"/>
  <c r="FZ12" i="358"/>
  <c r="FW12" i="358"/>
  <c r="FT12" i="358"/>
  <c r="FQ12" i="358"/>
  <c r="FN12" i="358"/>
  <c r="FK12" i="358"/>
  <c r="FH12" i="358"/>
  <c r="FE12" i="358"/>
  <c r="FB12" i="358"/>
  <c r="EY12" i="358"/>
  <c r="EV12" i="358"/>
  <c r="ES12" i="358"/>
  <c r="EP12" i="358"/>
  <c r="EM12" i="358"/>
  <c r="EJ12" i="358"/>
  <c r="EG12" i="358"/>
  <c r="ED12" i="358"/>
  <c r="EA12" i="358"/>
  <c r="DX12" i="358"/>
  <c r="DU12" i="358"/>
  <c r="DR12" i="358"/>
  <c r="DO12" i="358"/>
  <c r="DL12" i="358"/>
  <c r="DI12" i="358"/>
  <c r="DF12" i="358"/>
  <c r="DC12" i="358"/>
  <c r="CZ12" i="358"/>
  <c r="CW12" i="358"/>
  <c r="CW33" i="358" s="1"/>
  <c r="CT12" i="358"/>
  <c r="CQ12" i="358"/>
  <c r="CN12" i="358"/>
  <c r="CI12" i="358"/>
  <c r="CF12" i="358"/>
  <c r="CC12" i="358"/>
  <c r="BX12" i="358"/>
  <c r="BU12" i="358"/>
  <c r="BR12" i="358"/>
  <c r="BO12" i="358"/>
  <c r="BL12" i="358"/>
  <c r="BI12" i="358"/>
  <c r="BF12" i="358"/>
  <c r="BC12" i="358"/>
  <c r="AZ12" i="358"/>
  <c r="AW12" i="358"/>
  <c r="AT12" i="358"/>
  <c r="AQ12" i="358"/>
  <c r="AN12" i="358"/>
  <c r="AK12" i="358"/>
  <c r="AH12" i="358"/>
  <c r="AE12" i="358"/>
  <c r="AB12" i="358"/>
  <c r="Y12" i="358"/>
  <c r="V12" i="358"/>
  <c r="S12" i="358"/>
  <c r="P12" i="358"/>
  <c r="M12" i="358"/>
  <c r="J12" i="358"/>
  <c r="G12" i="358"/>
  <c r="D12" i="358"/>
  <c r="IK11" i="358"/>
  <c r="IH11" i="358"/>
  <c r="IE11" i="358"/>
  <c r="IB11" i="358"/>
  <c r="HY11" i="358"/>
  <c r="HV11" i="358"/>
  <c r="HS11" i="358"/>
  <c r="HP11" i="358"/>
  <c r="HM11" i="358"/>
  <c r="HJ11" i="358"/>
  <c r="HG11" i="358"/>
  <c r="HD11" i="358"/>
  <c r="HA11" i="358"/>
  <c r="GX11" i="358"/>
  <c r="GU11" i="358"/>
  <c r="GR11" i="358"/>
  <c r="GO11" i="358"/>
  <c r="GL11" i="358"/>
  <c r="GI11" i="358"/>
  <c r="GF11" i="358"/>
  <c r="GC11" i="358"/>
  <c r="FZ11" i="358"/>
  <c r="FW11" i="358"/>
  <c r="FT11" i="358"/>
  <c r="FT33" i="358" s="1"/>
  <c r="FQ11" i="358"/>
  <c r="FN11" i="358"/>
  <c r="FK11" i="358"/>
  <c r="FH11" i="358"/>
  <c r="FE11" i="358"/>
  <c r="FB11" i="358"/>
  <c r="EY11" i="358"/>
  <c r="EV11" i="358"/>
  <c r="ES11" i="358"/>
  <c r="EP11" i="358"/>
  <c r="EM11" i="358"/>
  <c r="EJ11" i="358"/>
  <c r="EG11" i="358"/>
  <c r="ED11" i="358"/>
  <c r="EA11" i="358"/>
  <c r="DX11" i="358"/>
  <c r="DU11" i="358"/>
  <c r="DR11" i="358"/>
  <c r="DO11" i="358"/>
  <c r="DL11" i="358"/>
  <c r="DI11" i="358"/>
  <c r="DF11" i="358"/>
  <c r="DC11" i="358"/>
  <c r="CZ11" i="358"/>
  <c r="CZ33" i="358" s="1"/>
  <c r="CW11" i="358"/>
  <c r="CT11" i="358"/>
  <c r="CQ11" i="358"/>
  <c r="CN11" i="358"/>
  <c r="CI11" i="358"/>
  <c r="CF11" i="358"/>
  <c r="CC11" i="358"/>
  <c r="BX11" i="358"/>
  <c r="BU11" i="358"/>
  <c r="BR11" i="358"/>
  <c r="BO11" i="358"/>
  <c r="BL11" i="358"/>
  <c r="BI11" i="358"/>
  <c r="BF11" i="358"/>
  <c r="BC11" i="358"/>
  <c r="AZ11" i="358"/>
  <c r="AW11" i="358"/>
  <c r="AT11" i="358"/>
  <c r="AQ11" i="358"/>
  <c r="AN11" i="358"/>
  <c r="AK11" i="358"/>
  <c r="AH11" i="358"/>
  <c r="AE11" i="358"/>
  <c r="AB11" i="358"/>
  <c r="Y11" i="358"/>
  <c r="V11" i="358"/>
  <c r="S11" i="358"/>
  <c r="P11" i="358"/>
  <c r="M11" i="358"/>
  <c r="J11" i="358"/>
  <c r="G11" i="358"/>
  <c r="D11" i="358"/>
  <c r="IK10" i="358"/>
  <c r="IH10" i="358"/>
  <c r="IE10" i="358"/>
  <c r="IB10" i="358"/>
  <c r="HY10" i="358"/>
  <c r="HV10" i="358"/>
  <c r="HS10" i="358"/>
  <c r="HP10" i="358"/>
  <c r="HM10" i="358"/>
  <c r="HJ10" i="358"/>
  <c r="HG10" i="358"/>
  <c r="HD10" i="358"/>
  <c r="HA10" i="358"/>
  <c r="GX10" i="358"/>
  <c r="GU10" i="358"/>
  <c r="GR10" i="358"/>
  <c r="GO10" i="358"/>
  <c r="GL10" i="358"/>
  <c r="GI10" i="358"/>
  <c r="GF10" i="358"/>
  <c r="GC10" i="358"/>
  <c r="FZ10" i="358"/>
  <c r="FW10" i="358"/>
  <c r="FT10" i="358"/>
  <c r="FQ10" i="358"/>
  <c r="FN10" i="358"/>
  <c r="FK10" i="358"/>
  <c r="FH10" i="358"/>
  <c r="FE10" i="358"/>
  <c r="FB10" i="358"/>
  <c r="EY10" i="358"/>
  <c r="EV10" i="358"/>
  <c r="ES10" i="358"/>
  <c r="EP10" i="358"/>
  <c r="EM10" i="358"/>
  <c r="EJ10" i="358"/>
  <c r="EG10" i="358"/>
  <c r="ED10" i="358"/>
  <c r="EA10" i="358"/>
  <c r="DX10" i="358"/>
  <c r="DX33" i="358" s="1"/>
  <c r="DU10" i="358"/>
  <c r="DR10" i="358"/>
  <c r="DO10" i="358"/>
  <c r="DL10" i="358"/>
  <c r="DI10" i="358"/>
  <c r="DF10" i="358"/>
  <c r="DC10" i="358"/>
  <c r="CZ10" i="358"/>
  <c r="CW10" i="358"/>
  <c r="CT10" i="358"/>
  <c r="CQ10" i="358"/>
  <c r="CN10" i="358"/>
  <c r="CI10" i="358"/>
  <c r="CF10" i="358"/>
  <c r="CC10" i="358"/>
  <c r="BX10" i="358"/>
  <c r="BU10" i="358"/>
  <c r="BR10" i="358"/>
  <c r="BO10" i="358"/>
  <c r="BL10" i="358"/>
  <c r="BI10" i="358"/>
  <c r="BF10" i="358"/>
  <c r="BC10" i="358"/>
  <c r="AZ10" i="358"/>
  <c r="AW10" i="358"/>
  <c r="AT10" i="358"/>
  <c r="AQ10" i="358"/>
  <c r="AN10" i="358"/>
  <c r="AK10" i="358"/>
  <c r="AH10" i="358"/>
  <c r="AE10" i="358"/>
  <c r="AB10" i="358"/>
  <c r="Y10" i="358"/>
  <c r="V10" i="358"/>
  <c r="S10" i="358"/>
  <c r="P10" i="358"/>
  <c r="M10" i="358"/>
  <c r="J10" i="358"/>
  <c r="G10" i="358"/>
  <c r="D10" i="358"/>
  <c r="IK9" i="358"/>
  <c r="IH9" i="358"/>
  <c r="IE9" i="358"/>
  <c r="IB9" i="358"/>
  <c r="HY9" i="358"/>
  <c r="HV9" i="358"/>
  <c r="HS9" i="358"/>
  <c r="HP9" i="358"/>
  <c r="HM9" i="358"/>
  <c r="HJ9" i="358"/>
  <c r="HG9" i="358"/>
  <c r="HD9" i="358"/>
  <c r="HA9" i="358"/>
  <c r="GX9" i="358"/>
  <c r="GU9" i="358"/>
  <c r="GR9" i="358"/>
  <c r="GO9" i="358"/>
  <c r="GL9" i="358"/>
  <c r="GI9" i="358"/>
  <c r="GF9" i="358"/>
  <c r="GC9" i="358"/>
  <c r="FZ9" i="358"/>
  <c r="FW9" i="358"/>
  <c r="FT9" i="358"/>
  <c r="FQ9" i="358"/>
  <c r="FN9" i="358"/>
  <c r="FK9" i="358"/>
  <c r="FH9" i="358"/>
  <c r="FE9" i="358"/>
  <c r="FB9" i="358"/>
  <c r="EY9" i="358"/>
  <c r="EV9" i="358"/>
  <c r="ES9" i="358"/>
  <c r="EP9" i="358"/>
  <c r="EM9" i="358"/>
  <c r="EJ9" i="358"/>
  <c r="EG9" i="358"/>
  <c r="ED9" i="358"/>
  <c r="EA9" i="358"/>
  <c r="DX9" i="358"/>
  <c r="DU9" i="358"/>
  <c r="DR9" i="358"/>
  <c r="DO9" i="358"/>
  <c r="DL9" i="358"/>
  <c r="DI9" i="358"/>
  <c r="DF9" i="358"/>
  <c r="DC9" i="358"/>
  <c r="CZ9" i="358"/>
  <c r="CW9" i="358"/>
  <c r="CT9" i="358"/>
  <c r="CQ9" i="358"/>
  <c r="CN9" i="358"/>
  <c r="CI9" i="358"/>
  <c r="CF9" i="358"/>
  <c r="CC9" i="358"/>
  <c r="BX9" i="358"/>
  <c r="BU9" i="358"/>
  <c r="BR9" i="358"/>
  <c r="BO9" i="358"/>
  <c r="BL9" i="358"/>
  <c r="BI9" i="358"/>
  <c r="BF9" i="358"/>
  <c r="BC9" i="358"/>
  <c r="BC33" i="358" s="1"/>
  <c r="AZ9" i="358"/>
  <c r="AW9" i="358"/>
  <c r="AT9" i="358"/>
  <c r="AQ9" i="358"/>
  <c r="AN9" i="358"/>
  <c r="AK9" i="358"/>
  <c r="AH9" i="358"/>
  <c r="AE9" i="358"/>
  <c r="AB9" i="358"/>
  <c r="Y9" i="358"/>
  <c r="V9" i="358"/>
  <c r="S9" i="358"/>
  <c r="P9" i="358"/>
  <c r="M9" i="358"/>
  <c r="J9" i="358"/>
  <c r="G9" i="358"/>
  <c r="D9" i="358"/>
  <c r="IK8" i="358"/>
  <c r="IH8" i="358"/>
  <c r="IE8" i="358"/>
  <c r="IB8" i="358"/>
  <c r="HY8" i="358"/>
  <c r="HV8" i="358"/>
  <c r="HS8" i="358"/>
  <c r="HP8" i="358"/>
  <c r="HM8" i="358"/>
  <c r="HJ8" i="358"/>
  <c r="HG8" i="358"/>
  <c r="HD8" i="358"/>
  <c r="HA8" i="358"/>
  <c r="GX8" i="358"/>
  <c r="GX33" i="358" s="1"/>
  <c r="GU8" i="358"/>
  <c r="GR8" i="358"/>
  <c r="GO8" i="358"/>
  <c r="GL8" i="358"/>
  <c r="GI8" i="358"/>
  <c r="GF8" i="358"/>
  <c r="GC8" i="358"/>
  <c r="FZ8" i="358"/>
  <c r="FW8" i="358"/>
  <c r="FT8" i="358"/>
  <c r="FQ8" i="358"/>
  <c r="FN8" i="358"/>
  <c r="FK8" i="358"/>
  <c r="FH8" i="358"/>
  <c r="FE8" i="358"/>
  <c r="FB8" i="358"/>
  <c r="EY8" i="358"/>
  <c r="EV8" i="358"/>
  <c r="ES8" i="358"/>
  <c r="EP8" i="358"/>
  <c r="EM8" i="358"/>
  <c r="EJ8" i="358"/>
  <c r="EG8" i="358"/>
  <c r="ED8" i="358"/>
  <c r="EA8" i="358"/>
  <c r="DX8" i="358"/>
  <c r="DU8" i="358"/>
  <c r="DR8" i="358"/>
  <c r="DO8" i="358"/>
  <c r="DL8" i="358"/>
  <c r="DI8" i="358"/>
  <c r="DF8" i="358"/>
  <c r="DC8" i="358"/>
  <c r="CZ8" i="358"/>
  <c r="CW8" i="358"/>
  <c r="CT8" i="358"/>
  <c r="CQ8" i="358"/>
  <c r="CN8" i="358"/>
  <c r="CI8" i="358"/>
  <c r="CF8" i="358"/>
  <c r="CC8" i="358"/>
  <c r="BX8" i="358"/>
  <c r="BU8" i="358"/>
  <c r="BR8" i="358"/>
  <c r="BO8" i="358"/>
  <c r="BL8" i="358"/>
  <c r="BI8" i="358"/>
  <c r="BF8" i="358"/>
  <c r="BF33" i="358" s="1"/>
  <c r="BC8" i="358"/>
  <c r="AZ8" i="358"/>
  <c r="AW8" i="358"/>
  <c r="AT8" i="358"/>
  <c r="AQ8" i="358"/>
  <c r="AN8" i="358"/>
  <c r="AK8" i="358"/>
  <c r="AH8" i="358"/>
  <c r="AE8" i="358"/>
  <c r="AB8" i="358"/>
  <c r="Y8" i="358"/>
  <c r="V8" i="358"/>
  <c r="S8" i="358"/>
  <c r="P8" i="358"/>
  <c r="M8" i="358"/>
  <c r="J8" i="358"/>
  <c r="J33" i="358" s="1"/>
  <c r="G8" i="358"/>
  <c r="D8" i="358"/>
  <c r="IK7" i="358"/>
  <c r="IH7" i="358"/>
  <c r="IE7" i="358"/>
  <c r="IB7" i="358"/>
  <c r="HY7" i="358"/>
  <c r="HV7" i="358"/>
  <c r="HS7" i="358"/>
  <c r="HP7" i="358"/>
  <c r="HM7" i="358"/>
  <c r="HJ7" i="358"/>
  <c r="HG7" i="358"/>
  <c r="HD7" i="358"/>
  <c r="HA7" i="358"/>
  <c r="GX7" i="358"/>
  <c r="GU7" i="358"/>
  <c r="GR7" i="358"/>
  <c r="GO7" i="358"/>
  <c r="GL7" i="358"/>
  <c r="GI7" i="358"/>
  <c r="GF7" i="358"/>
  <c r="GC7" i="358"/>
  <c r="GC33" i="358" s="1"/>
  <c r="FZ7" i="358"/>
  <c r="FW7" i="358"/>
  <c r="FT7" i="358"/>
  <c r="FQ7" i="358"/>
  <c r="FN7" i="358"/>
  <c r="FK7" i="358"/>
  <c r="FH7" i="358"/>
  <c r="FE7" i="358"/>
  <c r="FE33" i="358" s="1"/>
  <c r="FB7" i="358"/>
  <c r="EY7" i="358"/>
  <c r="EV7" i="358"/>
  <c r="ES7" i="358"/>
  <c r="EP7" i="358"/>
  <c r="EM7" i="358"/>
  <c r="EJ7" i="358"/>
  <c r="EG7" i="358"/>
  <c r="EG33" i="358" s="1"/>
  <c r="ED7" i="358"/>
  <c r="EA7" i="358"/>
  <c r="DX7" i="358"/>
  <c r="DU7" i="358"/>
  <c r="DR7" i="358"/>
  <c r="DO7" i="358"/>
  <c r="DL7" i="358"/>
  <c r="DI7" i="358"/>
  <c r="DF7" i="358"/>
  <c r="DC7" i="358"/>
  <c r="CZ7" i="358"/>
  <c r="CW7" i="358"/>
  <c r="CT7" i="358"/>
  <c r="CQ7" i="358"/>
  <c r="CN7" i="358"/>
  <c r="CI7" i="358"/>
  <c r="CI33" i="358" s="1"/>
  <c r="CF7" i="358"/>
  <c r="CC7" i="358"/>
  <c r="BX7" i="358"/>
  <c r="BU7" i="358"/>
  <c r="BR7" i="358"/>
  <c r="BO7" i="358"/>
  <c r="BL7" i="358"/>
  <c r="BI7" i="358"/>
  <c r="BF7" i="358"/>
  <c r="BC7" i="358"/>
  <c r="AZ7" i="358"/>
  <c r="AW7" i="358"/>
  <c r="AT7" i="358"/>
  <c r="AQ7" i="358"/>
  <c r="AN7" i="358"/>
  <c r="AK7" i="358"/>
  <c r="AK33" i="358" s="1"/>
  <c r="AH7" i="358"/>
  <c r="AE7" i="358"/>
  <c r="AB7" i="358"/>
  <c r="Y7" i="358"/>
  <c r="V7" i="358"/>
  <c r="S7" i="358"/>
  <c r="P7" i="358"/>
  <c r="M7" i="358"/>
  <c r="J7" i="358"/>
  <c r="G7" i="358"/>
  <c r="D7" i="358"/>
  <c r="IK6" i="358"/>
  <c r="IH6" i="358"/>
  <c r="IE6" i="358"/>
  <c r="IB6" i="358"/>
  <c r="HY6" i="358"/>
  <c r="HV6" i="358"/>
  <c r="HS6" i="358"/>
  <c r="HP6" i="358"/>
  <c r="HM6" i="358"/>
  <c r="HJ6" i="358"/>
  <c r="HG6" i="358"/>
  <c r="HD6" i="358"/>
  <c r="HA6" i="358"/>
  <c r="GX6" i="358"/>
  <c r="GU6" i="358"/>
  <c r="GR6" i="358"/>
  <c r="GO6" i="358"/>
  <c r="GL6" i="358"/>
  <c r="GI6" i="358"/>
  <c r="GF6" i="358"/>
  <c r="GC6" i="358"/>
  <c r="FZ6" i="358"/>
  <c r="FW6" i="358"/>
  <c r="FT6" i="358"/>
  <c r="FQ6" i="358"/>
  <c r="FN6" i="358"/>
  <c r="FK6" i="358"/>
  <c r="FH6" i="358"/>
  <c r="FE6" i="358"/>
  <c r="FB6" i="358"/>
  <c r="EY6" i="358"/>
  <c r="EV6" i="358"/>
  <c r="ES6" i="358"/>
  <c r="EP6" i="358"/>
  <c r="EM6" i="358"/>
  <c r="EJ6" i="358"/>
  <c r="EG6" i="358"/>
  <c r="ED6" i="358"/>
  <c r="EA6" i="358"/>
  <c r="DX6" i="358"/>
  <c r="DU6" i="358"/>
  <c r="DR6" i="358"/>
  <c r="DO6" i="358"/>
  <c r="DL6" i="358"/>
  <c r="DI6" i="358"/>
  <c r="DF6" i="358"/>
  <c r="DC6" i="358"/>
  <c r="CZ6" i="358"/>
  <c r="CW6" i="358"/>
  <c r="CT6" i="358"/>
  <c r="CQ6" i="358"/>
  <c r="CN6" i="358"/>
  <c r="CI6" i="358"/>
  <c r="CF6" i="358"/>
  <c r="CC6" i="358"/>
  <c r="BX6" i="358"/>
  <c r="BU6" i="358"/>
  <c r="BR6" i="358"/>
  <c r="BO6" i="358"/>
  <c r="BL6" i="358"/>
  <c r="BI6" i="358"/>
  <c r="BF6" i="358"/>
  <c r="BC6" i="358"/>
  <c r="AZ6" i="358"/>
  <c r="AW6" i="358"/>
  <c r="AT6" i="358"/>
  <c r="AQ6" i="358"/>
  <c r="AN6" i="358"/>
  <c r="AK6" i="358"/>
  <c r="AH6" i="358"/>
  <c r="AE6" i="358"/>
  <c r="AB6" i="358"/>
  <c r="Y6" i="358"/>
  <c r="V6" i="358"/>
  <c r="S6" i="358"/>
  <c r="P6" i="358"/>
  <c r="M6" i="358"/>
  <c r="J6" i="358"/>
  <c r="G6" i="358"/>
  <c r="D6" i="358"/>
  <c r="IK5" i="358"/>
  <c r="IH5" i="358"/>
  <c r="IE5" i="358"/>
  <c r="IE33" i="358" s="1"/>
  <c r="IB5" i="358"/>
  <c r="IB33" i="358" s="1"/>
  <c r="HY5" i="358"/>
  <c r="HV5" i="358"/>
  <c r="HS5" i="358"/>
  <c r="HP5" i="358"/>
  <c r="HM5" i="358"/>
  <c r="HJ5" i="358"/>
  <c r="HG5" i="358"/>
  <c r="HG33" i="358" s="1"/>
  <c r="HD5" i="358"/>
  <c r="HA5" i="358"/>
  <c r="GX5" i="358"/>
  <c r="GU5" i="358"/>
  <c r="GR5" i="358"/>
  <c r="GO5" i="358"/>
  <c r="GL5" i="358"/>
  <c r="GL33" i="358" s="1"/>
  <c r="GI5" i="358"/>
  <c r="GI33" i="358" s="1"/>
  <c r="GF5" i="358"/>
  <c r="GF33" i="358" s="1"/>
  <c r="GC5" i="358"/>
  <c r="FZ5" i="358"/>
  <c r="FW5" i="358"/>
  <c r="FT5" i="358"/>
  <c r="FQ5" i="358"/>
  <c r="FN5" i="358"/>
  <c r="FK5" i="358"/>
  <c r="FK33" i="358" s="1"/>
  <c r="FH5" i="358"/>
  <c r="FH33" i="358" s="1"/>
  <c r="FE5" i="358"/>
  <c r="FB5" i="358"/>
  <c r="EY5" i="358"/>
  <c r="EV5" i="358"/>
  <c r="ES5" i="358"/>
  <c r="EP5" i="358"/>
  <c r="EM5" i="358"/>
  <c r="EM33" i="358" s="1"/>
  <c r="EJ5" i="358"/>
  <c r="EJ33" i="358" s="1"/>
  <c r="EG5" i="358"/>
  <c r="ED5" i="358"/>
  <c r="EA5" i="358"/>
  <c r="DX5" i="358"/>
  <c r="DU5" i="358"/>
  <c r="DR5" i="358"/>
  <c r="DO5" i="358"/>
  <c r="DO33" i="358" s="1"/>
  <c r="DL5" i="358"/>
  <c r="DL33" i="358" s="1"/>
  <c r="DI5" i="358"/>
  <c r="DF5" i="358"/>
  <c r="DC5" i="358"/>
  <c r="CZ5" i="358"/>
  <c r="CW5" i="358"/>
  <c r="CT5" i="358"/>
  <c r="CQ5" i="358"/>
  <c r="CQ33" i="358" s="1"/>
  <c r="CN5" i="358"/>
  <c r="CN33" i="358" s="1"/>
  <c r="CI5" i="358"/>
  <c r="CF5" i="358"/>
  <c r="CC5" i="358"/>
  <c r="BX5" i="358"/>
  <c r="BU5" i="358"/>
  <c r="BR5" i="358"/>
  <c r="BO5" i="358"/>
  <c r="BO33" i="358" s="1"/>
  <c r="BL5" i="358"/>
  <c r="BL33" i="358" s="1"/>
  <c r="BI5" i="358"/>
  <c r="BF5" i="358"/>
  <c r="BC5" i="358"/>
  <c r="AZ5" i="358"/>
  <c r="AW5" i="358"/>
  <c r="AT5" i="358"/>
  <c r="AQ5" i="358"/>
  <c r="AQ33" i="358" s="1"/>
  <c r="AN5" i="358"/>
  <c r="AN33" i="358" s="1"/>
  <c r="AK5" i="358"/>
  <c r="AH5" i="358"/>
  <c r="AE5" i="358"/>
  <c r="AB5" i="358"/>
  <c r="Y5" i="358"/>
  <c r="V5" i="358"/>
  <c r="S5" i="358"/>
  <c r="S33" i="358" s="1"/>
  <c r="P5" i="358"/>
  <c r="P33" i="358" s="1"/>
  <c r="M5" i="358"/>
  <c r="J5" i="358"/>
  <c r="G5" i="358"/>
  <c r="D5" i="358"/>
  <c r="E57" i="121"/>
  <c r="H33" i="121"/>
  <c r="G33" i="121"/>
  <c r="F33" i="121"/>
  <c r="E33" i="121"/>
  <c r="D33" i="121"/>
  <c r="I32" i="121"/>
  <c r="B32" i="121" s="1"/>
  <c r="I31" i="121"/>
  <c r="B31" i="121" s="1"/>
  <c r="I30" i="121"/>
  <c r="B30" i="121" s="1"/>
  <c r="I29" i="121"/>
  <c r="B29" i="121" s="1"/>
  <c r="I28" i="121"/>
  <c r="I27" i="121"/>
  <c r="B27" i="121" s="1"/>
  <c r="I26" i="121"/>
  <c r="B26" i="121"/>
  <c r="I25" i="121"/>
  <c r="B25" i="121"/>
  <c r="B24" i="121"/>
  <c r="I23" i="121"/>
  <c r="B23" i="121" s="1"/>
  <c r="I22" i="121"/>
  <c r="B22" i="121" s="1"/>
  <c r="I21" i="121"/>
  <c r="B21" i="121" s="1"/>
  <c r="I20" i="121"/>
  <c r="B20" i="121" s="1"/>
  <c r="I19" i="121"/>
  <c r="B19" i="121" s="1"/>
  <c r="I18" i="121"/>
  <c r="B18" i="121" s="1"/>
  <c r="I17" i="121"/>
  <c r="B17" i="121" s="1"/>
  <c r="I16" i="121"/>
  <c r="B16" i="121" s="1"/>
  <c r="I15" i="121"/>
  <c r="B15" i="121" s="1"/>
  <c r="B14" i="121"/>
  <c r="I13" i="121"/>
  <c r="B13" i="121" s="1"/>
  <c r="I12" i="121"/>
  <c r="B12" i="121" s="1"/>
  <c r="I11" i="121"/>
  <c r="B11" i="121" s="1"/>
  <c r="I10" i="121"/>
  <c r="B10" i="121" s="1"/>
  <c r="I9" i="121"/>
  <c r="B9" i="121" s="1"/>
  <c r="I8" i="121"/>
  <c r="B8" i="121" s="1"/>
  <c r="I7" i="121"/>
  <c r="B7" i="121" s="1"/>
  <c r="I6" i="121"/>
  <c r="B6" i="121" s="1"/>
  <c r="I5" i="121"/>
  <c r="B5" i="121" s="1"/>
  <c r="I4" i="121"/>
  <c r="G30" i="54"/>
  <c r="B29" i="54"/>
  <c r="G29" i="54" s="1"/>
  <c r="G28" i="54"/>
  <c r="B28" i="54"/>
  <c r="B27" i="54"/>
  <c r="G27" i="54" s="1"/>
  <c r="B26" i="54"/>
  <c r="G26" i="54" s="1"/>
  <c r="B25" i="54"/>
  <c r="B38" i="54" s="1"/>
  <c r="G24" i="54"/>
  <c r="B24" i="54"/>
  <c r="B23" i="54"/>
  <c r="G23" i="54" s="1"/>
  <c r="B22" i="54"/>
  <c r="G22" i="54" s="1"/>
  <c r="B21" i="54"/>
  <c r="G21" i="54" s="1"/>
  <c r="G20" i="54"/>
  <c r="B20" i="54"/>
  <c r="B19" i="54"/>
  <c r="G19" i="54" s="1"/>
  <c r="B18" i="54"/>
  <c r="G18" i="54" s="1"/>
  <c r="G17" i="54"/>
  <c r="G16" i="54"/>
  <c r="B16" i="54"/>
  <c r="G15" i="54"/>
  <c r="G14" i="54"/>
  <c r="G13" i="54"/>
  <c r="G12" i="54"/>
  <c r="G11" i="54"/>
  <c r="G10" i="54"/>
  <c r="G9" i="54"/>
  <c r="G8" i="54"/>
  <c r="G7" i="54"/>
  <c r="G6" i="54"/>
  <c r="G5" i="54"/>
  <c r="G4" i="54"/>
  <c r="G11" i="52"/>
  <c r="F11" i="52"/>
  <c r="E11" i="52"/>
  <c r="D11" i="52"/>
  <c r="C11" i="52"/>
  <c r="B11" i="52"/>
  <c r="J9" i="52"/>
  <c r="J8" i="52"/>
  <c r="J7" i="52"/>
  <c r="J6" i="52"/>
  <c r="H5" i="52"/>
  <c r="J5" i="52" s="1"/>
  <c r="D15" i="362"/>
  <c r="D14" i="362"/>
  <c r="D13" i="362"/>
  <c r="D12" i="362"/>
  <c r="D11" i="362"/>
  <c r="D10" i="362"/>
  <c r="D9" i="362"/>
  <c r="D8" i="362"/>
  <c r="D7" i="362"/>
  <c r="D6" i="362"/>
  <c r="D5" i="362"/>
  <c r="D4" i="362"/>
  <c r="Q33" i="353"/>
  <c r="M33" i="353"/>
  <c r="L33" i="353"/>
  <c r="K33" i="353"/>
  <c r="J33" i="353"/>
  <c r="I33" i="353"/>
  <c r="H33" i="353"/>
  <c r="G33" i="353"/>
  <c r="F33" i="353"/>
  <c r="E33" i="353"/>
  <c r="D33" i="353"/>
  <c r="Q5" i="353"/>
  <c r="P5" i="353"/>
  <c r="P33" i="353" s="1"/>
  <c r="O5" i="353"/>
  <c r="O33" i="353" s="1"/>
  <c r="N5" i="353"/>
  <c r="N33" i="353" s="1"/>
  <c r="N11" i="157"/>
  <c r="M11" i="157"/>
  <c r="J11" i="157"/>
  <c r="G11" i="157"/>
  <c r="E11" i="157"/>
  <c r="C11" i="157"/>
  <c r="K10" i="157"/>
  <c r="I10" i="157"/>
  <c r="H10" i="157"/>
  <c r="F10" i="157"/>
  <c r="I9" i="157"/>
  <c r="H9" i="157"/>
  <c r="F9" i="157"/>
  <c r="I8" i="157"/>
  <c r="H8" i="157"/>
  <c r="D8" i="157"/>
  <c r="F8" i="157" s="1"/>
  <c r="I7" i="157"/>
  <c r="H7" i="157"/>
  <c r="F7" i="157"/>
  <c r="K6" i="157"/>
  <c r="L6" i="157" s="1"/>
  <c r="I6" i="157"/>
  <c r="H6" i="157"/>
  <c r="F6" i="157"/>
  <c r="I5" i="157"/>
  <c r="H5" i="157"/>
  <c r="F5" i="157"/>
  <c r="I4" i="157"/>
  <c r="H4" i="157"/>
  <c r="F4" i="157"/>
  <c r="D14" i="262"/>
  <c r="C14" i="262"/>
  <c r="B14" i="262"/>
  <c r="D12" i="262"/>
  <c r="D11" i="262"/>
  <c r="D10" i="262"/>
  <c r="D9" i="262"/>
  <c r="D8" i="262"/>
  <c r="D7" i="262"/>
  <c r="D6" i="262"/>
  <c r="D5" i="262"/>
  <c r="D4" i="262"/>
  <c r="C19" i="263"/>
  <c r="B19" i="263"/>
  <c r="D18" i="263"/>
  <c r="D17" i="263"/>
  <c r="D16" i="263"/>
  <c r="D15" i="263"/>
  <c r="D14" i="263"/>
  <c r="D13" i="263"/>
  <c r="D12" i="263"/>
  <c r="D11" i="263"/>
  <c r="D10" i="263"/>
  <c r="D9" i="263"/>
  <c r="D8" i="263"/>
  <c r="D7" i="263"/>
  <c r="D6" i="263"/>
  <c r="D5" i="263"/>
  <c r="D4" i="263"/>
  <c r="I37" i="264"/>
  <c r="H37" i="264"/>
  <c r="G37" i="264"/>
  <c r="F37" i="264"/>
  <c r="E37" i="264"/>
  <c r="D37" i="264"/>
  <c r="C37" i="264"/>
  <c r="B37" i="264"/>
  <c r="J36" i="264"/>
  <c r="J35" i="264"/>
  <c r="J34" i="264"/>
  <c r="J33" i="264"/>
  <c r="J32" i="264"/>
  <c r="J31" i="264"/>
  <c r="J30" i="264"/>
  <c r="J29" i="264"/>
  <c r="J28" i="264"/>
  <c r="J27" i="264"/>
  <c r="J26" i="264"/>
  <c r="J25" i="264"/>
  <c r="J24" i="264"/>
  <c r="J23" i="264"/>
  <c r="J22" i="264"/>
  <c r="J21" i="264"/>
  <c r="J20" i="264"/>
  <c r="J19" i="264"/>
  <c r="J18" i="264"/>
  <c r="J17" i="264"/>
  <c r="J16" i="264"/>
  <c r="J15" i="264"/>
  <c r="J14" i="264"/>
  <c r="J13" i="264"/>
  <c r="J12" i="264"/>
  <c r="J11" i="264"/>
  <c r="J10" i="264"/>
  <c r="J9" i="264"/>
  <c r="J8" i="264"/>
  <c r="J7" i="264"/>
  <c r="J6" i="264"/>
  <c r="J5" i="264"/>
  <c r="J4" i="264"/>
  <c r="J38" i="265"/>
  <c r="I37" i="265"/>
  <c r="H37" i="265"/>
  <c r="G37" i="265"/>
  <c r="F37" i="265"/>
  <c r="F38" i="265" s="1"/>
  <c r="E37" i="265"/>
  <c r="D37" i="265"/>
  <c r="C37" i="265"/>
  <c r="B37" i="265"/>
  <c r="J37" i="265" s="1"/>
  <c r="J36" i="265"/>
  <c r="K36" i="265" s="1"/>
  <c r="J35" i="265"/>
  <c r="J34" i="265"/>
  <c r="K34" i="265" s="1"/>
  <c r="J33" i="265"/>
  <c r="J32" i="265"/>
  <c r="K32" i="265" s="1"/>
  <c r="J31" i="265"/>
  <c r="J30" i="265"/>
  <c r="J29" i="265"/>
  <c r="K29" i="265" s="1"/>
  <c r="K28" i="265"/>
  <c r="J28" i="265"/>
  <c r="J27" i="265"/>
  <c r="K27" i="265" s="1"/>
  <c r="J26" i="265"/>
  <c r="J25" i="265"/>
  <c r="K24" i="265"/>
  <c r="J24" i="265"/>
  <c r="K23" i="265"/>
  <c r="J23" i="265"/>
  <c r="J22" i="265"/>
  <c r="J21" i="265"/>
  <c r="J20" i="265"/>
  <c r="J19" i="265"/>
  <c r="K19" i="265" s="1"/>
  <c r="K18" i="265"/>
  <c r="J18" i="265"/>
  <c r="J17" i="265"/>
  <c r="J16" i="265"/>
  <c r="J15" i="265"/>
  <c r="K15" i="265" s="1"/>
  <c r="J14" i="265"/>
  <c r="K14" i="265" s="1"/>
  <c r="J13" i="265"/>
  <c r="K13" i="265" s="1"/>
  <c r="J12" i="265"/>
  <c r="J11" i="265"/>
  <c r="J10" i="265"/>
  <c r="J9" i="265"/>
  <c r="K8" i="265"/>
  <c r="J8" i="265"/>
  <c r="J7" i="265"/>
  <c r="J6" i="265"/>
  <c r="J5" i="265"/>
  <c r="J4" i="265"/>
  <c r="K4" i="265" s="1"/>
  <c r="I37" i="255"/>
  <c r="H37" i="255"/>
  <c r="G37" i="255"/>
  <c r="F37" i="255"/>
  <c r="E37" i="255"/>
  <c r="D37" i="255"/>
  <c r="C37" i="255"/>
  <c r="B37" i="255"/>
  <c r="J36" i="255"/>
  <c r="J35" i="255"/>
  <c r="J34" i="255"/>
  <c r="J33" i="255"/>
  <c r="J32" i="255"/>
  <c r="J31" i="255"/>
  <c r="J30" i="255"/>
  <c r="J29" i="255"/>
  <c r="J28" i="255"/>
  <c r="J27" i="255"/>
  <c r="J26" i="255"/>
  <c r="J25" i="255"/>
  <c r="J24" i="255"/>
  <c r="J23" i="255"/>
  <c r="J22" i="255"/>
  <c r="J21" i="255"/>
  <c r="J20" i="255"/>
  <c r="J19" i="255"/>
  <c r="J18" i="255"/>
  <c r="J17" i="255"/>
  <c r="J16" i="255"/>
  <c r="J15" i="255"/>
  <c r="J14" i="255"/>
  <c r="J13" i="255"/>
  <c r="J12" i="255"/>
  <c r="J11" i="255"/>
  <c r="J10" i="255"/>
  <c r="J9" i="255"/>
  <c r="J8" i="255"/>
  <c r="J7" i="255"/>
  <c r="J6" i="255"/>
  <c r="J5" i="255"/>
  <c r="J4" i="255"/>
  <c r="I37" i="256"/>
  <c r="H37" i="256"/>
  <c r="G37" i="256"/>
  <c r="F37" i="256"/>
  <c r="E37" i="256"/>
  <c r="D37" i="256"/>
  <c r="C37" i="256"/>
  <c r="B37" i="256"/>
  <c r="J36" i="256"/>
  <c r="J35" i="256"/>
  <c r="J34" i="256"/>
  <c r="J33" i="256"/>
  <c r="J32" i="256"/>
  <c r="J31" i="256"/>
  <c r="J30" i="256"/>
  <c r="J29" i="256"/>
  <c r="J28" i="256"/>
  <c r="J27" i="256"/>
  <c r="J26" i="256"/>
  <c r="J25" i="256"/>
  <c r="J24" i="256"/>
  <c r="J23" i="256"/>
  <c r="J22" i="256"/>
  <c r="J21" i="256"/>
  <c r="J20" i="256"/>
  <c r="J19" i="256"/>
  <c r="J18" i="256"/>
  <c r="J17" i="256"/>
  <c r="J16" i="256"/>
  <c r="J15" i="256"/>
  <c r="J14" i="256"/>
  <c r="J13" i="256"/>
  <c r="J12" i="256"/>
  <c r="J11" i="256"/>
  <c r="J10" i="256"/>
  <c r="J9" i="256"/>
  <c r="J8" i="256"/>
  <c r="J7" i="256"/>
  <c r="J6" i="256"/>
  <c r="J5" i="256"/>
  <c r="J4" i="256"/>
  <c r="B38" i="257"/>
  <c r="F37" i="257"/>
  <c r="E37" i="257"/>
  <c r="D37" i="257"/>
  <c r="C37" i="257"/>
  <c r="B37" i="257"/>
  <c r="F36" i="257"/>
  <c r="G36" i="257" s="1"/>
  <c r="F35" i="257"/>
  <c r="G35" i="257" s="1"/>
  <c r="F34" i="257"/>
  <c r="F33" i="257"/>
  <c r="F32" i="257"/>
  <c r="G32" i="257" s="1"/>
  <c r="F31" i="257"/>
  <c r="G31" i="257" s="1"/>
  <c r="G30" i="257"/>
  <c r="F30" i="257"/>
  <c r="F29" i="257"/>
  <c r="F28" i="257"/>
  <c r="F27" i="257"/>
  <c r="G26" i="257"/>
  <c r="F26" i="257"/>
  <c r="F25" i="257"/>
  <c r="F24" i="257"/>
  <c r="G24" i="257" s="1"/>
  <c r="F23" i="257"/>
  <c r="G23" i="257" s="1"/>
  <c r="G22" i="257"/>
  <c r="F22" i="257"/>
  <c r="F21" i="257"/>
  <c r="F20" i="257"/>
  <c r="F19" i="257"/>
  <c r="F18" i="257"/>
  <c r="F17" i="257"/>
  <c r="G16" i="257"/>
  <c r="F16" i="257"/>
  <c r="F15" i="257"/>
  <c r="G15" i="257" s="1"/>
  <c r="F14" i="257"/>
  <c r="F13" i="257"/>
  <c r="F12" i="257"/>
  <c r="G12" i="257" s="1"/>
  <c r="F11" i="257"/>
  <c r="F10" i="257"/>
  <c r="F9" i="257"/>
  <c r="G8" i="257"/>
  <c r="F8" i="257"/>
  <c r="G7" i="257"/>
  <c r="F7" i="257"/>
  <c r="F6" i="257"/>
  <c r="F5" i="257"/>
  <c r="F4" i="257"/>
  <c r="G4" i="257" s="1"/>
  <c r="J38" i="258"/>
  <c r="I38" i="258"/>
  <c r="J37" i="258"/>
  <c r="J36" i="258"/>
  <c r="K36" i="258" s="1"/>
  <c r="J35" i="258"/>
  <c r="J34" i="258"/>
  <c r="J33" i="258"/>
  <c r="J32" i="258"/>
  <c r="J31" i="258"/>
  <c r="K31" i="258" s="1"/>
  <c r="K30" i="258"/>
  <c r="J30" i="258"/>
  <c r="J29" i="258"/>
  <c r="J28" i="258"/>
  <c r="J27" i="258"/>
  <c r="J26" i="258"/>
  <c r="K26" i="258" s="1"/>
  <c r="J25" i="258"/>
  <c r="K25" i="258" s="1"/>
  <c r="J24" i="258"/>
  <c r="J23" i="258"/>
  <c r="J22" i="258"/>
  <c r="J21" i="258"/>
  <c r="J20" i="258"/>
  <c r="K20" i="258" s="1"/>
  <c r="J19" i="258"/>
  <c r="K19" i="258" s="1"/>
  <c r="J18" i="258"/>
  <c r="J17" i="258"/>
  <c r="J16" i="258"/>
  <c r="J15" i="258"/>
  <c r="K15" i="258" s="1"/>
  <c r="K14" i="258"/>
  <c r="J14" i="258"/>
  <c r="J13" i="258"/>
  <c r="J12" i="258"/>
  <c r="J11" i="258"/>
  <c r="J10" i="258"/>
  <c r="K10" i="258" s="1"/>
  <c r="K9" i="258"/>
  <c r="J9" i="258"/>
  <c r="J8" i="258"/>
  <c r="J7" i="258"/>
  <c r="J6" i="258"/>
  <c r="J5" i="258"/>
  <c r="K5" i="258" s="1"/>
  <c r="J4" i="258"/>
  <c r="K4" i="258" s="1"/>
  <c r="I14" i="259"/>
  <c r="H14" i="259"/>
  <c r="G14" i="259"/>
  <c r="F14" i="259"/>
  <c r="E14" i="259"/>
  <c r="D14" i="259"/>
  <c r="C14" i="259"/>
  <c r="B14" i="259"/>
  <c r="J13" i="259"/>
  <c r="J12" i="259"/>
  <c r="J11" i="259"/>
  <c r="J10" i="259"/>
  <c r="J9" i="259"/>
  <c r="J8" i="259"/>
  <c r="J7" i="259"/>
  <c r="J6" i="259"/>
  <c r="J5" i="259"/>
  <c r="J4" i="259"/>
  <c r="E14" i="260"/>
  <c r="D14" i="260"/>
  <c r="C14" i="260"/>
  <c r="B14" i="260"/>
  <c r="F13" i="260"/>
  <c r="F12" i="260"/>
  <c r="F11" i="260"/>
  <c r="F10" i="260"/>
  <c r="F9" i="260"/>
  <c r="F8" i="260"/>
  <c r="F7" i="260"/>
  <c r="F6" i="260"/>
  <c r="F5" i="260"/>
  <c r="F4" i="260"/>
  <c r="I30" i="261"/>
  <c r="H30" i="261"/>
  <c r="G30" i="261"/>
  <c r="F30" i="261"/>
  <c r="E30" i="261"/>
  <c r="D30" i="261"/>
  <c r="C30" i="261"/>
  <c r="B30" i="261"/>
  <c r="J29" i="261"/>
  <c r="J28" i="261"/>
  <c r="J27" i="261"/>
  <c r="J26" i="261"/>
  <c r="J25" i="261"/>
  <c r="J24" i="261"/>
  <c r="J23" i="261"/>
  <c r="J22" i="261"/>
  <c r="J21" i="261"/>
  <c r="J20" i="261"/>
  <c r="J19" i="261"/>
  <c r="J18" i="261"/>
  <c r="J17" i="261"/>
  <c r="J16" i="261"/>
  <c r="J15" i="261"/>
  <c r="J14" i="261"/>
  <c r="J13" i="261"/>
  <c r="J12" i="261"/>
  <c r="J11" i="261"/>
  <c r="J10" i="261"/>
  <c r="J9" i="261"/>
  <c r="J8" i="261"/>
  <c r="J7" i="261"/>
  <c r="J6" i="261"/>
  <c r="J5" i="261"/>
  <c r="N30" i="209"/>
  <c r="M30" i="209"/>
  <c r="H30" i="209"/>
  <c r="K30" i="209" s="1"/>
  <c r="F30" i="209"/>
  <c r="E30" i="209"/>
  <c r="N29" i="209"/>
  <c r="M29" i="209"/>
  <c r="K29" i="209"/>
  <c r="H29" i="209"/>
  <c r="F29" i="209"/>
  <c r="E29" i="209"/>
  <c r="L29" i="209" s="1"/>
  <c r="D29" i="209"/>
  <c r="B29" i="209" s="1"/>
  <c r="N28" i="209"/>
  <c r="M28" i="209"/>
  <c r="K28" i="209"/>
  <c r="H28" i="209"/>
  <c r="F28" i="209"/>
  <c r="E28" i="209"/>
  <c r="L28" i="209" s="1"/>
  <c r="D28" i="209"/>
  <c r="B28" i="209"/>
  <c r="N27" i="209"/>
  <c r="M27" i="209"/>
  <c r="K27" i="209"/>
  <c r="H27" i="209"/>
  <c r="F27" i="209"/>
  <c r="D27" i="209"/>
  <c r="N26" i="209"/>
  <c r="M26" i="209"/>
  <c r="K26" i="209"/>
  <c r="H26" i="209"/>
  <c r="F26" i="209"/>
  <c r="E26" i="209"/>
  <c r="L26" i="209" s="1"/>
  <c r="D26" i="209"/>
  <c r="B26" i="209"/>
  <c r="N25" i="209"/>
  <c r="M25" i="209"/>
  <c r="L25" i="209"/>
  <c r="K25" i="209"/>
  <c r="H25" i="209"/>
  <c r="F25" i="209"/>
  <c r="D25" i="209"/>
  <c r="E25" i="209" s="1"/>
  <c r="B25" i="209"/>
  <c r="N24" i="209"/>
  <c r="M24" i="209"/>
  <c r="H24" i="209"/>
  <c r="K24" i="209" s="1"/>
  <c r="F24" i="209"/>
  <c r="E24" i="209"/>
  <c r="D24" i="209"/>
  <c r="B24" i="209"/>
  <c r="N23" i="209"/>
  <c r="M23" i="209"/>
  <c r="H23" i="209"/>
  <c r="K23" i="209" s="1"/>
  <c r="E23" i="209"/>
  <c r="B23" i="209"/>
  <c r="N22" i="209"/>
  <c r="M22" i="209"/>
  <c r="H22" i="209"/>
  <c r="F22" i="209" s="1"/>
  <c r="E22" i="209"/>
  <c r="D22" i="209"/>
  <c r="B22" i="209"/>
  <c r="N21" i="209"/>
  <c r="M21" i="209"/>
  <c r="H21" i="209"/>
  <c r="K21" i="209" s="1"/>
  <c r="D21" i="209"/>
  <c r="N20" i="209"/>
  <c r="M20" i="209"/>
  <c r="H20" i="209"/>
  <c r="F20" i="209" s="1"/>
  <c r="D20" i="209"/>
  <c r="N19" i="209"/>
  <c r="M19" i="209"/>
  <c r="H19" i="209"/>
  <c r="F19" i="209" s="1"/>
  <c r="D19" i="209"/>
  <c r="N18" i="209"/>
  <c r="M18" i="209"/>
  <c r="H18" i="209"/>
  <c r="F18" i="209" s="1"/>
  <c r="E18" i="209"/>
  <c r="D18" i="209"/>
  <c r="B18" i="209"/>
  <c r="N17" i="209"/>
  <c r="M17" i="209"/>
  <c r="K17" i="209"/>
  <c r="H17" i="209"/>
  <c r="F17" i="209"/>
  <c r="D17" i="209"/>
  <c r="B17" i="209" s="1"/>
  <c r="C17" i="209"/>
  <c r="N16" i="209"/>
  <c r="M16" i="209"/>
  <c r="H16" i="209"/>
  <c r="D16" i="209"/>
  <c r="C16" i="209"/>
  <c r="N15" i="209"/>
  <c r="M15" i="209"/>
  <c r="H15" i="209"/>
  <c r="E15" i="209"/>
  <c r="B15" i="209"/>
  <c r="N14" i="209"/>
  <c r="M14" i="209"/>
  <c r="K14" i="209"/>
  <c r="H14" i="209"/>
  <c r="F14" i="209"/>
  <c r="C14" i="209"/>
  <c r="N13" i="209"/>
  <c r="M13" i="209"/>
  <c r="H13" i="209"/>
  <c r="F13" i="209" s="1"/>
  <c r="D13" i="209"/>
  <c r="E13" i="209" s="1"/>
  <c r="N12" i="209"/>
  <c r="M12" i="209"/>
  <c r="H12" i="209"/>
  <c r="K12" i="209" s="1"/>
  <c r="L12" i="209" s="1"/>
  <c r="F12" i="209"/>
  <c r="E12" i="209"/>
  <c r="B12" i="209"/>
  <c r="N11" i="209"/>
  <c r="M11" i="209"/>
  <c r="K11" i="209"/>
  <c r="H11" i="209"/>
  <c r="F11" i="209"/>
  <c r="C11" i="209"/>
  <c r="N10" i="209"/>
  <c r="M10" i="209"/>
  <c r="H10" i="209"/>
  <c r="D10" i="209"/>
  <c r="N9" i="209"/>
  <c r="M9" i="209"/>
  <c r="H9" i="209"/>
  <c r="K9" i="209" s="1"/>
  <c r="E9" i="209"/>
  <c r="L9" i="209" s="1"/>
  <c r="D9" i="209"/>
  <c r="B9" i="209"/>
  <c r="N8" i="209"/>
  <c r="M8" i="209"/>
  <c r="K8" i="209"/>
  <c r="H8" i="209"/>
  <c r="F8" i="209" s="1"/>
  <c r="E8" i="209"/>
  <c r="L8" i="209" s="1"/>
  <c r="B8" i="209"/>
  <c r="N7" i="209"/>
  <c r="M7" i="209"/>
  <c r="K7" i="209"/>
  <c r="H7" i="209"/>
  <c r="F7" i="209" s="1"/>
  <c r="E7" i="209"/>
  <c r="B7" i="209"/>
  <c r="N6" i="209"/>
  <c r="M6" i="209"/>
  <c r="K6" i="209"/>
  <c r="H6" i="209"/>
  <c r="F6" i="209"/>
  <c r="E6" i="209"/>
  <c r="B6" i="209"/>
  <c r="N5" i="209"/>
  <c r="M5" i="209"/>
  <c r="K5" i="209"/>
  <c r="H5" i="209"/>
  <c r="F5" i="209" s="1"/>
  <c r="E5" i="209"/>
  <c r="B5" i="209"/>
  <c r="N4" i="209"/>
  <c r="M4" i="209"/>
  <c r="H4" i="209"/>
  <c r="K4" i="209" s="1"/>
  <c r="F4" i="209"/>
  <c r="E4" i="209"/>
  <c r="B4" i="209"/>
  <c r="Q30" i="208"/>
  <c r="P30" i="208"/>
  <c r="N30" i="208"/>
  <c r="O30" i="208"/>
  <c r="Q29" i="208"/>
  <c r="P29" i="208"/>
  <c r="N29" i="208"/>
  <c r="R29" i="208"/>
  <c r="Q28" i="208"/>
  <c r="P28" i="208"/>
  <c r="N28" i="208"/>
  <c r="O28" i="208"/>
  <c r="Q27" i="208"/>
  <c r="P27" i="208"/>
  <c r="N27" i="208"/>
  <c r="R27" i="208"/>
  <c r="R26" i="208"/>
  <c r="Q26" i="208"/>
  <c r="P26" i="208"/>
  <c r="O26" i="208"/>
  <c r="N26" i="208"/>
  <c r="R25" i="208"/>
  <c r="Q25" i="208"/>
  <c r="P25" i="208"/>
  <c r="O25" i="208"/>
  <c r="N25" i="208"/>
  <c r="M25" i="208"/>
  <c r="H25" i="208"/>
  <c r="G25" i="208"/>
  <c r="R24" i="208"/>
  <c r="Q24" i="208"/>
  <c r="N24" i="208"/>
  <c r="M24" i="208"/>
  <c r="P24" i="208" s="1"/>
  <c r="H24" i="208"/>
  <c r="G24" i="208"/>
  <c r="R23" i="208"/>
  <c r="Q23" i="208"/>
  <c r="N23" i="208"/>
  <c r="M23" i="208"/>
  <c r="O23" i="208" s="1"/>
  <c r="H23" i="208"/>
  <c r="G23" i="208"/>
  <c r="Q22" i="208"/>
  <c r="M22" i="208"/>
  <c r="J22" i="208"/>
  <c r="O22" i="208" s="1"/>
  <c r="F22" i="208"/>
  <c r="H22" i="208" s="1"/>
  <c r="Q21" i="208"/>
  <c r="M21" i="208"/>
  <c r="N21" i="208" s="1"/>
  <c r="J21" i="208"/>
  <c r="R21" i="208" s="1"/>
  <c r="F21" i="208"/>
  <c r="G21" i="208" s="1"/>
  <c r="C21" i="208"/>
  <c r="H21" i="208" s="1"/>
  <c r="Q20" i="208"/>
  <c r="M20" i="208"/>
  <c r="N20" i="208" s="1"/>
  <c r="J20" i="208"/>
  <c r="R20" i="208" s="1"/>
  <c r="F20" i="208"/>
  <c r="G20" i="208" s="1"/>
  <c r="C20" i="208"/>
  <c r="Q19" i="208"/>
  <c r="M19" i="208"/>
  <c r="J19" i="208"/>
  <c r="F19" i="208"/>
  <c r="G19" i="208" s="1"/>
  <c r="C19" i="208"/>
  <c r="H19" i="208" s="1"/>
  <c r="Q18" i="208"/>
  <c r="M18" i="208"/>
  <c r="N18" i="208" s="1"/>
  <c r="J18" i="208"/>
  <c r="R18" i="208" s="1"/>
  <c r="F18" i="208"/>
  <c r="G18" i="208" s="1"/>
  <c r="C18" i="208"/>
  <c r="R17" i="208"/>
  <c r="Q17" i="208"/>
  <c r="P17" i="208"/>
  <c r="O17" i="208"/>
  <c r="N17" i="208"/>
  <c r="M17" i="208"/>
  <c r="J17" i="208"/>
  <c r="F17" i="208"/>
  <c r="G17" i="208" s="1"/>
  <c r="C17" i="208"/>
  <c r="R16" i="208"/>
  <c r="Q16" i="208"/>
  <c r="O16" i="208"/>
  <c r="M16" i="208"/>
  <c r="J16" i="208"/>
  <c r="H16" i="208"/>
  <c r="G16" i="208"/>
  <c r="F16" i="208"/>
  <c r="C16" i="208"/>
  <c r="R15" i="208"/>
  <c r="Q15" i="208"/>
  <c r="P15" i="208"/>
  <c r="M15" i="208"/>
  <c r="J15" i="208"/>
  <c r="G15" i="208"/>
  <c r="F15" i="208"/>
  <c r="C15" i="208"/>
  <c r="H15" i="208" s="1"/>
  <c r="R14" i="208"/>
  <c r="Q14" i="208"/>
  <c r="O14" i="208"/>
  <c r="M14" i="208"/>
  <c r="J14" i="208"/>
  <c r="H14" i="208"/>
  <c r="G14" i="208"/>
  <c r="F14" i="208"/>
  <c r="C14" i="208"/>
  <c r="D14" i="209" s="1"/>
  <c r="R13" i="208"/>
  <c r="Q13" i="208"/>
  <c r="N13" i="208"/>
  <c r="M13" i="208"/>
  <c r="J13" i="208"/>
  <c r="O13" i="208" s="1"/>
  <c r="F13" i="208"/>
  <c r="C13" i="208"/>
  <c r="Q12" i="208"/>
  <c r="O12" i="208"/>
  <c r="N12" i="208"/>
  <c r="M12" i="208"/>
  <c r="J12" i="208"/>
  <c r="C12" i="208"/>
  <c r="F12" i="208" s="1"/>
  <c r="G12" i="208" s="1"/>
  <c r="R11" i="208"/>
  <c r="Q11" i="208"/>
  <c r="J11" i="208"/>
  <c r="C11" i="208"/>
  <c r="J10" i="208"/>
  <c r="R10" i="208" s="1"/>
  <c r="C10" i="208"/>
  <c r="B10" i="208"/>
  <c r="C10" i="209" s="1"/>
  <c r="Q9" i="208"/>
  <c r="J9" i="208"/>
  <c r="R9" i="208" s="1"/>
  <c r="F9" i="208"/>
  <c r="G9" i="208" s="1"/>
  <c r="C9" i="208"/>
  <c r="Q8" i="208"/>
  <c r="J8" i="208"/>
  <c r="C8" i="208"/>
  <c r="F8" i="208" s="1"/>
  <c r="G8" i="208" s="1"/>
  <c r="Q7" i="208"/>
  <c r="J7" i="208"/>
  <c r="H7" i="208"/>
  <c r="G7" i="208"/>
  <c r="F7" i="208"/>
  <c r="C7" i="208"/>
  <c r="R6" i="208"/>
  <c r="Q6" i="208"/>
  <c r="J6" i="208"/>
  <c r="F6" i="208"/>
  <c r="C6" i="208"/>
  <c r="R5" i="208"/>
  <c r="Q5" i="208"/>
  <c r="O5" i="208"/>
  <c r="J5" i="208"/>
  <c r="M5" i="208" s="1"/>
  <c r="N5" i="208" s="1"/>
  <c r="C5" i="208"/>
  <c r="R4" i="208"/>
  <c r="Q4" i="208"/>
  <c r="M4" i="208"/>
  <c r="J4" i="208"/>
  <c r="C4" i="208"/>
  <c r="S24" i="40"/>
  <c r="R24" i="40"/>
  <c r="R23" i="40"/>
  <c r="O23" i="40"/>
  <c r="P23" i="40" s="1"/>
  <c r="S22" i="40"/>
  <c r="R22" i="40"/>
  <c r="P22" i="40"/>
  <c r="S21" i="40"/>
  <c r="R21" i="40"/>
  <c r="P21" i="40"/>
  <c r="S20" i="40"/>
  <c r="R20" i="40"/>
  <c r="P20" i="40"/>
  <c r="S19" i="40"/>
  <c r="R19" i="40"/>
  <c r="P19" i="40"/>
  <c r="S18" i="40"/>
  <c r="R18" i="40"/>
  <c r="P18" i="40"/>
  <c r="S17" i="40"/>
  <c r="R17" i="40"/>
  <c r="P17" i="40"/>
  <c r="S16" i="40"/>
  <c r="AB8" i="40"/>
  <c r="Z8" i="40" s="1"/>
  <c r="S8" i="40"/>
  <c r="R8" i="40"/>
  <c r="O8" i="40"/>
  <c r="AB7" i="40"/>
  <c r="R7" i="40" s="1"/>
  <c r="AA7" i="40"/>
  <c r="P7" i="40" s="1"/>
  <c r="X7" i="40"/>
  <c r="V7" i="40"/>
  <c r="S7" i="40"/>
  <c r="O7" i="40"/>
  <c r="D7" i="40"/>
  <c r="F7" i="40" s="1"/>
  <c r="E7" i="40" s="1"/>
  <c r="AB6" i="40"/>
  <c r="V6" i="40" s="1"/>
  <c r="AA6" i="40"/>
  <c r="T6" i="40" s="1"/>
  <c r="Z6" i="40"/>
  <c r="X6" i="40"/>
  <c r="S6" i="40"/>
  <c r="R6" i="40"/>
  <c r="O6" i="40"/>
  <c r="G6" i="40"/>
  <c r="F6" i="40"/>
  <c r="E6" i="40" s="1"/>
  <c r="C6" i="40"/>
  <c r="AB5" i="40"/>
  <c r="S5" i="40"/>
  <c r="R5" i="40"/>
  <c r="O5" i="40"/>
  <c r="AA5" i="40" s="1"/>
  <c r="T5" i="40" s="1"/>
  <c r="D5" i="40"/>
  <c r="F5" i="40" s="1"/>
  <c r="C5" i="40" s="1"/>
  <c r="AB4" i="40"/>
  <c r="R4" i="40" s="1"/>
  <c r="V4" i="40"/>
  <c r="S4" i="40"/>
  <c r="O4" i="40"/>
  <c r="D4" i="40"/>
  <c r="F4" i="40" s="1"/>
  <c r="AB3" i="40"/>
  <c r="Z3" i="40"/>
  <c r="V3" i="40"/>
  <c r="S3" i="40"/>
  <c r="R3" i="40"/>
  <c r="O3" i="40"/>
  <c r="D3" i="40"/>
  <c r="F3" i="40" s="1"/>
  <c r="C3" i="40" s="1"/>
  <c r="G7" i="207"/>
  <c r="C7" i="207"/>
  <c r="D7" i="207" s="1"/>
  <c r="B7" i="207"/>
  <c r="G6" i="207"/>
  <c r="C6" i="207"/>
  <c r="D6" i="207" s="1"/>
  <c r="H6" i="207" s="1"/>
  <c r="B6" i="207"/>
  <c r="G5" i="207"/>
  <c r="B5" i="207"/>
  <c r="G4" i="207"/>
  <c r="B4" i="207"/>
  <c r="F3" i="207"/>
  <c r="E3" i="207"/>
  <c r="C3" i="207"/>
  <c r="D3" i="207" s="1"/>
  <c r="B3" i="207"/>
  <c r="Q11" i="206"/>
  <c r="N11" i="206"/>
  <c r="O11" i="206"/>
  <c r="P11" i="206"/>
  <c r="R10" i="206"/>
  <c r="Q10" i="206"/>
  <c r="P10" i="206"/>
  <c r="O10" i="206"/>
  <c r="N10" i="206"/>
  <c r="H10" i="206"/>
  <c r="G10" i="206"/>
  <c r="Q9" i="206"/>
  <c r="P9" i="206"/>
  <c r="O9" i="206"/>
  <c r="N9" i="206"/>
  <c r="H9" i="206"/>
  <c r="G9" i="206"/>
  <c r="C9" i="206"/>
  <c r="R9" i="206" s="1"/>
  <c r="Q8" i="206"/>
  <c r="P8" i="206"/>
  <c r="O8" i="206"/>
  <c r="N8" i="206"/>
  <c r="H8" i="206"/>
  <c r="G8" i="206"/>
  <c r="C8" i="206"/>
  <c r="R8" i="206" s="1"/>
  <c r="Q7" i="206"/>
  <c r="P7" i="206"/>
  <c r="O7" i="206"/>
  <c r="N7" i="206"/>
  <c r="H7" i="206"/>
  <c r="G7" i="206"/>
  <c r="C7" i="206"/>
  <c r="R7" i="206" s="1"/>
  <c r="Q6" i="206"/>
  <c r="P6" i="206"/>
  <c r="O6" i="206"/>
  <c r="N6" i="206"/>
  <c r="G6" i="206"/>
  <c r="C6" i="206"/>
  <c r="R6" i="206" s="1"/>
  <c r="Q5" i="206"/>
  <c r="P5" i="206"/>
  <c r="O5" i="206"/>
  <c r="N5" i="206"/>
  <c r="G5" i="206"/>
  <c r="C5" i="206"/>
  <c r="Q4" i="206"/>
  <c r="P4" i="206"/>
  <c r="O4" i="206"/>
  <c r="N4" i="206"/>
  <c r="G4" i="206"/>
  <c r="C4" i="206"/>
  <c r="R4" i="206" s="1"/>
  <c r="P16" i="291"/>
  <c r="N16" i="291"/>
  <c r="J16" i="291"/>
  <c r="M16" i="291" s="1"/>
  <c r="F16" i="291"/>
  <c r="P15" i="291"/>
  <c r="N15" i="291"/>
  <c r="J15" i="291"/>
  <c r="L15" i="291" s="1"/>
  <c r="G15" i="291"/>
  <c r="D15" i="291"/>
  <c r="P14" i="291"/>
  <c r="N14" i="291"/>
  <c r="M14" i="291"/>
  <c r="L14" i="291"/>
  <c r="K14" i="291"/>
  <c r="J14" i="291"/>
  <c r="G14" i="291"/>
  <c r="F14" i="291"/>
  <c r="D14" i="291"/>
  <c r="P13" i="291"/>
  <c r="N13" i="291"/>
  <c r="M13" i="291"/>
  <c r="L13" i="291"/>
  <c r="J13" i="291"/>
  <c r="D13" i="291"/>
  <c r="G13" i="291" s="1"/>
  <c r="P12" i="291"/>
  <c r="N12" i="291"/>
  <c r="J12" i="291"/>
  <c r="G12" i="291"/>
  <c r="F12" i="291"/>
  <c r="D12" i="291"/>
  <c r="P11" i="291"/>
  <c r="O11" i="291"/>
  <c r="N11" i="291"/>
  <c r="M11" i="291"/>
  <c r="L11" i="291"/>
  <c r="K11" i="291"/>
  <c r="J11" i="291"/>
  <c r="D11" i="291"/>
  <c r="P10" i="291"/>
  <c r="O10" i="291"/>
  <c r="N10" i="291"/>
  <c r="M10" i="291"/>
  <c r="L10" i="291"/>
  <c r="J10" i="291"/>
  <c r="K10" i="291" s="1"/>
  <c r="D10" i="291"/>
  <c r="F10" i="291" s="1"/>
  <c r="P9" i="291"/>
  <c r="O9" i="291"/>
  <c r="N9" i="291"/>
  <c r="M9" i="291"/>
  <c r="L9" i="291"/>
  <c r="J9" i="291"/>
  <c r="G9" i="291"/>
  <c r="F9" i="291"/>
  <c r="E9" i="291"/>
  <c r="D9" i="291"/>
  <c r="P8" i="291"/>
  <c r="N8" i="291"/>
  <c r="J8" i="291"/>
  <c r="M8" i="291" s="1"/>
  <c r="F8" i="291"/>
  <c r="E8" i="291"/>
  <c r="D8" i="291"/>
  <c r="G8" i="291" s="1"/>
  <c r="P7" i="291"/>
  <c r="P17" i="291" s="1"/>
  <c r="N7" i="291"/>
  <c r="N17" i="291" s="1"/>
  <c r="M7" i="291"/>
  <c r="J7" i="291"/>
  <c r="G7" i="291"/>
  <c r="F7" i="291"/>
  <c r="D7" i="291"/>
  <c r="O7" i="291" s="1"/>
  <c r="P6" i="291"/>
  <c r="N6" i="291"/>
  <c r="J6" i="291"/>
  <c r="K6" i="291" s="1"/>
  <c r="D6" i="291"/>
  <c r="P5" i="291"/>
  <c r="N5" i="291"/>
  <c r="M5" i="291"/>
  <c r="J5" i="291"/>
  <c r="L5" i="291" s="1"/>
  <c r="D5" i="291"/>
  <c r="M16" i="205"/>
  <c r="L16" i="205"/>
  <c r="K16" i="205"/>
  <c r="J16" i="205"/>
  <c r="I16" i="205"/>
  <c r="H16" i="205"/>
  <c r="G16" i="205"/>
  <c r="F16" i="205"/>
  <c r="E16" i="205"/>
  <c r="D16" i="205"/>
  <c r="C16" i="205"/>
  <c r="B16" i="205"/>
  <c r="H6" i="317"/>
  <c r="D6" i="317" s="1"/>
  <c r="C6" i="317" s="1"/>
  <c r="H5" i="317"/>
  <c r="E5" i="317"/>
  <c r="D5" i="317" s="1"/>
  <c r="C5" i="317" s="1"/>
  <c r="D16" i="130"/>
  <c r="B16" i="130"/>
  <c r="C15" i="130" s="1"/>
  <c r="O10" i="196"/>
  <c r="G10" i="196"/>
  <c r="O9" i="196"/>
  <c r="N9" i="196"/>
  <c r="L9" i="196"/>
  <c r="J9" i="196"/>
  <c r="G9" i="196"/>
  <c r="E9" i="196"/>
  <c r="C9" i="196"/>
  <c r="O8" i="196"/>
  <c r="N8" i="196"/>
  <c r="L8" i="196"/>
  <c r="J8" i="196"/>
  <c r="G8" i="196"/>
  <c r="E8" i="196"/>
  <c r="C8" i="196"/>
  <c r="O7" i="196"/>
  <c r="N7" i="196"/>
  <c r="L7" i="196"/>
  <c r="J7" i="196"/>
  <c r="G7" i="196"/>
  <c r="E7" i="196"/>
  <c r="C7" i="196"/>
  <c r="O6" i="196"/>
  <c r="N6" i="196"/>
  <c r="L6" i="196"/>
  <c r="J6" i="196"/>
  <c r="G6" i="196"/>
  <c r="E6" i="196"/>
  <c r="C6" i="196"/>
  <c r="O5" i="196"/>
  <c r="N5" i="196"/>
  <c r="L5" i="196"/>
  <c r="J5" i="196"/>
  <c r="G5" i="196"/>
  <c r="E5" i="196"/>
  <c r="C5" i="196"/>
  <c r="O4" i="196"/>
  <c r="G4" i="196"/>
  <c r="N9" i="184"/>
  <c r="G9" i="184" s="1"/>
  <c r="K9" i="184"/>
  <c r="D9" i="184"/>
  <c r="O9" i="184" s="1"/>
  <c r="C9" i="184"/>
  <c r="O8" i="184"/>
  <c r="M8" i="184" s="1"/>
  <c r="F8" i="184"/>
  <c r="B8" i="184"/>
  <c r="N8" i="184" s="1"/>
  <c r="O7" i="184"/>
  <c r="I7" i="184" s="1"/>
  <c r="M7" i="184"/>
  <c r="F7" i="184"/>
  <c r="E7" i="184"/>
  <c r="B7" i="184"/>
  <c r="N7" i="184" s="1"/>
  <c r="K7" i="184" s="1"/>
  <c r="O6" i="184"/>
  <c r="M6" i="184" s="1"/>
  <c r="N6" i="184"/>
  <c r="I6" i="184"/>
  <c r="F6" i="184"/>
  <c r="E6" i="184"/>
  <c r="B6" i="184"/>
  <c r="O5" i="184"/>
  <c r="M5" i="184"/>
  <c r="I5" i="184"/>
  <c r="F5" i="184"/>
  <c r="E5" i="184"/>
  <c r="B5" i="184"/>
  <c r="O4" i="184"/>
  <c r="N4" i="184"/>
  <c r="G4" i="184" s="1"/>
  <c r="M4" i="184"/>
  <c r="K4" i="184"/>
  <c r="I4" i="184"/>
  <c r="F4" i="184"/>
  <c r="E4" i="184"/>
  <c r="B4" i="184"/>
  <c r="O3" i="184"/>
  <c r="M3" i="184"/>
  <c r="F3" i="184"/>
  <c r="B3" i="184"/>
  <c r="F30" i="8"/>
  <c r="C25" i="8"/>
  <c r="D25" i="8" s="1"/>
  <c r="L15" i="314"/>
  <c r="J15" i="314"/>
  <c r="K15" i="314" s="1"/>
  <c r="F15" i="314"/>
  <c r="B15" i="314"/>
  <c r="O14" i="314"/>
  <c r="N14" i="314"/>
  <c r="M14" i="314"/>
  <c r="K14" i="314"/>
  <c r="I14" i="314"/>
  <c r="H14" i="314"/>
  <c r="C14" i="314"/>
  <c r="E14" i="314" s="1"/>
  <c r="O13" i="314"/>
  <c r="M13" i="314"/>
  <c r="K13" i="314"/>
  <c r="I13" i="314"/>
  <c r="H13" i="314"/>
  <c r="N13" i="314" s="1"/>
  <c r="C13" i="314"/>
  <c r="E13" i="314" s="1"/>
  <c r="N12" i="314"/>
  <c r="M12" i="314"/>
  <c r="K12" i="314"/>
  <c r="I12" i="314"/>
  <c r="H12" i="314"/>
  <c r="E12" i="314"/>
  <c r="D12" i="314"/>
  <c r="C12" i="314"/>
  <c r="M11" i="314"/>
  <c r="K11" i="314"/>
  <c r="H11" i="314"/>
  <c r="E11" i="314"/>
  <c r="C11" i="314"/>
  <c r="D11" i="314" s="1"/>
  <c r="M10" i="314"/>
  <c r="K10" i="314"/>
  <c r="H10" i="314"/>
  <c r="C10" i="314"/>
  <c r="E10" i="314" s="1"/>
  <c r="O9" i="314"/>
  <c r="N9" i="314"/>
  <c r="M9" i="314"/>
  <c r="K9" i="314"/>
  <c r="I9" i="314"/>
  <c r="H9" i="314"/>
  <c r="C9" i="314"/>
  <c r="D9" i="314" s="1"/>
  <c r="M8" i="314"/>
  <c r="K8" i="314"/>
  <c r="H8" i="314"/>
  <c r="C8" i="314"/>
  <c r="D8" i="314" s="1"/>
  <c r="M7" i="314"/>
  <c r="K7" i="314"/>
  <c r="I7" i="314"/>
  <c r="H7" i="314"/>
  <c r="N7" i="314" s="1"/>
  <c r="O7" i="314" s="1"/>
  <c r="E7" i="314"/>
  <c r="D7" i="314"/>
  <c r="C7" i="314"/>
  <c r="N6" i="314"/>
  <c r="M6" i="314"/>
  <c r="K6" i="314"/>
  <c r="O6" i="314" s="1"/>
  <c r="I6" i="314"/>
  <c r="H6" i="314"/>
  <c r="E6" i="314"/>
  <c r="D6" i="314"/>
  <c r="C6" i="314"/>
  <c r="M5" i="314"/>
  <c r="K5" i="314"/>
  <c r="O5" i="314" s="1"/>
  <c r="I5" i="314"/>
  <c r="H5" i="314"/>
  <c r="N5" i="314" s="1"/>
  <c r="E5" i="314"/>
  <c r="D5" i="314"/>
  <c r="C5" i="314"/>
  <c r="N4" i="314"/>
  <c r="M4" i="314"/>
  <c r="K4" i="314"/>
  <c r="O4" i="314" s="1"/>
  <c r="I4" i="314"/>
  <c r="H4" i="314"/>
  <c r="E4" i="314"/>
  <c r="D4" i="314"/>
  <c r="C4" i="314"/>
  <c r="L5" i="287"/>
  <c r="N5" i="287" s="1"/>
  <c r="E5" i="287"/>
  <c r="F5" i="287" s="1"/>
  <c r="L4" i="287"/>
  <c r="M4" i="287" s="1"/>
  <c r="E4" i="287"/>
  <c r="E14" i="201"/>
  <c r="B14" i="201"/>
  <c r="D14" i="201" s="1"/>
  <c r="E13" i="201"/>
  <c r="B13" i="201"/>
  <c r="C13" i="201" s="1"/>
  <c r="F12" i="201"/>
  <c r="C12" i="201"/>
  <c r="F11" i="201"/>
  <c r="C11" i="201"/>
  <c r="F10" i="201"/>
  <c r="C10" i="201"/>
  <c r="F9" i="201"/>
  <c r="C9" i="201"/>
  <c r="F8" i="201"/>
  <c r="C8" i="201"/>
  <c r="F7" i="201"/>
  <c r="C7" i="201"/>
  <c r="F6" i="201"/>
  <c r="C6" i="201"/>
  <c r="F5" i="201"/>
  <c r="C5" i="201"/>
  <c r="F14" i="286"/>
  <c r="D13" i="286"/>
  <c r="C13" i="286"/>
  <c r="D12" i="286"/>
  <c r="C12" i="286"/>
  <c r="C11" i="286"/>
  <c r="D10" i="286"/>
  <c r="C10" i="286"/>
  <c r="C9" i="286"/>
  <c r="D8" i="286"/>
  <c r="C8" i="286"/>
  <c r="C7" i="286"/>
  <c r="D6" i="286"/>
  <c r="C6" i="286"/>
  <c r="C5" i="286"/>
  <c r="D4" i="286"/>
  <c r="F14" i="200"/>
  <c r="B14" i="200"/>
  <c r="D14" i="200" s="1"/>
  <c r="F13" i="200"/>
  <c r="B13" i="200"/>
  <c r="D13" i="200" s="1"/>
  <c r="F12" i="200"/>
  <c r="C12" i="200"/>
  <c r="F11" i="200"/>
  <c r="D11" i="200"/>
  <c r="C11" i="200"/>
  <c r="F10" i="200"/>
  <c r="D10" i="200"/>
  <c r="C10" i="200"/>
  <c r="D9" i="200"/>
  <c r="C9" i="200"/>
  <c r="F8" i="200"/>
  <c r="D8" i="200"/>
  <c r="C8" i="200"/>
  <c r="F7" i="200"/>
  <c r="D7" i="200"/>
  <c r="C7" i="200"/>
  <c r="D6" i="200"/>
  <c r="C6" i="200"/>
  <c r="F5" i="200"/>
  <c r="D5" i="200"/>
  <c r="C5" i="200"/>
  <c r="D4" i="200"/>
  <c r="Y33" i="359" l="1"/>
  <c r="CW33" i="359"/>
  <c r="FQ33" i="359"/>
  <c r="HM33" i="359"/>
  <c r="CN33" i="359"/>
  <c r="IB33" i="359"/>
  <c r="GU33" i="359"/>
  <c r="DX33" i="359"/>
  <c r="DU33" i="359"/>
  <c r="EG33" i="359"/>
  <c r="CF33" i="359"/>
  <c r="AW33" i="359"/>
  <c r="BU33" i="359"/>
  <c r="ES33" i="359"/>
  <c r="GO33" i="359"/>
  <c r="GL33" i="359"/>
  <c r="HD33" i="359"/>
  <c r="J33" i="359"/>
  <c r="D16" i="76"/>
  <c r="Q4" i="196"/>
  <c r="F14" i="201"/>
  <c r="K12" i="259"/>
  <c r="E38" i="255"/>
  <c r="G7" i="260"/>
  <c r="K12" i="256"/>
  <c r="K18" i="255"/>
  <c r="K12" i="264"/>
  <c r="K8" i="184"/>
  <c r="G8" i="184"/>
  <c r="K8" i="259"/>
  <c r="K15" i="255"/>
  <c r="IK33" i="359"/>
  <c r="IL5" i="359"/>
  <c r="IL33" i="359" s="1"/>
  <c r="S11" i="342"/>
  <c r="Q24" i="342"/>
  <c r="E15" i="79"/>
  <c r="C15" i="79"/>
  <c r="G15" i="79"/>
  <c r="L22" i="220"/>
  <c r="M14" i="220" s="1"/>
  <c r="N11" i="314"/>
  <c r="O11" i="314" s="1"/>
  <c r="I11" i="314"/>
  <c r="O5" i="291"/>
  <c r="F5" i="291"/>
  <c r="B19" i="209"/>
  <c r="E19" i="209"/>
  <c r="C15" i="259"/>
  <c r="K35" i="255"/>
  <c r="K9" i="157"/>
  <c r="L9" i="157" s="1"/>
  <c r="E9" i="314"/>
  <c r="N3" i="184"/>
  <c r="G3" i="184" s="1"/>
  <c r="R5" i="206"/>
  <c r="C4" i="207"/>
  <c r="D4" i="207" s="1"/>
  <c r="H4" i="207" s="1"/>
  <c r="H5" i="206"/>
  <c r="AA4" i="40"/>
  <c r="X4" i="40" s="1"/>
  <c r="P5" i="40"/>
  <c r="D11" i="209"/>
  <c r="B11" i="209" s="1"/>
  <c r="K18" i="256"/>
  <c r="H8" i="208"/>
  <c r="F11" i="208"/>
  <c r="G11" i="208" s="1"/>
  <c r="G13" i="260"/>
  <c r="K5" i="157"/>
  <c r="L5" i="157" s="1"/>
  <c r="V33" i="358"/>
  <c r="AT33" i="358"/>
  <c r="BR33" i="358"/>
  <c r="CT33" i="358"/>
  <c r="EP33" i="358"/>
  <c r="FN33" i="358"/>
  <c r="HJ33" i="358"/>
  <c r="IH33" i="358"/>
  <c r="E8" i="314"/>
  <c r="C4" i="184"/>
  <c r="N5" i="184"/>
  <c r="C7" i="184"/>
  <c r="E8" i="184"/>
  <c r="O13" i="291"/>
  <c r="P6" i="40"/>
  <c r="M6" i="208"/>
  <c r="R8" i="208"/>
  <c r="M8" i="208"/>
  <c r="K15" i="209"/>
  <c r="L15" i="209" s="1"/>
  <c r="F15" i="209"/>
  <c r="L23" i="209"/>
  <c r="J30" i="261"/>
  <c r="G31" i="261" s="1"/>
  <c r="K21" i="258"/>
  <c r="K35" i="258"/>
  <c r="K31" i="255"/>
  <c r="K35" i="265"/>
  <c r="K32" i="264"/>
  <c r="GO33" i="358"/>
  <c r="HA33" i="359"/>
  <c r="BF33" i="359"/>
  <c r="AB33" i="359"/>
  <c r="BX33" i="359"/>
  <c r="GR33" i="359"/>
  <c r="G13" i="339"/>
  <c r="H4" i="339"/>
  <c r="H13" i="339" s="1"/>
  <c r="F19" i="289"/>
  <c r="L19" i="289"/>
  <c r="E19" i="289"/>
  <c r="M16" i="322"/>
  <c r="D10" i="322"/>
  <c r="M10" i="208"/>
  <c r="N10" i="208" s="1"/>
  <c r="C19" i="79"/>
  <c r="E19" i="79"/>
  <c r="K13" i="209"/>
  <c r="E21" i="209"/>
  <c r="B21" i="209"/>
  <c r="K36" i="264"/>
  <c r="G16" i="79"/>
  <c r="E16" i="79"/>
  <c r="C16" i="79"/>
  <c r="H6" i="206"/>
  <c r="H13" i="208"/>
  <c r="G13" i="208"/>
  <c r="J37" i="256"/>
  <c r="K33" i="256" s="1"/>
  <c r="K10" i="255"/>
  <c r="G12" i="79"/>
  <c r="E12" i="79"/>
  <c r="C12" i="79"/>
  <c r="T3" i="40"/>
  <c r="F4" i="208"/>
  <c r="G4" i="208" s="1"/>
  <c r="I8" i="314"/>
  <c r="N8" i="314"/>
  <c r="O8" i="314" s="1"/>
  <c r="F11" i="291"/>
  <c r="G11" i="291"/>
  <c r="E11" i="291"/>
  <c r="O15" i="291"/>
  <c r="R25" i="40"/>
  <c r="M7" i="208"/>
  <c r="R7" i="208"/>
  <c r="L5" i="209"/>
  <c r="I11" i="157"/>
  <c r="AN33" i="359"/>
  <c r="HS33" i="359"/>
  <c r="L31" i="289"/>
  <c r="K31" i="289"/>
  <c r="J31" i="289"/>
  <c r="M7" i="237"/>
  <c r="D8" i="237"/>
  <c r="D13" i="314"/>
  <c r="D14" i="314"/>
  <c r="I8" i="184"/>
  <c r="J17" i="291"/>
  <c r="L7" i="291"/>
  <c r="K8" i="291"/>
  <c r="E12" i="291"/>
  <c r="E13" i="291"/>
  <c r="H7" i="207"/>
  <c r="Z4" i="40"/>
  <c r="X5" i="40"/>
  <c r="P25" i="40"/>
  <c r="P13" i="208"/>
  <c r="P14" i="208"/>
  <c r="N14" i="208"/>
  <c r="O15" i="208"/>
  <c r="N15" i="208"/>
  <c r="K10" i="209"/>
  <c r="F10" i="209"/>
  <c r="G38" i="258"/>
  <c r="F38" i="258"/>
  <c r="E38" i="258"/>
  <c r="H38" i="258"/>
  <c r="K34" i="258"/>
  <c r="K29" i="258"/>
  <c r="K18" i="258"/>
  <c r="K13" i="258"/>
  <c r="K33" i="258"/>
  <c r="K22" i="258"/>
  <c r="K17" i="258"/>
  <c r="K6" i="258"/>
  <c r="K37" i="258" s="1"/>
  <c r="D38" i="258"/>
  <c r="C38" i="258"/>
  <c r="B38" i="258"/>
  <c r="G27" i="257"/>
  <c r="K13" i="255"/>
  <c r="K26" i="255"/>
  <c r="E38" i="265"/>
  <c r="K30" i="265"/>
  <c r="K16" i="265"/>
  <c r="K7" i="265"/>
  <c r="G38" i="265"/>
  <c r="K6" i="265"/>
  <c r="C38" i="265"/>
  <c r="K22" i="265"/>
  <c r="B38" i="265"/>
  <c r="K10" i="265"/>
  <c r="K31" i="265"/>
  <c r="H38" i="265"/>
  <c r="S33" i="359"/>
  <c r="BO33" i="359"/>
  <c r="L9" i="210"/>
  <c r="J9" i="210"/>
  <c r="F14" i="345"/>
  <c r="H9" i="345"/>
  <c r="H14" i="345" s="1"/>
  <c r="C12" i="354"/>
  <c r="K4" i="264"/>
  <c r="C6" i="184"/>
  <c r="K6" i="184"/>
  <c r="M12" i="291"/>
  <c r="K13" i="291"/>
  <c r="K12" i="291"/>
  <c r="P3" i="40"/>
  <c r="K16" i="209"/>
  <c r="F16" i="209"/>
  <c r="S6" i="342"/>
  <c r="S24" i="342" s="1"/>
  <c r="D10" i="314"/>
  <c r="G5" i="291"/>
  <c r="L12" i="291"/>
  <c r="K15" i="291"/>
  <c r="H6" i="208"/>
  <c r="G6" i="208"/>
  <c r="M9" i="208"/>
  <c r="H12" i="208"/>
  <c r="E13" i="78"/>
  <c r="C13" i="78"/>
  <c r="G13" i="78"/>
  <c r="N10" i="314"/>
  <c r="O10" i="314" s="1"/>
  <c r="I10" i="314"/>
  <c r="I3" i="184"/>
  <c r="E3" i="184"/>
  <c r="C8" i="184"/>
  <c r="M15" i="291"/>
  <c r="F5" i="208"/>
  <c r="H5" i="208" s="1"/>
  <c r="G10" i="291"/>
  <c r="E10" i="291"/>
  <c r="O12" i="291"/>
  <c r="H4" i="206"/>
  <c r="M11" i="208"/>
  <c r="O11" i="208"/>
  <c r="E20" i="209"/>
  <c r="B20" i="209"/>
  <c r="K19" i="255"/>
  <c r="C15" i="314"/>
  <c r="E15" i="314" s="1"/>
  <c r="G6" i="184"/>
  <c r="G7" i="184"/>
  <c r="L8" i="291"/>
  <c r="K9" i="291"/>
  <c r="F13" i="291"/>
  <c r="F15" i="291"/>
  <c r="E15" i="291"/>
  <c r="C5" i="207"/>
  <c r="D5" i="207" s="1"/>
  <c r="H5" i="207" s="1"/>
  <c r="AA3" i="40"/>
  <c r="X3" i="40" s="1"/>
  <c r="Z5" i="40"/>
  <c r="V5" i="40"/>
  <c r="T7" i="40"/>
  <c r="N4" i="208"/>
  <c r="P4" i="208"/>
  <c r="O4" i="208"/>
  <c r="H9" i="208"/>
  <c r="P12" i="208"/>
  <c r="P16" i="208"/>
  <c r="N16" i="208"/>
  <c r="H20" i="208"/>
  <c r="L4" i="209"/>
  <c r="L13" i="209"/>
  <c r="L30" i="209"/>
  <c r="F38" i="257"/>
  <c r="G33" i="257"/>
  <c r="G29" i="257"/>
  <c r="G25" i="257"/>
  <c r="G21" i="257"/>
  <c r="G17" i="257"/>
  <c r="G13" i="257"/>
  <c r="G9" i="257"/>
  <c r="G5" i="257"/>
  <c r="G34" i="257"/>
  <c r="G20" i="257"/>
  <c r="G11" i="257"/>
  <c r="G28" i="257"/>
  <c r="G19" i="257"/>
  <c r="G10" i="257"/>
  <c r="G6" i="257"/>
  <c r="G14" i="257"/>
  <c r="C38" i="257"/>
  <c r="G18" i="257"/>
  <c r="K14" i="255"/>
  <c r="F38" i="255"/>
  <c r="D16" i="362"/>
  <c r="V33" i="359"/>
  <c r="AT33" i="359"/>
  <c r="BR33" i="359"/>
  <c r="CT33" i="359"/>
  <c r="DR33" i="359"/>
  <c r="EP33" i="359"/>
  <c r="FN33" i="359"/>
  <c r="HJ33" i="359"/>
  <c r="IH33" i="359"/>
  <c r="L14" i="289"/>
  <c r="K14" i="289"/>
  <c r="J14" i="289"/>
  <c r="G19" i="79"/>
  <c r="G33" i="79"/>
  <c r="E33" i="79"/>
  <c r="C33" i="79"/>
  <c r="K16" i="258"/>
  <c r="K32" i="258"/>
  <c r="K19" i="256"/>
  <c r="K35" i="256"/>
  <c r="K9" i="265"/>
  <c r="K20" i="265"/>
  <c r="I38" i="265"/>
  <c r="I38" i="264"/>
  <c r="K7" i="157"/>
  <c r="L7" i="157" s="1"/>
  <c r="Y33" i="358"/>
  <c r="AW33" i="358"/>
  <c r="BU33" i="358"/>
  <c r="DU33" i="358"/>
  <c r="ES33" i="358"/>
  <c r="FQ33" i="358"/>
  <c r="HM33" i="358"/>
  <c r="CC33" i="359"/>
  <c r="EY33" i="359"/>
  <c r="L20" i="289"/>
  <c r="F20" i="289"/>
  <c r="E20" i="289"/>
  <c r="I5" i="212"/>
  <c r="G5" i="212"/>
  <c r="E5" i="212"/>
  <c r="L5" i="212"/>
  <c r="G21" i="79"/>
  <c r="E21" i="79"/>
  <c r="C21" i="79"/>
  <c r="N7" i="237"/>
  <c r="E8" i="237"/>
  <c r="B14" i="286"/>
  <c r="O14" i="291"/>
  <c r="E14" i="291"/>
  <c r="Z7" i="40"/>
  <c r="V8" i="40"/>
  <c r="H17" i="208"/>
  <c r="E27" i="209"/>
  <c r="L27" i="209" s="1"/>
  <c r="B27" i="209"/>
  <c r="G9" i="260"/>
  <c r="J14" i="259"/>
  <c r="K11" i="258"/>
  <c r="K27" i="258"/>
  <c r="K9" i="255"/>
  <c r="K25" i="255"/>
  <c r="K26" i="265"/>
  <c r="J37" i="264"/>
  <c r="K8" i="264" s="1"/>
  <c r="D33" i="358"/>
  <c r="AB33" i="358"/>
  <c r="AZ33" i="358"/>
  <c r="BX33" i="358"/>
  <c r="HP33" i="358"/>
  <c r="EV33" i="358"/>
  <c r="GR33" i="358"/>
  <c r="FT33" i="359"/>
  <c r="HP33" i="359"/>
  <c r="U13" i="340"/>
  <c r="K9" i="289"/>
  <c r="J9" i="289"/>
  <c r="L16" i="289"/>
  <c r="J16" i="289"/>
  <c r="K16" i="289"/>
  <c r="C5" i="212"/>
  <c r="K6" i="275"/>
  <c r="J6" i="275"/>
  <c r="D70" i="354"/>
  <c r="G8" i="237"/>
  <c r="K12" i="258"/>
  <c r="K28" i="258"/>
  <c r="K5" i="265"/>
  <c r="K37" i="265" s="1"/>
  <c r="DI33" i="359"/>
  <c r="FE33" i="359"/>
  <c r="GC33" i="359"/>
  <c r="HY33" i="359"/>
  <c r="D13" i="338"/>
  <c r="L12" i="210"/>
  <c r="K12" i="210"/>
  <c r="J12" i="210"/>
  <c r="L4" i="289"/>
  <c r="J4" i="289"/>
  <c r="F13" i="289"/>
  <c r="E13" i="289"/>
  <c r="G8" i="78"/>
  <c r="E8" i="78"/>
  <c r="C8" i="78"/>
  <c r="C9" i="79"/>
  <c r="G9" i="79"/>
  <c r="F4" i="287"/>
  <c r="G4" i="287"/>
  <c r="O12" i="314"/>
  <c r="D17" i="291"/>
  <c r="O8" i="291"/>
  <c r="O17" i="291" s="1"/>
  <c r="R12" i="208"/>
  <c r="L7" i="209"/>
  <c r="F9" i="209"/>
  <c r="L24" i="209"/>
  <c r="K7" i="258"/>
  <c r="K23" i="258"/>
  <c r="D38" i="257"/>
  <c r="K10" i="256"/>
  <c r="K26" i="256"/>
  <c r="J37" i="255"/>
  <c r="K11" i="265"/>
  <c r="D38" i="265"/>
  <c r="K4" i="157"/>
  <c r="L4" i="157"/>
  <c r="G25" i="54"/>
  <c r="G38" i="54" s="1"/>
  <c r="I33" i="121"/>
  <c r="B4" i="121"/>
  <c r="P33" i="359"/>
  <c r="BL33" i="359"/>
  <c r="DL33" i="359"/>
  <c r="EJ33" i="359"/>
  <c r="FH33" i="359"/>
  <c r="GF33" i="359"/>
  <c r="K4" i="289"/>
  <c r="F10" i="289"/>
  <c r="E10" i="289"/>
  <c r="R30" i="349"/>
  <c r="I6" i="212"/>
  <c r="G6" i="212"/>
  <c r="E6" i="212"/>
  <c r="C6" i="212"/>
  <c r="L6" i="212"/>
  <c r="C7" i="212"/>
  <c r="D46" i="354"/>
  <c r="C61" i="354"/>
  <c r="D15" i="215"/>
  <c r="C12" i="216"/>
  <c r="E12" i="216" s="1"/>
  <c r="E12" i="215"/>
  <c r="AA8" i="40"/>
  <c r="P19" i="208"/>
  <c r="O19" i="208"/>
  <c r="L6" i="209"/>
  <c r="F14" i="260"/>
  <c r="G10" i="260" s="1"/>
  <c r="K8" i="258"/>
  <c r="K24" i="258"/>
  <c r="E38" i="257"/>
  <c r="K12" i="265"/>
  <c r="K33" i="265"/>
  <c r="M33" i="358"/>
  <c r="BI33" i="358"/>
  <c r="HA33" i="358"/>
  <c r="AH33" i="358"/>
  <c r="ED33" i="358"/>
  <c r="G33" i="358"/>
  <c r="CQ33" i="359"/>
  <c r="DO33" i="359"/>
  <c r="EM33" i="359"/>
  <c r="FK33" i="359"/>
  <c r="GI33" i="359"/>
  <c r="HG33" i="359"/>
  <c r="IE33" i="359"/>
  <c r="AQ33" i="359"/>
  <c r="L33" i="289"/>
  <c r="K33" i="289"/>
  <c r="J33" i="289"/>
  <c r="D26" i="354"/>
  <c r="M19" i="220"/>
  <c r="F16" i="200"/>
  <c r="O6" i="291"/>
  <c r="G3" i="207"/>
  <c r="H18" i="208"/>
  <c r="R19" i="208"/>
  <c r="P22" i="208"/>
  <c r="K25" i="265"/>
  <c r="H11" i="157"/>
  <c r="CC33" i="358"/>
  <c r="DC33" i="358"/>
  <c r="EA33" i="358"/>
  <c r="EY33" i="358"/>
  <c r="FW33" i="358"/>
  <c r="GU33" i="358"/>
  <c r="HS33" i="358"/>
  <c r="D33" i="359"/>
  <c r="AZ33" i="359"/>
  <c r="CZ33" i="359"/>
  <c r="EV33" i="359"/>
  <c r="F7" i="210"/>
  <c r="E7" i="210"/>
  <c r="L7" i="210"/>
  <c r="L8" i="210"/>
  <c r="J8" i="210"/>
  <c r="L21" i="289"/>
  <c r="K21" i="289"/>
  <c r="J21" i="289"/>
  <c r="G36" i="346"/>
  <c r="I5" i="346"/>
  <c r="B36" i="352"/>
  <c r="L7" i="212"/>
  <c r="I7" i="212"/>
  <c r="F8" i="275"/>
  <c r="E8" i="275"/>
  <c r="C17" i="354"/>
  <c r="D19" i="354"/>
  <c r="D38" i="354"/>
  <c r="D37" i="354"/>
  <c r="C49" i="354"/>
  <c r="D51" i="354"/>
  <c r="E9" i="78"/>
  <c r="G6" i="79"/>
  <c r="E6" i="79"/>
  <c r="C6" i="79"/>
  <c r="K21" i="265"/>
  <c r="CF33" i="358"/>
  <c r="FB33" i="358"/>
  <c r="FZ33" i="358"/>
  <c r="HV33" i="358"/>
  <c r="G33" i="359"/>
  <c r="AE33" i="359"/>
  <c r="BC33" i="359"/>
  <c r="DC33" i="359"/>
  <c r="EA33" i="359"/>
  <c r="FW33" i="359"/>
  <c r="IL33" i="358"/>
  <c r="L13" i="289"/>
  <c r="K13" i="289"/>
  <c r="J13" i="289"/>
  <c r="G36" i="352"/>
  <c r="V13" i="351"/>
  <c r="F9" i="293"/>
  <c r="E9" i="293"/>
  <c r="D54" i="354"/>
  <c r="D53" i="354"/>
  <c r="H43" i="79"/>
  <c r="E43" i="79" s="1"/>
  <c r="E30" i="79"/>
  <c r="C30" i="79"/>
  <c r="L4" i="221"/>
  <c r="N4" i="233"/>
  <c r="K17" i="265"/>
  <c r="D38" i="264"/>
  <c r="D19" i="263"/>
  <c r="DI33" i="358"/>
  <c r="HY33" i="358"/>
  <c r="AH33" i="359"/>
  <c r="S20" i="342"/>
  <c r="J7" i="289"/>
  <c r="F12" i="289"/>
  <c r="H36" i="352"/>
  <c r="E7" i="212"/>
  <c r="L30" i="212"/>
  <c r="I30" i="212"/>
  <c r="E30" i="212"/>
  <c r="E5" i="275"/>
  <c r="D30" i="354"/>
  <c r="C5" i="78"/>
  <c r="G5" i="78"/>
  <c r="L12" i="217"/>
  <c r="M10" i="220"/>
  <c r="M4" i="237"/>
  <c r="L4" i="237"/>
  <c r="K4" i="237"/>
  <c r="P4" i="237"/>
  <c r="O4" i="237"/>
  <c r="N4" i="237"/>
  <c r="O7" i="237"/>
  <c r="F8" i="237"/>
  <c r="H11" i="52"/>
  <c r="E4" i="210"/>
  <c r="L4" i="210"/>
  <c r="L11" i="210"/>
  <c r="K11" i="210"/>
  <c r="L26" i="289"/>
  <c r="I21" i="212"/>
  <c r="G21" i="212"/>
  <c r="E21" i="212"/>
  <c r="L21" i="212"/>
  <c r="D60" i="354"/>
  <c r="D59" i="354"/>
  <c r="G5" i="79"/>
  <c r="E5" i="79"/>
  <c r="C5" i="79"/>
  <c r="G20" i="79"/>
  <c r="E20" i="79"/>
  <c r="C20" i="79"/>
  <c r="E32" i="79"/>
  <c r="C32" i="79"/>
  <c r="M4" i="220"/>
  <c r="M15" i="220"/>
  <c r="F5" i="225"/>
  <c r="E5" i="225"/>
  <c r="O8" i="227"/>
  <c r="DF33" i="359"/>
  <c r="ED33" i="359"/>
  <c r="FB33" i="359"/>
  <c r="FZ33" i="359"/>
  <c r="GX33" i="359"/>
  <c r="HV33" i="359"/>
  <c r="F18" i="289"/>
  <c r="E18" i="289"/>
  <c r="L23" i="289"/>
  <c r="L27" i="289"/>
  <c r="D13" i="343"/>
  <c r="H36" i="346"/>
  <c r="I13" i="212"/>
  <c r="G13" i="212"/>
  <c r="E13" i="212"/>
  <c r="C14" i="212"/>
  <c r="L15" i="212"/>
  <c r="I15" i="212"/>
  <c r="G15" i="212"/>
  <c r="F12" i="275"/>
  <c r="E12" i="275"/>
  <c r="M12" i="29"/>
  <c r="E4" i="293"/>
  <c r="F4" i="293"/>
  <c r="G6" i="78"/>
  <c r="E6" i="78"/>
  <c r="C6" i="78"/>
  <c r="G10" i="79"/>
  <c r="E10" i="79"/>
  <c r="C10" i="79"/>
  <c r="G22" i="79"/>
  <c r="E22" i="79"/>
  <c r="C22" i="79"/>
  <c r="F13" i="215"/>
  <c r="E13" i="215"/>
  <c r="M33" i="359"/>
  <c r="AK33" i="359"/>
  <c r="BI33" i="359"/>
  <c r="CI33" i="359"/>
  <c r="F13" i="339"/>
  <c r="L30" i="289"/>
  <c r="K30" i="289"/>
  <c r="J30" i="289"/>
  <c r="D63" i="354"/>
  <c r="D81" i="354"/>
  <c r="M12" i="220"/>
  <c r="F5" i="223"/>
  <c r="E5" i="223"/>
  <c r="G14" i="345"/>
  <c r="E13" i="350"/>
  <c r="C9" i="212"/>
  <c r="G12" i="212"/>
  <c r="E12" i="212"/>
  <c r="C12" i="212"/>
  <c r="I14" i="212"/>
  <c r="G14" i="212"/>
  <c r="I29" i="212"/>
  <c r="G29" i="212"/>
  <c r="C32" i="212"/>
  <c r="Q6" i="279"/>
  <c r="Q16" i="279" s="1"/>
  <c r="K16" i="279"/>
  <c r="Q10" i="279"/>
  <c r="K16" i="280"/>
  <c r="Q14" i="280"/>
  <c r="G17" i="290"/>
  <c r="E7" i="78"/>
  <c r="G14" i="79"/>
  <c r="E14" i="79"/>
  <c r="C14" i="79"/>
  <c r="G31" i="79"/>
  <c r="E31" i="79"/>
  <c r="C31" i="79"/>
  <c r="G5" i="222"/>
  <c r="E15" i="222"/>
  <c r="F15" i="222" s="1"/>
  <c r="D10" i="227"/>
  <c r="E13" i="234"/>
  <c r="H12" i="234"/>
  <c r="D9" i="170"/>
  <c r="D17" i="72"/>
  <c r="L86" i="350"/>
  <c r="G20" i="212"/>
  <c r="E20" i="212"/>
  <c r="C20" i="212"/>
  <c r="K5" i="275"/>
  <c r="J5" i="275"/>
  <c r="BX6" i="310"/>
  <c r="P16" i="279"/>
  <c r="P16" i="280"/>
  <c r="H17" i="290"/>
  <c r="C17" i="282"/>
  <c r="D87" i="354"/>
  <c r="D86" i="354"/>
  <c r="B20" i="76"/>
  <c r="G8" i="79"/>
  <c r="E8" i="79"/>
  <c r="C8" i="79"/>
  <c r="E15" i="219"/>
  <c r="F15" i="219" s="1"/>
  <c r="K12" i="221"/>
  <c r="L9" i="221" s="1"/>
  <c r="I5" i="228"/>
  <c r="E8" i="229"/>
  <c r="AC16" i="237"/>
  <c r="H4" i="214"/>
  <c r="F10" i="214"/>
  <c r="D8" i="170"/>
  <c r="L5" i="210"/>
  <c r="D25" i="349"/>
  <c r="N54" i="350"/>
  <c r="N86" i="350" s="1"/>
  <c r="C8" i="212"/>
  <c r="I20" i="212"/>
  <c r="C31" i="212"/>
  <c r="BW6" i="310"/>
  <c r="Q7" i="279"/>
  <c r="Q7" i="280"/>
  <c r="I17" i="290"/>
  <c r="E17" i="282"/>
  <c r="D48" i="354"/>
  <c r="G18" i="79"/>
  <c r="E18" i="79"/>
  <c r="C18" i="79"/>
  <c r="G35" i="79"/>
  <c r="E35" i="79"/>
  <c r="C35" i="79"/>
  <c r="M16" i="220"/>
  <c r="U8" i="227"/>
  <c r="C8" i="237"/>
  <c r="J7" i="237"/>
  <c r="T12" i="275"/>
  <c r="C17" i="290"/>
  <c r="L17" i="290"/>
  <c r="E12" i="78"/>
  <c r="E14" i="78"/>
  <c r="H13" i="234"/>
  <c r="Q6" i="237"/>
  <c r="H9" i="214"/>
  <c r="C11" i="212"/>
  <c r="C19" i="212"/>
  <c r="C34" i="212"/>
  <c r="R13" i="275"/>
  <c r="R16" i="275"/>
  <c r="R18" i="275"/>
  <c r="R20" i="275"/>
  <c r="D17" i="290"/>
  <c r="M17" i="290"/>
  <c r="E8" i="293"/>
  <c r="E14" i="293"/>
  <c r="G28" i="79"/>
  <c r="E4" i="223"/>
  <c r="H8" i="227"/>
  <c r="E6" i="229"/>
  <c r="R6" i="237"/>
  <c r="I27" i="212"/>
  <c r="E34" i="212"/>
  <c r="T13" i="275"/>
  <c r="T16" i="275"/>
  <c r="T18" i="275"/>
  <c r="Q9" i="279"/>
  <c r="Q5" i="280"/>
  <c r="Q9" i="280"/>
  <c r="Q13" i="280"/>
  <c r="E17" i="290"/>
  <c r="N17" i="290"/>
  <c r="L3" i="221"/>
  <c r="C8" i="225"/>
  <c r="C10" i="225" s="1"/>
  <c r="C15" i="224"/>
  <c r="D7" i="223"/>
  <c r="E7" i="223" s="1"/>
  <c r="Q8" i="227"/>
  <c r="F13" i="185"/>
  <c r="E13" i="185" s="1"/>
  <c r="H3" i="207"/>
  <c r="F13" i="201"/>
  <c r="G4" i="40"/>
  <c r="D12" i="216"/>
  <c r="K7" i="225"/>
  <c r="J5" i="282"/>
  <c r="I7" i="282"/>
  <c r="H11" i="235"/>
  <c r="H12" i="235" s="1"/>
  <c r="I5" i="233"/>
  <c r="F9" i="229"/>
  <c r="F12" i="222"/>
  <c r="F5" i="219"/>
  <c r="G29" i="79"/>
  <c r="C29" i="79"/>
  <c r="G43" i="79"/>
  <c r="E29" i="79"/>
  <c r="I9" i="225"/>
  <c r="E28" i="212"/>
  <c r="L28" i="212"/>
  <c r="G28" i="212"/>
  <c r="I28" i="212"/>
  <c r="C29" i="212"/>
  <c r="L28" i="289"/>
  <c r="J28" i="289"/>
  <c r="O24" i="208"/>
  <c r="G13" i="185"/>
  <c r="C14" i="201"/>
  <c r="C14" i="200"/>
  <c r="C13" i="200"/>
  <c r="J7" i="242"/>
  <c r="J4" i="242"/>
  <c r="I6" i="242"/>
  <c r="N7" i="242"/>
  <c r="K4" i="242"/>
  <c r="M6" i="242"/>
  <c r="K8" i="242"/>
  <c r="G7" i="214"/>
  <c r="F7" i="240"/>
  <c r="E6" i="240"/>
  <c r="I4" i="232"/>
  <c r="J4" i="232"/>
  <c r="J5" i="232"/>
  <c r="K6" i="232"/>
  <c r="M4" i="232"/>
  <c r="K5" i="232"/>
  <c r="N4" i="232"/>
  <c r="N5" i="232"/>
  <c r="I4" i="231"/>
  <c r="F10" i="231"/>
  <c r="H7" i="228"/>
  <c r="H11" i="228"/>
  <c r="H8" i="228"/>
  <c r="J7" i="228"/>
  <c r="I8" i="228"/>
  <c r="I10" i="228"/>
  <c r="H12" i="228"/>
  <c r="L7" i="228"/>
  <c r="J8" i="228"/>
  <c r="H10" i="228"/>
  <c r="H4" i="228"/>
  <c r="J7" i="225"/>
  <c r="D7" i="225"/>
  <c r="D13" i="224"/>
  <c r="G9" i="222"/>
  <c r="F6" i="222"/>
  <c r="F8" i="222"/>
  <c r="F10" i="222"/>
  <c r="D8" i="223"/>
  <c r="F5" i="222"/>
  <c r="G13" i="222"/>
  <c r="J7" i="223"/>
  <c r="G6" i="219"/>
  <c r="G8" i="219"/>
  <c r="G10" i="219"/>
  <c r="G7" i="219"/>
  <c r="G9" i="219"/>
  <c r="G11" i="219"/>
  <c r="S5" i="217"/>
  <c r="C14" i="216"/>
  <c r="C9" i="230" s="1"/>
  <c r="E28" i="79"/>
  <c r="E5" i="293"/>
  <c r="K13" i="293"/>
  <c r="K12" i="293"/>
  <c r="F4" i="210"/>
  <c r="F5" i="210"/>
  <c r="H5" i="196"/>
  <c r="H6" i="196"/>
  <c r="Q6" i="196"/>
  <c r="H7" i="196"/>
  <c r="Q7" i="196"/>
  <c r="Q9" i="196"/>
  <c r="Q5" i="196"/>
  <c r="H8" i="196"/>
  <c r="P8" i="196"/>
  <c r="P7" i="196"/>
  <c r="Q8" i="196"/>
  <c r="H9" i="196"/>
  <c r="P5" i="196"/>
  <c r="P6" i="196"/>
  <c r="P9" i="196"/>
  <c r="E27" i="212"/>
  <c r="L27" i="212"/>
  <c r="J27" i="289"/>
  <c r="K27" i="289"/>
  <c r="F23" i="209"/>
  <c r="P23" i="208"/>
  <c r="F6" i="291"/>
  <c r="L6" i="291"/>
  <c r="G6" i="291"/>
  <c r="M6" i="291"/>
  <c r="E7" i="291"/>
  <c r="K7" i="291"/>
  <c r="E6" i="291"/>
  <c r="N4" i="287"/>
  <c r="G5" i="287"/>
  <c r="P5" i="287"/>
  <c r="P4" i="287"/>
  <c r="M5" i="287"/>
  <c r="G7" i="40"/>
  <c r="J9" i="227"/>
  <c r="Q9" i="227" s="1"/>
  <c r="I7" i="243"/>
  <c r="Q8" i="280"/>
  <c r="Q10" i="280"/>
  <c r="P15" i="290"/>
  <c r="Q5" i="279"/>
  <c r="N4" i="242"/>
  <c r="K5" i="242"/>
  <c r="L6" i="242"/>
  <c r="I7" i="242"/>
  <c r="M7" i="242"/>
  <c r="J8" i="242"/>
  <c r="N8" i="242"/>
  <c r="L5" i="242"/>
  <c r="L4" i="242"/>
  <c r="I5" i="242"/>
  <c r="M5" i="242"/>
  <c r="J6" i="242"/>
  <c r="N6" i="242"/>
  <c r="K7" i="242"/>
  <c r="L8" i="242"/>
  <c r="I4" i="242"/>
  <c r="J5" i="242"/>
  <c r="I8" i="242"/>
  <c r="J4" i="241"/>
  <c r="G4" i="241"/>
  <c r="F10" i="241"/>
  <c r="I10" i="241" s="1"/>
  <c r="H4" i="241"/>
  <c r="I6" i="214"/>
  <c r="G8" i="214"/>
  <c r="G6" i="214"/>
  <c r="G4" i="214"/>
  <c r="H6" i="214"/>
  <c r="H7" i="214"/>
  <c r="I4" i="214"/>
  <c r="H5" i="214"/>
  <c r="J7" i="214"/>
  <c r="I8" i="214"/>
  <c r="J4" i="214"/>
  <c r="I5" i="214"/>
  <c r="J8" i="214"/>
  <c r="J5" i="214"/>
  <c r="E4" i="240"/>
  <c r="F5" i="240"/>
  <c r="E8" i="240"/>
  <c r="F4" i="239"/>
  <c r="E7" i="239"/>
  <c r="F8" i="239"/>
  <c r="D11" i="239"/>
  <c r="E11" i="239" s="1"/>
  <c r="E6" i="239"/>
  <c r="E5" i="239"/>
  <c r="E9" i="239"/>
  <c r="J6" i="233"/>
  <c r="K7" i="233"/>
  <c r="M5" i="233"/>
  <c r="K6" i="233"/>
  <c r="N6" i="233"/>
  <c r="I6" i="233"/>
  <c r="K4" i="233"/>
  <c r="L5" i="233"/>
  <c r="M6" i="233"/>
  <c r="J7" i="233"/>
  <c r="N7" i="233"/>
  <c r="L4" i="233"/>
  <c r="I4" i="233"/>
  <c r="M4" i="233"/>
  <c r="J5" i="233"/>
  <c r="N5" i="233"/>
  <c r="L7" i="233"/>
  <c r="H8" i="233"/>
  <c r="N8" i="233" s="1"/>
  <c r="J4" i="233"/>
  <c r="I7" i="233"/>
  <c r="L6" i="232"/>
  <c r="H7" i="232"/>
  <c r="H8" i="232"/>
  <c r="N8" i="232" s="1"/>
  <c r="K4" i="232"/>
  <c r="L5" i="232"/>
  <c r="I6" i="232"/>
  <c r="M6" i="232"/>
  <c r="G10" i="232"/>
  <c r="I5" i="232"/>
  <c r="J6" i="232"/>
  <c r="G8" i="231"/>
  <c r="G7" i="231"/>
  <c r="H6" i="231"/>
  <c r="H7" i="231"/>
  <c r="G4" i="231"/>
  <c r="I6" i="231"/>
  <c r="J4" i="231"/>
  <c r="I5" i="231"/>
  <c r="J8" i="231"/>
  <c r="J5" i="231"/>
  <c r="H4" i="231"/>
  <c r="G5" i="231"/>
  <c r="J6" i="231"/>
  <c r="I7" i="231"/>
  <c r="H8" i="231"/>
  <c r="I9" i="226"/>
  <c r="J8" i="226"/>
  <c r="M5" i="226"/>
  <c r="I7" i="226"/>
  <c r="I5" i="226"/>
  <c r="N5" i="226"/>
  <c r="M7" i="226"/>
  <c r="K13" i="226"/>
  <c r="J5" i="226"/>
  <c r="J9" i="226"/>
  <c r="I11" i="226"/>
  <c r="J4" i="226"/>
  <c r="K5" i="226"/>
  <c r="K9" i="226"/>
  <c r="L6" i="228"/>
  <c r="J9" i="228"/>
  <c r="I4" i="228"/>
  <c r="H5" i="228"/>
  <c r="H6" i="228"/>
  <c r="L8" i="228"/>
  <c r="L9" i="228"/>
  <c r="J10" i="228"/>
  <c r="J11" i="228"/>
  <c r="J12" i="228"/>
  <c r="J4" i="228"/>
  <c r="J5" i="228"/>
  <c r="I6" i="228"/>
  <c r="L10" i="228"/>
  <c r="L11" i="228"/>
  <c r="L12" i="228"/>
  <c r="L4" i="228"/>
  <c r="L5" i="228"/>
  <c r="J6" i="228"/>
  <c r="H9" i="228"/>
  <c r="K5" i="228"/>
  <c r="K7" i="228"/>
  <c r="K9" i="228"/>
  <c r="K11" i="228"/>
  <c r="I12" i="228"/>
  <c r="C7" i="230"/>
  <c r="D7" i="230" s="1"/>
  <c r="G13" i="228"/>
  <c r="C8" i="230" s="1"/>
  <c r="K8" i="225"/>
  <c r="K10" i="225" s="1"/>
  <c r="E15" i="224"/>
  <c r="B8" i="225"/>
  <c r="B10" i="225" s="1"/>
  <c r="F15" i="224"/>
  <c r="B9" i="223"/>
  <c r="C9" i="223"/>
  <c r="G4" i="222"/>
  <c r="F7" i="222"/>
  <c r="F11" i="222"/>
  <c r="K7" i="223"/>
  <c r="G4" i="219"/>
  <c r="G5" i="219"/>
  <c r="G12" i="219"/>
  <c r="H4" i="219"/>
  <c r="H5" i="219"/>
  <c r="H6" i="219"/>
  <c r="H7" i="219"/>
  <c r="H8" i="219"/>
  <c r="H9" i="219"/>
  <c r="H10" i="219"/>
  <c r="H11" i="219"/>
  <c r="H12" i="219"/>
  <c r="N13" i="217"/>
  <c r="M5" i="217"/>
  <c r="M7" i="217"/>
  <c r="Q5" i="217"/>
  <c r="N7" i="217"/>
  <c r="M9" i="217"/>
  <c r="Q7" i="217"/>
  <c r="Q9" i="217"/>
  <c r="E27" i="79"/>
  <c r="G27" i="79"/>
  <c r="C27" i="79"/>
  <c r="I26" i="212"/>
  <c r="C27" i="212"/>
  <c r="E26" i="212"/>
  <c r="L26" i="212"/>
  <c r="J26" i="289"/>
  <c r="K26" i="289"/>
  <c r="K22" i="209"/>
  <c r="L22" i="209" s="1"/>
  <c r="G22" i="208"/>
  <c r="N22" i="208"/>
  <c r="R22" i="208"/>
  <c r="O27" i="208"/>
  <c r="O29" i="208"/>
  <c r="R28" i="208"/>
  <c r="R30" i="208"/>
  <c r="C37" i="95"/>
  <c r="K4" i="226"/>
  <c r="I6" i="226"/>
  <c r="M6" i="226"/>
  <c r="J7" i="226"/>
  <c r="N7" i="226"/>
  <c r="K8" i="226"/>
  <c r="L9" i="226"/>
  <c r="I10" i="226"/>
  <c r="M10" i="226"/>
  <c r="J11" i="226"/>
  <c r="N11" i="226"/>
  <c r="K12" i="226"/>
  <c r="L13" i="226"/>
  <c r="H7" i="227"/>
  <c r="R7" i="227"/>
  <c r="C10" i="227"/>
  <c r="L4" i="226"/>
  <c r="J6" i="226"/>
  <c r="N6" i="226"/>
  <c r="K7" i="226"/>
  <c r="L8" i="226"/>
  <c r="M9" i="226"/>
  <c r="J10" i="226"/>
  <c r="N10" i="226"/>
  <c r="K11" i="226"/>
  <c r="L12" i="226"/>
  <c r="I13" i="226"/>
  <c r="M13" i="226"/>
  <c r="P8" i="227"/>
  <c r="I4" i="226"/>
  <c r="M4" i="226"/>
  <c r="K6" i="226"/>
  <c r="I8" i="226"/>
  <c r="M8" i="226"/>
  <c r="K10" i="226"/>
  <c r="L11" i="226"/>
  <c r="I12" i="226"/>
  <c r="M12" i="226"/>
  <c r="J13" i="226"/>
  <c r="P7" i="227"/>
  <c r="T7" i="227"/>
  <c r="J12" i="226"/>
  <c r="U7" i="227"/>
  <c r="C9" i="238"/>
  <c r="H12" i="236"/>
  <c r="H13" i="236" s="1"/>
  <c r="E26" i="79"/>
  <c r="G26" i="79"/>
  <c r="C26" i="79"/>
  <c r="I16" i="282"/>
  <c r="C8" i="273"/>
  <c r="C12" i="273"/>
  <c r="C5" i="273"/>
  <c r="C9" i="273"/>
  <c r="C13" i="273"/>
  <c r="C6" i="273"/>
  <c r="C7" i="273"/>
  <c r="C11" i="273"/>
  <c r="C10" i="273"/>
  <c r="C26" i="212"/>
  <c r="E25" i="212"/>
  <c r="L25" i="212"/>
  <c r="G25" i="212"/>
  <c r="F25" i="289"/>
  <c r="L25" i="289"/>
  <c r="J25" i="289"/>
  <c r="G15" i="61"/>
  <c r="L21" i="209"/>
  <c r="F21" i="209"/>
  <c r="O21" i="208"/>
  <c r="P21" i="208"/>
  <c r="Q8" i="279"/>
  <c r="G24" i="212"/>
  <c r="C25" i="212"/>
  <c r="C24" i="212"/>
  <c r="E24" i="212"/>
  <c r="E24" i="289"/>
  <c r="K24" i="289"/>
  <c r="L24" i="289"/>
  <c r="K20" i="209"/>
  <c r="O20" i="208"/>
  <c r="P20" i="208"/>
  <c r="B10" i="209"/>
  <c r="E7" i="130"/>
  <c r="E11" i="130"/>
  <c r="E15" i="130"/>
  <c r="E8" i="130"/>
  <c r="E12" i="130"/>
  <c r="E9" i="130"/>
  <c r="E13" i="130"/>
  <c r="E10" i="130"/>
  <c r="E14" i="130"/>
  <c r="E10" i="75"/>
  <c r="I6" i="201"/>
  <c r="G4" i="201"/>
  <c r="D4" i="201"/>
  <c r="I12" i="201"/>
  <c r="I7" i="168"/>
  <c r="E7" i="168" s="1"/>
  <c r="D7" i="167"/>
  <c r="F11" i="168"/>
  <c r="G11" i="168"/>
  <c r="I8" i="168"/>
  <c r="E8" i="168" s="1"/>
  <c r="D8" i="167"/>
  <c r="G5" i="201"/>
  <c r="I5" i="201"/>
  <c r="D5" i="201"/>
  <c r="G7" i="201"/>
  <c r="I7" i="201"/>
  <c r="D7" i="201"/>
  <c r="G11" i="201"/>
  <c r="I11" i="201"/>
  <c r="D11" i="201"/>
  <c r="I5" i="168"/>
  <c r="E5" i="168" s="1"/>
  <c r="D5" i="167"/>
  <c r="I9" i="168"/>
  <c r="E9" i="168" s="1"/>
  <c r="D9" i="167"/>
  <c r="G9" i="201"/>
  <c r="I9" i="201"/>
  <c r="D9" i="201"/>
  <c r="I8" i="201"/>
  <c r="I10" i="201"/>
  <c r="I6" i="168"/>
  <c r="E6" i="168" s="1"/>
  <c r="D6" i="167"/>
  <c r="I10" i="168"/>
  <c r="E10" i="168" s="1"/>
  <c r="D10" i="167"/>
  <c r="F5" i="286"/>
  <c r="F6" i="286"/>
  <c r="F7" i="286"/>
  <c r="F8" i="286"/>
  <c r="F9" i="286"/>
  <c r="F10" i="286"/>
  <c r="F11" i="286"/>
  <c r="F12" i="286"/>
  <c r="F13" i="286"/>
  <c r="G6" i="201"/>
  <c r="G8" i="201"/>
  <c r="G10" i="201"/>
  <c r="G12" i="201"/>
  <c r="G14" i="201"/>
  <c r="E7" i="61"/>
  <c r="E8" i="61"/>
  <c r="E9" i="61"/>
  <c r="E10" i="61"/>
  <c r="E11" i="61"/>
  <c r="E12" i="61"/>
  <c r="G12" i="61" s="1"/>
  <c r="I14" i="201"/>
  <c r="H15" i="314"/>
  <c r="I15" i="314" s="1"/>
  <c r="H12" i="167"/>
  <c r="D5" i="286"/>
  <c r="D7" i="286"/>
  <c r="D9" i="286"/>
  <c r="D11" i="286"/>
  <c r="D6" i="201"/>
  <c r="D8" i="201"/>
  <c r="D10" i="201"/>
  <c r="D12" i="201"/>
  <c r="M15" i="314"/>
  <c r="E6" i="61"/>
  <c r="G6" i="61" s="1"/>
  <c r="J6" i="289"/>
  <c r="L6" i="289"/>
  <c r="D17" i="90"/>
  <c r="F6" i="289"/>
  <c r="K6" i="289"/>
  <c r="D28" i="95"/>
  <c r="D37" i="95" s="1"/>
  <c r="H10" i="78"/>
  <c r="S23" i="40"/>
  <c r="B37" i="95"/>
  <c r="P24" i="40"/>
  <c r="C7" i="40"/>
  <c r="C5" i="238"/>
  <c r="C6" i="238"/>
  <c r="H14" i="219"/>
  <c r="G25" i="79"/>
  <c r="C25" i="79"/>
  <c r="E25" i="79"/>
  <c r="E4" i="40"/>
  <c r="C4" i="40"/>
  <c r="E3" i="40"/>
  <c r="G3" i="40"/>
  <c r="E5" i="40"/>
  <c r="G5" i="40"/>
  <c r="N9" i="242"/>
  <c r="I9" i="242"/>
  <c r="I9" i="241"/>
  <c r="E9" i="240"/>
  <c r="D10" i="240"/>
  <c r="F10" i="240" s="1"/>
  <c r="F10" i="239"/>
  <c r="C4" i="238"/>
  <c r="C8" i="238"/>
  <c r="G14" i="219"/>
  <c r="C24" i="79"/>
  <c r="E24" i="79"/>
  <c r="G24" i="79"/>
  <c r="J14" i="293"/>
  <c r="Q11" i="280"/>
  <c r="Q6" i="280"/>
  <c r="Q12" i="280"/>
  <c r="K15" i="290"/>
  <c r="K14" i="290"/>
  <c r="P14" i="290"/>
  <c r="E12" i="271"/>
  <c r="F12" i="271"/>
  <c r="F9" i="271"/>
  <c r="E9" i="271"/>
  <c r="F13" i="271"/>
  <c r="E13" i="271"/>
  <c r="F10" i="271"/>
  <c r="E10" i="271"/>
  <c r="F14" i="271"/>
  <c r="E14" i="271"/>
  <c r="E11" i="271"/>
  <c r="F11" i="271"/>
  <c r="E15" i="271"/>
  <c r="F15" i="271"/>
  <c r="E23" i="212"/>
  <c r="L23" i="212"/>
  <c r="C23" i="212"/>
  <c r="G23" i="212"/>
  <c r="J23" i="289"/>
  <c r="E23" i="289"/>
  <c r="K23" i="289"/>
  <c r="C6" i="179"/>
  <c r="C13" i="177"/>
  <c r="C12" i="177"/>
  <c r="J11" i="52"/>
  <c r="K19" i="209"/>
  <c r="N19" i="208"/>
  <c r="C10" i="303"/>
  <c r="C4" i="303"/>
  <c r="C5" i="303"/>
  <c r="C8" i="303"/>
  <c r="C9" i="303"/>
  <c r="C7" i="303"/>
  <c r="C11" i="303"/>
  <c r="C12" i="303"/>
  <c r="C6" i="303"/>
  <c r="C4" i="316"/>
  <c r="C7" i="316"/>
  <c r="C8" i="316"/>
  <c r="C5" i="316"/>
  <c r="C9" i="316"/>
  <c r="C6" i="316"/>
  <c r="C11" i="316"/>
  <c r="C5" i="179"/>
  <c r="C8" i="179"/>
  <c r="C5" i="177"/>
  <c r="K18" i="209"/>
  <c r="L18" i="209" s="1"/>
  <c r="B14" i="209"/>
  <c r="E16" i="209"/>
  <c r="O18" i="208"/>
  <c r="P18" i="208"/>
  <c r="F10" i="208"/>
  <c r="G10" i="208" s="1"/>
  <c r="Q10" i="208"/>
  <c r="E10" i="209"/>
  <c r="L10" i="209" s="1"/>
  <c r="B16" i="209"/>
  <c r="B13" i="209"/>
  <c r="E14" i="209"/>
  <c r="L14" i="209" s="1"/>
  <c r="E17" i="209"/>
  <c r="L17" i="209" s="1"/>
  <c r="R11" i="206"/>
  <c r="G11" i="206"/>
  <c r="H11" i="206"/>
  <c r="K16" i="291"/>
  <c r="L16" i="291"/>
  <c r="G16" i="291"/>
  <c r="E16" i="291"/>
  <c r="O16" i="291"/>
  <c r="C14" i="130"/>
  <c r="C8" i="130"/>
  <c r="C12" i="130"/>
  <c r="C10" i="130"/>
  <c r="C7" i="130"/>
  <c r="C9" i="130"/>
  <c r="C11" i="130"/>
  <c r="C13" i="130"/>
  <c r="Q10" i="196"/>
  <c r="D15" i="201"/>
  <c r="D15" i="286"/>
  <c r="F15" i="61"/>
  <c r="D18" i="76"/>
  <c r="D6" i="76"/>
  <c r="D8" i="76"/>
  <c r="N9" i="227"/>
  <c r="U9" i="227" s="1"/>
  <c r="D9" i="76"/>
  <c r="M9" i="227"/>
  <c r="T9" i="227" s="1"/>
  <c r="L9" i="227"/>
  <c r="S9" i="227" s="1"/>
  <c r="D5" i="76"/>
  <c r="F12" i="76"/>
  <c r="J9" i="225"/>
  <c r="F5" i="76"/>
  <c r="F6" i="76"/>
  <c r="D7" i="76"/>
  <c r="D14" i="76"/>
  <c r="F14" i="76"/>
  <c r="F16" i="76"/>
  <c r="F18" i="76"/>
  <c r="K9" i="227"/>
  <c r="R9" i="227" s="1"/>
  <c r="F7" i="76"/>
  <c r="F11" i="76"/>
  <c r="F13" i="76"/>
  <c r="F15" i="76"/>
  <c r="I9" i="227"/>
  <c r="P9" i="227" s="1"/>
  <c r="H7" i="106"/>
  <c r="E8" i="106" s="1"/>
  <c r="C22" i="212"/>
  <c r="E22" i="212"/>
  <c r="L22" i="212"/>
  <c r="G22" i="212"/>
  <c r="I22" i="212"/>
  <c r="J12" i="65"/>
  <c r="F4" i="167"/>
  <c r="E4" i="167"/>
  <c r="I4" i="168"/>
  <c r="E4" i="168" s="1"/>
  <c r="F14" i="61"/>
  <c r="F13" i="61"/>
  <c r="F12" i="61"/>
  <c r="F6" i="61"/>
  <c r="F5" i="61"/>
  <c r="E15" i="210"/>
  <c r="F15" i="210"/>
  <c r="J34" i="289"/>
  <c r="L34" i="289"/>
  <c r="F22" i="289"/>
  <c r="L22" i="289"/>
  <c r="J22" i="289"/>
  <c r="L15" i="210"/>
  <c r="J9" i="242"/>
  <c r="K9" i="242"/>
  <c r="M9" i="242"/>
  <c r="H10" i="242"/>
  <c r="N10" i="242" s="1"/>
  <c r="H9" i="241"/>
  <c r="J9" i="241"/>
  <c r="G9" i="241"/>
  <c r="I9" i="214"/>
  <c r="J9" i="214"/>
  <c r="G9" i="214"/>
  <c r="E10" i="239"/>
  <c r="F11" i="239"/>
  <c r="I10" i="234"/>
  <c r="J9" i="233"/>
  <c r="I9" i="233"/>
  <c r="M9" i="233"/>
  <c r="N9" i="233"/>
  <c r="K9" i="233"/>
  <c r="J9" i="232"/>
  <c r="N9" i="232"/>
  <c r="K9" i="232"/>
  <c r="L9" i="232"/>
  <c r="I9" i="232"/>
  <c r="M9" i="232"/>
  <c r="J9" i="231"/>
  <c r="G9" i="231"/>
  <c r="H9" i="231"/>
  <c r="E9" i="229"/>
  <c r="D10" i="229"/>
  <c r="F10" i="229" s="1"/>
  <c r="E10" i="227"/>
  <c r="H9" i="227"/>
  <c r="L14" i="226"/>
  <c r="I14" i="226"/>
  <c r="M14" i="226"/>
  <c r="H15" i="226"/>
  <c r="J14" i="226"/>
  <c r="N14" i="226"/>
  <c r="J14" i="228"/>
  <c r="H14" i="228"/>
  <c r="L14" i="228"/>
  <c r="I14" i="228"/>
  <c r="K9" i="225"/>
  <c r="D9" i="225"/>
  <c r="F14" i="222"/>
  <c r="G14" i="222"/>
  <c r="I9" i="184"/>
  <c r="M9" i="184"/>
  <c r="E9" i="184"/>
  <c r="K8" i="157"/>
  <c r="F11" i="157"/>
  <c r="D11" i="157"/>
  <c r="L36" i="218"/>
  <c r="N5" i="217"/>
  <c r="R7" i="217"/>
  <c r="N9" i="217"/>
  <c r="L10" i="217"/>
  <c r="Q11" i="217"/>
  <c r="P12" i="217"/>
  <c r="Q13" i="217"/>
  <c r="R11" i="217"/>
  <c r="R13" i="217"/>
  <c r="R5" i="217"/>
  <c r="R9" i="217"/>
  <c r="M11" i="217"/>
  <c r="M13" i="217"/>
  <c r="N11" i="217"/>
  <c r="N4" i="217"/>
  <c r="R4" i="217"/>
  <c r="L5" i="217"/>
  <c r="P5" i="217"/>
  <c r="T5" i="217"/>
  <c r="N6" i="217"/>
  <c r="R6" i="217"/>
  <c r="L7" i="217"/>
  <c r="P7" i="217"/>
  <c r="T7" i="217"/>
  <c r="N8" i="217"/>
  <c r="R8" i="217"/>
  <c r="L9" i="217"/>
  <c r="P9" i="217"/>
  <c r="T9" i="217"/>
  <c r="N10" i="217"/>
  <c r="R10" i="217"/>
  <c r="L11" i="217"/>
  <c r="P11" i="217"/>
  <c r="T11" i="217"/>
  <c r="N12" i="217"/>
  <c r="R12" i="217"/>
  <c r="L13" i="217"/>
  <c r="P13" i="217"/>
  <c r="T13" i="217"/>
  <c r="O4" i="217"/>
  <c r="S4" i="217"/>
  <c r="O6" i="217"/>
  <c r="S6" i="217"/>
  <c r="O8" i="217"/>
  <c r="S8" i="217"/>
  <c r="O10" i="217"/>
  <c r="S10" i="217"/>
  <c r="O12" i="217"/>
  <c r="S12" i="217"/>
  <c r="K14" i="217"/>
  <c r="R14" i="217" s="1"/>
  <c r="L4" i="217"/>
  <c r="P4" i="217"/>
  <c r="T4" i="217"/>
  <c r="L6" i="217"/>
  <c r="P6" i="217"/>
  <c r="T6" i="217"/>
  <c r="L8" i="217"/>
  <c r="P8" i="217"/>
  <c r="T8" i="217"/>
  <c r="P10" i="217"/>
  <c r="T10" i="217"/>
  <c r="T12" i="217"/>
  <c r="M4" i="217"/>
  <c r="O5" i="217"/>
  <c r="M6" i="217"/>
  <c r="O7" i="217"/>
  <c r="M8" i="217"/>
  <c r="O9" i="217"/>
  <c r="M10" i="217"/>
  <c r="O11" i="217"/>
  <c r="M12" i="217"/>
  <c r="O13" i="217"/>
  <c r="F14" i="215"/>
  <c r="E14" i="215"/>
  <c r="C43" i="79"/>
  <c r="E23" i="79"/>
  <c r="G23" i="79"/>
  <c r="E15" i="78"/>
  <c r="C15" i="78"/>
  <c r="G15" i="78"/>
  <c r="K15" i="293"/>
  <c r="F6" i="282"/>
  <c r="F7" i="282"/>
  <c r="J7" i="282"/>
  <c r="I8" i="282"/>
  <c r="F5" i="282"/>
  <c r="F8" i="282"/>
  <c r="I9" i="282"/>
  <c r="I10" i="282"/>
  <c r="I11" i="282"/>
  <c r="I12" i="282"/>
  <c r="I13" i="282"/>
  <c r="I14" i="282"/>
  <c r="I15" i="282"/>
  <c r="I5" i="282"/>
  <c r="I6" i="282"/>
  <c r="F9" i="282"/>
  <c r="F10" i="282"/>
  <c r="F11" i="282"/>
  <c r="F12" i="282"/>
  <c r="F13" i="282"/>
  <c r="F14" i="282"/>
  <c r="F15" i="282"/>
  <c r="J16" i="282"/>
  <c r="Q15" i="280"/>
  <c r="P16" i="290"/>
  <c r="Q15" i="279"/>
  <c r="K16" i="290"/>
  <c r="C4" i="272"/>
  <c r="C8" i="315"/>
  <c r="C7" i="272"/>
  <c r="C8" i="272"/>
  <c r="C10" i="272"/>
  <c r="C6" i="272"/>
  <c r="C12" i="272"/>
  <c r="C5" i="272"/>
  <c r="C9" i="272"/>
  <c r="C13" i="272"/>
  <c r="C11" i="272"/>
  <c r="J5" i="274"/>
  <c r="E15" i="293"/>
  <c r="F16" i="201" l="1"/>
  <c r="D15" i="314"/>
  <c r="P6" i="208"/>
  <c r="N6" i="208"/>
  <c r="P7" i="208"/>
  <c r="N7" i="208"/>
  <c r="D38" i="256"/>
  <c r="D9" i="223"/>
  <c r="F9" i="223" s="1"/>
  <c r="M6" i="220"/>
  <c r="I38" i="256"/>
  <c r="H11" i="208"/>
  <c r="G15" i="219"/>
  <c r="H10" i="241"/>
  <c r="B24" i="293"/>
  <c r="K15" i="256"/>
  <c r="K14" i="256"/>
  <c r="K29" i="256"/>
  <c r="K24" i="256"/>
  <c r="K34" i="256"/>
  <c r="C13" i="185"/>
  <c r="L19" i="209"/>
  <c r="H15" i="219"/>
  <c r="F8" i="223"/>
  <c r="K7" i="237"/>
  <c r="R7" i="237"/>
  <c r="Q7" i="237"/>
  <c r="K27" i="256"/>
  <c r="J38" i="255"/>
  <c r="I38" i="255"/>
  <c r="H38" i="255"/>
  <c r="K36" i="255"/>
  <c r="K32" i="255"/>
  <c r="K28" i="255"/>
  <c r="K24" i="255"/>
  <c r="K20" i="255"/>
  <c r="K16" i="255"/>
  <c r="K12" i="255"/>
  <c r="K8" i="255"/>
  <c r="K4" i="255"/>
  <c r="C38" i="255"/>
  <c r="B38" i="255"/>
  <c r="K7" i="255"/>
  <c r="G38" i="255"/>
  <c r="K6" i="255"/>
  <c r="K22" i="255"/>
  <c r="K27" i="255"/>
  <c r="K11" i="255"/>
  <c r="D38" i="255"/>
  <c r="K34" i="255"/>
  <c r="G5" i="260"/>
  <c r="G8" i="260"/>
  <c r="G37" i="257"/>
  <c r="K8" i="256"/>
  <c r="C31" i="261"/>
  <c r="K13" i="256"/>
  <c r="P8" i="208"/>
  <c r="N8" i="208"/>
  <c r="G5" i="184"/>
  <c r="K5" i="184"/>
  <c r="K30" i="255"/>
  <c r="T4" i="40"/>
  <c r="E13" i="224"/>
  <c r="D15" i="224"/>
  <c r="D14" i="286"/>
  <c r="C14" i="286"/>
  <c r="C16" i="286" s="1"/>
  <c r="G10" i="241"/>
  <c r="I31" i="261"/>
  <c r="F15" i="215"/>
  <c r="E11" i="209"/>
  <c r="L11" i="209" s="1"/>
  <c r="K15" i="217"/>
  <c r="K30" i="256"/>
  <c r="K23" i="256"/>
  <c r="D16" i="354"/>
  <c r="D15" i="354"/>
  <c r="D14" i="354"/>
  <c r="C89" i="354"/>
  <c r="K3" i="184"/>
  <c r="C3" i="184"/>
  <c r="H10" i="227"/>
  <c r="J10" i="241"/>
  <c r="G15" i="222"/>
  <c r="L16" i="209"/>
  <c r="L20" i="209"/>
  <c r="E8" i="223"/>
  <c r="F7" i="223"/>
  <c r="L7" i="237"/>
  <c r="L8" i="221"/>
  <c r="L6" i="221"/>
  <c r="L7" i="221"/>
  <c r="L10" i="221"/>
  <c r="J8" i="237"/>
  <c r="H10" i="233"/>
  <c r="K10" i="233" s="1"/>
  <c r="K11" i="256"/>
  <c r="P8" i="40"/>
  <c r="X8" i="40"/>
  <c r="T8" i="40"/>
  <c r="K21" i="255"/>
  <c r="D31" i="261"/>
  <c r="G4" i="260"/>
  <c r="B38" i="264"/>
  <c r="J38" i="264"/>
  <c r="K33" i="264"/>
  <c r="K29" i="264"/>
  <c r="K25" i="264"/>
  <c r="K21" i="264"/>
  <c r="K17" i="264"/>
  <c r="K13" i="264"/>
  <c r="K9" i="264"/>
  <c r="K5" i="264"/>
  <c r="K37" i="264" s="1"/>
  <c r="K34" i="264"/>
  <c r="K20" i="264"/>
  <c r="K11" i="264"/>
  <c r="F38" i="264"/>
  <c r="K15" i="264"/>
  <c r="K6" i="264"/>
  <c r="E38" i="264"/>
  <c r="K28" i="264"/>
  <c r="K19" i="264"/>
  <c r="K10" i="264"/>
  <c r="C38" i="264"/>
  <c r="K23" i="264"/>
  <c r="K14" i="264"/>
  <c r="K27" i="264"/>
  <c r="K18" i="264"/>
  <c r="K22" i="264"/>
  <c r="K30" i="264"/>
  <c r="K35" i="264"/>
  <c r="K16" i="264"/>
  <c r="K26" i="264"/>
  <c r="K7" i="264"/>
  <c r="K31" i="264"/>
  <c r="K13" i="259"/>
  <c r="K9" i="259"/>
  <c r="K5" i="259"/>
  <c r="J15" i="259"/>
  <c r="D15" i="259"/>
  <c r="K6" i="259"/>
  <c r="K10" i="259"/>
  <c r="B15" i="259"/>
  <c r="K7" i="259"/>
  <c r="E15" i="259"/>
  <c r="K11" i="259"/>
  <c r="L5" i="221"/>
  <c r="L12" i="221" s="1"/>
  <c r="N11" i="208"/>
  <c r="P11" i="208"/>
  <c r="N9" i="208"/>
  <c r="P9" i="208"/>
  <c r="K6" i="256"/>
  <c r="O8" i="208"/>
  <c r="C5" i="184"/>
  <c r="F38" i="256"/>
  <c r="P4" i="40"/>
  <c r="K23" i="255"/>
  <c r="E15" i="215"/>
  <c r="E38" i="256"/>
  <c r="K32" i="256"/>
  <c r="K21" i="256"/>
  <c r="K16" i="256"/>
  <c r="K5" i="256"/>
  <c r="K36" i="256"/>
  <c r="K25" i="256"/>
  <c r="K9" i="256"/>
  <c r="K20" i="256"/>
  <c r="K4" i="256"/>
  <c r="J38" i="256"/>
  <c r="B38" i="256"/>
  <c r="K28" i="256"/>
  <c r="H38" i="256"/>
  <c r="G38" i="256"/>
  <c r="O10" i="208"/>
  <c r="F31" i="261"/>
  <c r="K27" i="261"/>
  <c r="K23" i="261"/>
  <c r="K19" i="261"/>
  <c r="K15" i="261"/>
  <c r="K11" i="261"/>
  <c r="K7" i="261"/>
  <c r="B31" i="261"/>
  <c r="J31" i="261"/>
  <c r="K29" i="261"/>
  <c r="K25" i="261"/>
  <c r="K21" i="261"/>
  <c r="K17" i="261"/>
  <c r="K26" i="261"/>
  <c r="K6" i="261"/>
  <c r="K5" i="261"/>
  <c r="K13" i="261"/>
  <c r="H31" i="261"/>
  <c r="K20" i="261"/>
  <c r="K10" i="261"/>
  <c r="K14" i="261"/>
  <c r="K12" i="261"/>
  <c r="K16" i="261"/>
  <c r="E31" i="261"/>
  <c r="K24" i="261"/>
  <c r="K9" i="261"/>
  <c r="K18" i="261"/>
  <c r="K28" i="261"/>
  <c r="K8" i="261"/>
  <c r="K22" i="261"/>
  <c r="M11" i="220"/>
  <c r="M17" i="220"/>
  <c r="M5" i="220"/>
  <c r="M22" i="220" s="1"/>
  <c r="M9" i="220"/>
  <c r="M21" i="220"/>
  <c r="M13" i="220"/>
  <c r="M7" i="220"/>
  <c r="I11" i="235"/>
  <c r="M8" i="220"/>
  <c r="E15" i="260"/>
  <c r="D15" i="260"/>
  <c r="F15" i="260"/>
  <c r="G6" i="260"/>
  <c r="G11" i="260"/>
  <c r="K31" i="256"/>
  <c r="G12" i="260"/>
  <c r="H4" i="208"/>
  <c r="G5" i="208"/>
  <c r="P5" i="208"/>
  <c r="M8" i="237"/>
  <c r="K17" i="256"/>
  <c r="Q16" i="280"/>
  <c r="G15" i="228"/>
  <c r="I15" i="228" s="1"/>
  <c r="C38" i="256"/>
  <c r="B15" i="260"/>
  <c r="K22" i="256"/>
  <c r="K7" i="256"/>
  <c r="M18" i="220"/>
  <c r="F17" i="282"/>
  <c r="K11" i="157"/>
  <c r="L8" i="237"/>
  <c r="M20" i="220"/>
  <c r="L11" i="221"/>
  <c r="O8" i="237"/>
  <c r="K5" i="255"/>
  <c r="P7" i="237"/>
  <c r="C15" i="260"/>
  <c r="G38" i="264"/>
  <c r="O9" i="208"/>
  <c r="K33" i="255"/>
  <c r="O7" i="208"/>
  <c r="K29" i="255"/>
  <c r="K4" i="259"/>
  <c r="K14" i="259" s="1"/>
  <c r="K17" i="255"/>
  <c r="K24" i="264"/>
  <c r="H38" i="264"/>
  <c r="O6" i="208"/>
  <c r="G10" i="78"/>
  <c r="H16" i="78"/>
  <c r="G16" i="78" s="1"/>
  <c r="C15" i="216"/>
  <c r="P17" i="290"/>
  <c r="K17" i="290"/>
  <c r="E7" i="225"/>
  <c r="I4" i="236"/>
  <c r="C10" i="78"/>
  <c r="E10" i="78"/>
  <c r="C16" i="200"/>
  <c r="F7" i="225"/>
  <c r="F13" i="224"/>
  <c r="F10" i="75"/>
  <c r="C10" i="238"/>
  <c r="M8" i="233"/>
  <c r="I8" i="233"/>
  <c r="L8" i="233"/>
  <c r="K8" i="233"/>
  <c r="J8" i="233"/>
  <c r="K7" i="232"/>
  <c r="J7" i="232"/>
  <c r="M7" i="232"/>
  <c r="I7" i="232"/>
  <c r="L7" i="232"/>
  <c r="H10" i="232"/>
  <c r="K8" i="232"/>
  <c r="J8" i="232"/>
  <c r="M8" i="232"/>
  <c r="I8" i="232"/>
  <c r="L8" i="232"/>
  <c r="N7" i="232"/>
  <c r="I13" i="228"/>
  <c r="D8" i="230"/>
  <c r="H13" i="228"/>
  <c r="K13" i="228"/>
  <c r="J13" i="228"/>
  <c r="L13" i="228"/>
  <c r="E9" i="225"/>
  <c r="J8" i="225"/>
  <c r="J10" i="225" s="1"/>
  <c r="D8" i="225"/>
  <c r="F8" i="225" s="1"/>
  <c r="F10" i="225" s="1"/>
  <c r="E16" i="78"/>
  <c r="C16" i="78"/>
  <c r="C14" i="273"/>
  <c r="I6" i="106"/>
  <c r="I4" i="106"/>
  <c r="C8" i="106"/>
  <c r="I5" i="106"/>
  <c r="I12" i="168"/>
  <c r="E12" i="168" s="1"/>
  <c r="D12" i="167"/>
  <c r="G11" i="61"/>
  <c r="F11" i="61"/>
  <c r="G7" i="61"/>
  <c r="F7" i="61"/>
  <c r="F10" i="168"/>
  <c r="G10" i="168"/>
  <c r="F5" i="168"/>
  <c r="G5" i="168"/>
  <c r="F8" i="168"/>
  <c r="G8" i="168"/>
  <c r="F7" i="168"/>
  <c r="G7" i="168"/>
  <c r="G10" i="61"/>
  <c r="F10" i="61"/>
  <c r="F6" i="167"/>
  <c r="E6" i="167"/>
  <c r="F9" i="167"/>
  <c r="E9" i="167"/>
  <c r="I13" i="201"/>
  <c r="I16" i="201" s="1"/>
  <c r="D13" i="201"/>
  <c r="G13" i="201"/>
  <c r="G9" i="61"/>
  <c r="F9" i="61"/>
  <c r="F16" i="286"/>
  <c r="F6" i="168"/>
  <c r="G6" i="168"/>
  <c r="F9" i="168"/>
  <c r="G9" i="168"/>
  <c r="G8" i="61"/>
  <c r="F8" i="61"/>
  <c r="F10" i="167"/>
  <c r="E10" i="167"/>
  <c r="N15" i="314"/>
  <c r="O15" i="314" s="1"/>
  <c r="F5" i="167"/>
  <c r="E5" i="167"/>
  <c r="F8" i="167"/>
  <c r="E8" i="167"/>
  <c r="F7" i="167"/>
  <c r="E7" i="167"/>
  <c r="L8" i="157"/>
  <c r="L11" i="157" s="1"/>
  <c r="J10" i="242"/>
  <c r="E10" i="240"/>
  <c r="I12" i="236"/>
  <c r="E10" i="229"/>
  <c r="D6" i="274"/>
  <c r="D8" i="106"/>
  <c r="B8" i="106"/>
  <c r="C9" i="179"/>
  <c r="C13" i="303"/>
  <c r="C12" i="316"/>
  <c r="C14" i="177"/>
  <c r="P10" i="208"/>
  <c r="H10" i="208"/>
  <c r="L17" i="291"/>
  <c r="M17" i="291"/>
  <c r="F17" i="291"/>
  <c r="G17" i="291"/>
  <c r="E16" i="130"/>
  <c r="C16" i="130"/>
  <c r="O9" i="227"/>
  <c r="Y23" i="227" s="1"/>
  <c r="G4" i="168"/>
  <c r="F4" i="168"/>
  <c r="M10" i="242"/>
  <c r="I10" i="242"/>
  <c r="K10" i="242"/>
  <c r="L10" i="242"/>
  <c r="J10" i="214"/>
  <c r="I10" i="214"/>
  <c r="H10" i="214"/>
  <c r="G10" i="214"/>
  <c r="I9" i="236"/>
  <c r="I5" i="236"/>
  <c r="I6" i="236"/>
  <c r="I10" i="236"/>
  <c r="I7" i="236"/>
  <c r="I11" i="236"/>
  <c r="I8" i="236"/>
  <c r="I4" i="235"/>
  <c r="I7" i="235"/>
  <c r="I10" i="235"/>
  <c r="I8" i="235"/>
  <c r="I5" i="235"/>
  <c r="I9" i="235"/>
  <c r="I6" i="235"/>
  <c r="I11" i="234"/>
  <c r="I5" i="234"/>
  <c r="I9" i="234"/>
  <c r="I7" i="234"/>
  <c r="I12" i="234"/>
  <c r="I4" i="234"/>
  <c r="I6" i="234"/>
  <c r="I8" i="234"/>
  <c r="J10" i="233"/>
  <c r="H10" i="231"/>
  <c r="G10" i="231"/>
  <c r="J10" i="231"/>
  <c r="I10" i="231"/>
  <c r="N15" i="226"/>
  <c r="J15" i="226"/>
  <c r="M15" i="226"/>
  <c r="L15" i="226"/>
  <c r="K15" i="226"/>
  <c r="I15" i="226"/>
  <c r="L15" i="228"/>
  <c r="K15" i="228"/>
  <c r="J15" i="228"/>
  <c r="F9" i="225"/>
  <c r="M36" i="218"/>
  <c r="P14" i="217"/>
  <c r="L14" i="217"/>
  <c r="T15" i="217"/>
  <c r="T14" i="217"/>
  <c r="S14" i="217"/>
  <c r="O14" i="217"/>
  <c r="Q14" i="217"/>
  <c r="N14" i="217"/>
  <c r="M14" i="217"/>
  <c r="D8" i="315"/>
  <c r="C14" i="272"/>
  <c r="C6" i="274"/>
  <c r="F6" i="274"/>
  <c r="B6" i="274"/>
  <c r="E6" i="274"/>
  <c r="I6" i="274"/>
  <c r="G6" i="274"/>
  <c r="H6" i="274"/>
  <c r="D76" i="354" l="1"/>
  <c r="D75" i="354" s="1"/>
  <c r="D88" i="354"/>
  <c r="D78" i="354"/>
  <c r="D71" i="354"/>
  <c r="D55" i="354"/>
  <c r="D39" i="354"/>
  <c r="D23" i="354"/>
  <c r="D41" i="354"/>
  <c r="D18" i="354"/>
  <c r="D82" i="354"/>
  <c r="D27" i="354"/>
  <c r="D33" i="354"/>
  <c r="D67" i="354"/>
  <c r="D50" i="354"/>
  <c r="D45" i="354"/>
  <c r="D20" i="354"/>
  <c r="D43" i="354"/>
  <c r="D80" i="354"/>
  <c r="D69" i="354"/>
  <c r="D10" i="354"/>
  <c r="D9" i="354" s="1"/>
  <c r="D29" i="354"/>
  <c r="D62" i="354"/>
  <c r="D85" i="354"/>
  <c r="D84" i="354" s="1"/>
  <c r="D31" i="354"/>
  <c r="D52" i="354"/>
  <c r="D64" i="354"/>
  <c r="D13" i="354"/>
  <c r="D12" i="354" s="1"/>
  <c r="D25" i="354"/>
  <c r="D36" i="354"/>
  <c r="D58" i="354"/>
  <c r="D47" i="354"/>
  <c r="K8" i="237"/>
  <c r="Q8" i="237"/>
  <c r="R8" i="237"/>
  <c r="E9" i="223"/>
  <c r="P8" i="237"/>
  <c r="D49" i="354"/>
  <c r="G14" i="260"/>
  <c r="M10" i="233"/>
  <c r="H15" i="228"/>
  <c r="I10" i="233"/>
  <c r="N10" i="233"/>
  <c r="K37" i="255"/>
  <c r="K37" i="256"/>
  <c r="K30" i="261"/>
  <c r="L10" i="233"/>
  <c r="N8" i="237"/>
  <c r="D10" i="225"/>
  <c r="C10" i="230"/>
  <c r="E8" i="225"/>
  <c r="E10" i="225" s="1"/>
  <c r="E14" i="216"/>
  <c r="E15" i="216" s="1"/>
  <c r="D14" i="216"/>
  <c r="K10" i="232"/>
  <c r="I10" i="232"/>
  <c r="N10" i="232"/>
  <c r="J10" i="232"/>
  <c r="L10" i="232"/>
  <c r="M10" i="232"/>
  <c r="E12" i="167"/>
  <c r="F12" i="167"/>
  <c r="G12" i="168"/>
  <c r="F12" i="168"/>
  <c r="J6" i="274"/>
  <c r="D9" i="230"/>
  <c r="I13" i="236"/>
  <c r="I12" i="235"/>
  <c r="I13" i="234"/>
  <c r="N17" i="218"/>
  <c r="N25" i="218"/>
  <c r="N7" i="218"/>
  <c r="N29" i="218"/>
  <c r="N8" i="218"/>
  <c r="N22" i="218"/>
  <c r="N32" i="218"/>
  <c r="N12" i="218"/>
  <c r="N6" i="218"/>
  <c r="N19" i="218"/>
  <c r="N27" i="218"/>
  <c r="N11" i="218"/>
  <c r="N33" i="218"/>
  <c r="N16" i="218"/>
  <c r="N24" i="218"/>
  <c r="N35" i="218"/>
  <c r="N31" i="218"/>
  <c r="N9" i="218"/>
  <c r="N21" i="218"/>
  <c r="N30" i="218"/>
  <c r="N13" i="218"/>
  <c r="N18" i="218"/>
  <c r="N26" i="218"/>
  <c r="N5" i="218"/>
  <c r="N15" i="218"/>
  <c r="N23" i="218"/>
  <c r="N34" i="218"/>
  <c r="N14" i="218"/>
  <c r="N20" i="218"/>
  <c r="N28" i="218"/>
  <c r="N10" i="218"/>
  <c r="N4" i="218"/>
  <c r="M15" i="217"/>
  <c r="Q15" i="217"/>
  <c r="P15" i="217"/>
  <c r="O15" i="217"/>
  <c r="S15" i="217"/>
  <c r="L15" i="217"/>
  <c r="R15" i="217"/>
  <c r="N15" i="217"/>
  <c r="B15" i="200" l="1"/>
  <c r="D15" i="200" s="1"/>
  <c r="E15" i="201"/>
  <c r="G15" i="201" s="1"/>
  <c r="D89" i="354"/>
  <c r="D61" i="354"/>
  <c r="D17" i="354"/>
  <c r="N36" i="218"/>
  <c r="J33" i="121" l="1"/>
  <c r="B28" i="121"/>
  <c r="B33" i="121" s="1"/>
  <c r="C19" i="72" l="1"/>
  <c r="H19" i="291" l="1"/>
</calcChain>
</file>

<file path=xl/comments1.xml><?xml version="1.0" encoding="utf-8"?>
<comments xmlns="http://schemas.openxmlformats.org/spreadsheetml/2006/main">
  <authors>
    <author>Gilma Gisselle Santana</author>
  </authors>
  <commentList>
    <comment ref="E3" authorId="0" shapeId="0">
      <text>
        <r>
          <rPr>
            <b/>
            <sz val="9"/>
            <color indexed="81"/>
            <rFont val="Tahoma"/>
            <family val="2"/>
          </rPr>
          <t>Gilma Gisselle Santana:</t>
        </r>
        <r>
          <rPr>
            <sz val="9"/>
            <color indexed="81"/>
            <rFont val="Tahoma"/>
            <family val="2"/>
          </rPr>
          <t xml:space="preserve">
 Art. 124.-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prestacines en dinero.</t>
        </r>
      </text>
    </comment>
  </commentList>
</comments>
</file>

<file path=xl/comments10.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11.xml><?xml version="1.0" encoding="utf-8"?>
<comments xmlns="http://schemas.openxmlformats.org/spreadsheetml/2006/main">
  <authors>
    <author>Gilma Gisselle Santana</author>
  </authors>
  <commentList>
    <comment ref="C14" authorId="0" shapeId="0">
      <text>
        <r>
          <rPr>
            <b/>
            <sz val="9"/>
            <color indexed="81"/>
            <rFont val="Tahoma"/>
            <family val="2"/>
          </rPr>
          <t>Gilma Gisselle Santana:</t>
        </r>
        <r>
          <rPr>
            <sz val="9"/>
            <color indexed="81"/>
            <rFont val="Tahoma"/>
            <family val="2"/>
          </rPr>
          <t xml:space="preserve">
Falta los datos de octubre, noviembre y diciembre.</t>
        </r>
      </text>
    </comment>
    <comment ref="C15" authorId="0" shapeId="0">
      <text>
        <r>
          <rPr>
            <b/>
            <sz val="9"/>
            <color indexed="81"/>
            <rFont val="Tahoma"/>
            <family val="2"/>
          </rPr>
          <t>Gilma Gisselle Santana:</t>
        </r>
        <r>
          <rPr>
            <sz val="9"/>
            <color indexed="81"/>
            <rFont val="Tahoma"/>
            <family val="2"/>
          </rPr>
          <t xml:space="preserve">
Este dato es una proyeccion, sera actualizado una vez la SIPEN publique.</t>
        </r>
      </text>
    </comment>
  </commentList>
</comments>
</file>

<file path=xl/comments12.xml><?xml version="1.0" encoding="utf-8"?>
<comments xmlns="http://schemas.openxmlformats.org/spreadsheetml/2006/main">
  <authors>
    <author>Gilma Gisselle Santana</author>
  </authors>
  <commentList>
    <comment ref="B14" authorId="0" shapeId="0">
      <text>
        <r>
          <rPr>
            <b/>
            <sz val="9"/>
            <color indexed="81"/>
            <rFont val="Tahoma"/>
            <family val="2"/>
          </rPr>
          <t>Gilma Gisselle Santana:</t>
        </r>
        <r>
          <rPr>
            <sz val="9"/>
            <color indexed="81"/>
            <rFont val="Tahoma"/>
            <family val="2"/>
          </rPr>
          <t xml:space="preserve">
Este dato esta a octubre 2013</t>
        </r>
      </text>
    </comment>
  </commentList>
</comments>
</file>

<file path=xl/comments13.xml><?xml version="1.0" encoding="utf-8"?>
<comments xmlns="http://schemas.openxmlformats.org/spreadsheetml/2006/main">
  <authors>
    <author>Gilma Gisselle Santana</author>
  </authors>
  <commentList>
    <comment ref="B9" authorId="0" shapeId="0">
      <text>
        <r>
          <rPr>
            <b/>
            <sz val="9"/>
            <color indexed="81"/>
            <rFont val="Tahoma"/>
            <family val="2"/>
          </rPr>
          <t>Gilma Gisselle Santana:</t>
        </r>
        <r>
          <rPr>
            <sz val="9"/>
            <color indexed="81"/>
            <rFont val="Tahoma"/>
            <family val="2"/>
          </rPr>
          <t xml:space="preserve">
Dato del Banco Central octubre 2013</t>
        </r>
      </text>
    </comment>
  </commentList>
</comments>
</file>

<file path=xl/comments14.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15.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16.xml><?xml version="1.0" encoding="utf-8"?>
<comments xmlns="http://schemas.openxmlformats.org/spreadsheetml/2006/main">
  <authors>
    <author>yessica.soto</author>
    <author>Gilma Gisselle Santana</author>
  </authors>
  <commentList>
    <comment ref="C3" authorId="0" shapeId="0">
      <text>
        <r>
          <rPr>
            <b/>
            <sz val="8"/>
            <color indexed="81"/>
            <rFont val="Tahoma"/>
            <family val="2"/>
          </rPr>
          <t>yessica.soto:</t>
        </r>
        <r>
          <rPr>
            <sz val="8"/>
            <color indexed="81"/>
            <rFont val="Tahoma"/>
            <family val="2"/>
          </rPr>
          <t xml:space="preserve">
PENDIENTES DE CERT, IMPOSIBLE DAR RESPUESTAS SIN LAS MISMAS</t>
        </r>
      </text>
    </comment>
    <comment ref="D3" authorId="1" shapeId="0">
      <text>
        <r>
          <rPr>
            <b/>
            <sz val="9"/>
            <color indexed="81"/>
            <rFont val="Tahoma"/>
            <family val="2"/>
          </rPr>
          <t>Gilma Gisselle Santana:</t>
        </r>
        <r>
          <rPr>
            <sz val="9"/>
            <color indexed="81"/>
            <rFont val="Tahoma"/>
            <family val="2"/>
          </rPr>
          <t xml:space="preserve">
Completivo de documentación requerida.  Cuando un expediente no viene completo se devuelve, luego de completa.
</t>
        </r>
      </text>
    </comment>
    <comment ref="E3" authorId="1" shapeId="0">
      <text>
        <r>
          <rPr>
            <b/>
            <sz val="9"/>
            <color indexed="81"/>
            <rFont val="Tahoma"/>
            <family val="2"/>
          </rPr>
          <t>Gilma Gisselle Santana:</t>
        </r>
        <r>
          <rPr>
            <sz val="9"/>
            <color indexed="81"/>
            <rFont val="Tahoma"/>
            <family val="2"/>
          </rPr>
          <t xml:space="preserve">
Cuando persona recibe ayuda humanitaria, como recibe ayuda del estado España solicitan información de algun tipo de pension o ayuda en RD.  IMSS, nueva información de expediente cerrados, cambio de domicilio, etc.</t>
        </r>
      </text>
    </comment>
    <comment ref="F3" authorId="1" shapeId="0">
      <text>
        <r>
          <rPr>
            <b/>
            <sz val="9"/>
            <color indexed="81"/>
            <rFont val="Tahoma"/>
            <family val="2"/>
          </rPr>
          <t>Gilma Gisselle Santana:</t>
        </r>
        <r>
          <rPr>
            <sz val="9"/>
            <color indexed="81"/>
            <rFont val="Tahoma"/>
            <family val="2"/>
          </rPr>
          <t xml:space="preserve">
Recursos de reconsideración a España, solicitud de estatus, información de estatus, etc. </t>
        </r>
      </text>
    </comment>
    <comment ref="G3" authorId="1" shapeId="0">
      <text>
        <r>
          <rPr>
            <b/>
            <sz val="9"/>
            <color indexed="81"/>
            <rFont val="Tahoma"/>
            <family val="2"/>
          </rPr>
          <t>Gilma Gisselle Santana:</t>
        </r>
        <r>
          <rPr>
            <sz val="9"/>
            <color indexed="81"/>
            <rFont val="Tahoma"/>
            <family val="2"/>
          </rPr>
          <t xml:space="preserve">
Son los que se tramitan a España con la documenta ción requerida y respuesta.  Son las solicitudes de pensiones de las diferentes tipos de pensiones de España.</t>
        </r>
      </text>
    </comment>
    <comment ref="H3" authorId="1" shapeId="0">
      <text>
        <r>
          <rPr>
            <b/>
            <sz val="9"/>
            <color indexed="81"/>
            <rFont val="Tahoma"/>
            <family val="2"/>
          </rPr>
          <t xml:space="preserve">Gilma Gisselle Santana: </t>
        </r>
        <r>
          <rPr>
            <sz val="9"/>
            <color indexed="81"/>
            <rFont val="Tahoma"/>
            <family val="2"/>
          </rPr>
          <t>es un ciudadano que cotiza en España o RD. Pero no quiere cotizar en el pais donde recide.</t>
        </r>
      </text>
    </comment>
  </commentList>
</comments>
</file>

<file path=xl/comments2.xml><?xml version="1.0" encoding="utf-8"?>
<comments xmlns="http://schemas.openxmlformats.org/spreadsheetml/2006/main">
  <authors>
    <author>beliza.rivas</author>
  </authors>
  <commentList>
    <comment ref="F8"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3.xml><?xml version="1.0" encoding="utf-8"?>
<comments xmlns="http://schemas.openxmlformats.org/spreadsheetml/2006/main">
  <authors>
    <author>Gilma Gisselle Santana</author>
  </authors>
  <commentList>
    <comment ref="D15" authorId="0" shapeId="0">
      <text>
        <r>
          <rPr>
            <b/>
            <sz val="9"/>
            <color indexed="81"/>
            <rFont val="Tahoma"/>
            <family val="2"/>
          </rPr>
          <t>Gilma Gisselle Santana:</t>
        </r>
        <r>
          <rPr>
            <sz val="9"/>
            <color indexed="81"/>
            <rFont val="Tahoma"/>
            <family val="2"/>
          </rPr>
          <t xml:space="preserve">
Tasa no ajustada por la Mepyd.  Dicha base sera actualizada una vez que la MEPYC publique.</t>
        </r>
      </text>
    </comment>
  </commentList>
</comments>
</file>

<file path=xl/comments4.xml><?xml version="1.0" encoding="utf-8"?>
<comments xmlns="http://schemas.openxmlformats.org/spreadsheetml/2006/main">
  <authors>
    <author>beliza.rivas</author>
  </authors>
  <commentList>
    <comment ref="B12"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comments5.xml><?xml version="1.0" encoding="utf-8"?>
<comments xmlns="http://schemas.openxmlformats.org/spreadsheetml/2006/main">
  <authors>
    <author xml:space="preserve"> </author>
  </authors>
  <commentList>
    <comment ref="C25" authorId="0" shapeId="0">
      <text>
        <r>
          <rPr>
            <b/>
            <sz val="8"/>
            <color indexed="81"/>
            <rFont val="Tahoma"/>
            <family val="2"/>
          </rPr>
          <t xml:space="preserve"> :</t>
        </r>
        <r>
          <rPr>
            <sz val="8"/>
            <color indexed="81"/>
            <rFont val="Tahoma"/>
            <family val="2"/>
          </rPr>
          <t xml:space="preserve">
Incluye RD$282,000.00 por conceto de pago retroactivo de 141 niños </t>
        </r>
      </text>
    </comment>
    <comment ref="C26" authorId="0" shapeId="0">
      <text>
        <r>
          <rPr>
            <b/>
            <sz val="8"/>
            <color indexed="81"/>
            <rFont val="Tahoma"/>
            <family val="2"/>
          </rPr>
          <t xml:space="preserve"> :</t>
        </r>
        <r>
          <rPr>
            <sz val="8"/>
            <color indexed="81"/>
            <rFont val="Tahoma"/>
            <family val="2"/>
          </rPr>
          <t xml:space="preserve">
Incluye RD$94,000.00 por concepto de pago retroactivo de 47 niños</t>
        </r>
      </text>
    </comment>
    <comment ref="C27" authorId="0" shapeId="0">
      <text>
        <r>
          <rPr>
            <b/>
            <sz val="8"/>
            <color indexed="81"/>
            <rFont val="Tahoma"/>
            <family val="2"/>
          </rPr>
          <t xml:space="preserve"> :</t>
        </r>
        <r>
          <rPr>
            <sz val="8"/>
            <color indexed="81"/>
            <rFont val="Tahoma"/>
            <family val="2"/>
          </rPr>
          <t xml:space="preserve">
Incluye RD$122,000.00 por concepto de pago retroactivo por 61 niños </t>
        </r>
      </text>
    </comment>
    <comment ref="C28" authorId="0" shapeId="0">
      <text>
        <r>
          <rPr>
            <b/>
            <sz val="8"/>
            <color indexed="81"/>
            <rFont val="Tahoma"/>
            <family val="2"/>
          </rPr>
          <t xml:space="preserve"> :</t>
        </r>
        <r>
          <rPr>
            <sz val="8"/>
            <color indexed="81"/>
            <rFont val="Tahoma"/>
            <family val="2"/>
          </rPr>
          <t xml:space="preserve">
Incluye RD$150,000.00 por concepto de pago retroactivo de 75 niños</t>
        </r>
      </text>
    </comment>
  </commentList>
</comments>
</file>

<file path=xl/comments6.xml><?xml version="1.0" encoding="utf-8"?>
<comments xmlns="http://schemas.openxmlformats.org/spreadsheetml/2006/main">
  <authors>
    <author>beliza.rivas</author>
  </authors>
  <commentList>
    <comment ref="E12"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comments7.xml><?xml version="1.0" encoding="utf-8"?>
<comments xmlns="http://schemas.openxmlformats.org/spreadsheetml/2006/main">
  <authors>
    <author>Gilma Gisselle Santana</author>
  </authors>
  <commentList>
    <comment ref="B8" authorId="0" shapeId="0">
      <text>
        <r>
          <rPr>
            <b/>
            <sz val="9"/>
            <color indexed="81"/>
            <rFont val="Tahoma"/>
            <family val="2"/>
          </rPr>
          <t>Gilma Gisselle Santana:</t>
        </r>
        <r>
          <rPr>
            <sz val="9"/>
            <color indexed="81"/>
            <rFont val="Tahoma"/>
            <family val="2"/>
          </rPr>
          <t xml:space="preserve">
Este dato es a abril 2014.</t>
        </r>
      </text>
    </comment>
  </commentList>
</comments>
</file>

<file path=xl/comments8.xml><?xml version="1.0" encoding="utf-8"?>
<comments xmlns="http://schemas.openxmlformats.org/spreadsheetml/2006/main">
  <authors>
    <author>Gilma Gisselle Santana</author>
  </authors>
  <commentList>
    <comment ref="H14" authorId="0" shapeId="0">
      <text>
        <r>
          <rPr>
            <b/>
            <sz val="14"/>
            <color indexed="81"/>
            <rFont val="Tahoma"/>
            <family val="2"/>
          </rPr>
          <t>Gilma Gisselle Santana:</t>
        </r>
        <r>
          <rPr>
            <sz val="14"/>
            <color indexed="81"/>
            <rFont val="Tahoma"/>
            <family val="2"/>
          </rPr>
          <t xml:space="preserve">
Este dato es abril 2012, los datos anteriores es a octubre </t>
        </r>
      </text>
    </comment>
  </commentList>
</comments>
</file>

<file path=xl/comments9.xml><?xml version="1.0" encoding="utf-8"?>
<comments xmlns="http://schemas.openxmlformats.org/spreadsheetml/2006/main">
  <authors>
    <author xml:space="preserve"> </author>
  </authors>
  <commentList>
    <comment ref="B11" authorId="0" shapeId="0">
      <text>
        <r>
          <rPr>
            <b/>
            <sz val="8"/>
            <color indexed="81"/>
            <rFont val="Tahoma"/>
            <family val="2"/>
          </rPr>
          <t xml:space="preserve"> :</t>
        </r>
        <r>
          <rPr>
            <sz val="8"/>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sharedStrings.xml><?xml version="1.0" encoding="utf-8"?>
<sst xmlns="http://schemas.openxmlformats.org/spreadsheetml/2006/main" count="4862" uniqueCount="2032">
  <si>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</si>
  <si>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</si>
  <si>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</si>
  <si>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</si>
  <si>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</si>
  <si>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</si>
  <si>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</si>
  <si>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</si>
  <si>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</si>
  <si>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</si>
  <si>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</si>
  <si>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</si>
  <si>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</si>
  <si>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</si>
  <si>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</si>
  <si>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</si>
  <si>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</si>
  <si>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</si>
  <si>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</si>
  <si>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</si>
  <si>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</si>
  <si>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</si>
  <si>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</si>
  <si>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</si>
  <si>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</si>
  <si>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</si>
  <si>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Afiliación SDSS  (TSS)</t>
  </si>
  <si>
    <t>Población Total*</t>
  </si>
  <si>
    <t>Dic. 2003</t>
  </si>
  <si>
    <t>Dic. 2004</t>
  </si>
  <si>
    <t>Dic. 2005</t>
  </si>
  <si>
    <t>Dic. 2006</t>
  </si>
  <si>
    <t>Dic. 2007</t>
  </si>
  <si>
    <t>Dic. 2008</t>
  </si>
  <si>
    <t>Dic. 2009</t>
  </si>
  <si>
    <t>Tasa de incremento  promedio</t>
  </si>
  <si>
    <t xml:space="preserve"> </t>
  </si>
  <si>
    <t>Afiliación SDSS</t>
  </si>
  <si>
    <t>Población Total</t>
  </si>
  <si>
    <t>Dic.  2012</t>
  </si>
  <si>
    <t>Dic.  2013</t>
  </si>
  <si>
    <t>Dic.  2014</t>
  </si>
  <si>
    <t>Dic.  2015</t>
  </si>
  <si>
    <t>Dic.  2016</t>
  </si>
  <si>
    <t>Dic.  2017</t>
  </si>
  <si>
    <t>Dic.  2018</t>
  </si>
  <si>
    <t>Dispersión</t>
  </si>
  <si>
    <t>Totales</t>
  </si>
  <si>
    <t>%</t>
  </si>
  <si>
    <t>Cuidado de la Salud</t>
  </si>
  <si>
    <t>Cotizantes</t>
  </si>
  <si>
    <t>Período</t>
  </si>
  <si>
    <t>Meses</t>
  </si>
  <si>
    <t>Fecha</t>
  </si>
  <si>
    <t>Masculino</t>
  </si>
  <si>
    <t>Femenino</t>
  </si>
  <si>
    <t xml:space="preserve"> Dic-03  </t>
  </si>
  <si>
    <t xml:space="preserve"> Dic-04  </t>
  </si>
  <si>
    <t xml:space="preserve"> Dic-05  </t>
  </si>
  <si>
    <t xml:space="preserve"> Dic-06  </t>
  </si>
  <si>
    <t xml:space="preserve"> Dic-07  </t>
  </si>
  <si>
    <t xml:space="preserve"> Dic-08  </t>
  </si>
  <si>
    <t xml:space="preserve"> Dic-09  </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</si>
  <si>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</si>
  <si>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</si>
  <si>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</si>
  <si>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</si>
  <si>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</si>
  <si>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</si>
  <si>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</si>
  <si>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</si>
  <si>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</si>
  <si>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</si>
  <si>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</si>
  <si>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</si>
  <si>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</si>
  <si>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</si>
  <si>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</si>
  <si>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</si>
  <si>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</si>
  <si>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</si>
  <si>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</si>
  <si>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</si>
  <si>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</si>
  <si>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</si>
  <si>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</si>
  <si>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</si>
  <si>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</si>
  <si>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</si>
  <si>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</si>
  <si>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</si>
  <si>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</si>
  <si>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</si>
  <si>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</si>
  <si>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</si>
  <si>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</si>
  <si>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</si>
  <si>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</si>
  <si>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</si>
  <si>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</si>
  <si>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</si>
  <si>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</si>
  <si>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</si>
  <si>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</si>
  <si>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</si>
  <si>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</si>
  <si>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</si>
  <si>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</si>
  <si>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</si>
  <si>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</si>
  <si>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</si>
  <si>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</si>
  <si>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</si>
  <si>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</si>
  <si>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</si>
  <si>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Indice dependencia</t>
  </si>
  <si>
    <t xml:space="preserve">FONAMAT </t>
  </si>
  <si>
    <t xml:space="preserve">Subsidios </t>
  </si>
  <si>
    <t>Comisión SISALRIL</t>
  </si>
  <si>
    <t>Estancias Infantiles</t>
  </si>
  <si>
    <t>ARS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</si>
  <si>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</si>
  <si>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</si>
  <si>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</si>
  <si>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</si>
  <si>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</si>
  <si>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</si>
  <si>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</si>
  <si>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</si>
  <si>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</si>
  <si>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</si>
  <si>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</si>
  <si>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</si>
  <si>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</si>
  <si>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</si>
  <si>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</si>
  <si>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</si>
  <si>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</si>
  <si>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 xml:space="preserve">Aporte Gobierno </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</si>
  <si>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</si>
  <si>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</si>
  <si>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</si>
  <si>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</si>
  <si>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</si>
  <si>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</si>
  <si>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</si>
  <si>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</si>
  <si>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</si>
  <si>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</si>
  <si>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</si>
  <si>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</si>
  <si>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</si>
  <si>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</si>
  <si>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Construcción</t>
  </si>
  <si>
    <t>Comercio</t>
  </si>
  <si>
    <t>Distrito Nacional</t>
  </si>
  <si>
    <t>Santo Domingo</t>
  </si>
  <si>
    <t>Total Prestaciones Económicas</t>
  </si>
  <si>
    <t>Pago de Gastos Médicos y Programa de Prevención de Riesgos</t>
  </si>
  <si>
    <t>Prestaciones En Especie (Gastos Médicos)</t>
  </si>
  <si>
    <t>Pago Pensión por Discapacidad Permanente</t>
  </si>
  <si>
    <t>No. de Pensiones</t>
  </si>
  <si>
    <t xml:space="preserve"> Pago Promedio Pensión</t>
  </si>
  <si>
    <t>Pago Subsidio por Discapacidad Temporal</t>
  </si>
  <si>
    <t xml:space="preserve"> Pago Promedio </t>
  </si>
  <si>
    <t>Recaudo</t>
  </si>
  <si>
    <t xml:space="preserve"> Solicitudes de Evaluación</t>
  </si>
  <si>
    <t xml:space="preserve">Total </t>
  </si>
  <si>
    <t>ARS SS</t>
  </si>
  <si>
    <t>Estancias Infantiles (EI)</t>
  </si>
  <si>
    <t>Hombres %</t>
  </si>
  <si>
    <t>Mujeres %</t>
  </si>
  <si>
    <t>Total por Año</t>
  </si>
  <si>
    <t>Otros</t>
  </si>
  <si>
    <t>12B</t>
  </si>
  <si>
    <t>Pensión por Sobrevivencia SRL</t>
  </si>
  <si>
    <t xml:space="preserve">No.de Pensiones </t>
  </si>
  <si>
    <t xml:space="preserve">No. de Beneficiarios  </t>
  </si>
  <si>
    <t xml:space="preserve"> Pago Promedio por Pensión</t>
  </si>
  <si>
    <t>Pago Indemnización por Pérdida de Miembros</t>
  </si>
  <si>
    <t xml:space="preserve">No. de Indemnizaciones  </t>
  </si>
  <si>
    <t>Total NN atendidos por el IDSS</t>
  </si>
  <si>
    <t>NN información levantadas por AEISS</t>
  </si>
  <si>
    <t>NN validados por AEISS</t>
  </si>
  <si>
    <t>Total registros base de datos</t>
  </si>
  <si>
    <t>Datos Generales del Sistema Dominicano de Seguridad Social (SDSS)</t>
  </si>
  <si>
    <t>2002</t>
  </si>
  <si>
    <t xml:space="preserve"> 2010</t>
  </si>
  <si>
    <t>SRL DISPERSION</t>
  </si>
  <si>
    <r>
      <t xml:space="preserve">Nota: </t>
    </r>
    <r>
      <rPr>
        <sz val="10"/>
        <color indexed="8"/>
        <rFont val="Calibri"/>
        <family val="2"/>
      </rPr>
      <t>No tenemos información actualizada a la fecha.</t>
    </r>
  </si>
  <si>
    <t>Afiliados Titulares</t>
  </si>
  <si>
    <t>Afiliados Totales</t>
  </si>
  <si>
    <t>Afiliados Dependientes</t>
  </si>
  <si>
    <t>% Afiliados Titulares/ Afiliados Totales</t>
  </si>
  <si>
    <t>% Afiliados Dependientes/ Afiliados Totales</t>
  </si>
  <si>
    <t>Mes</t>
  </si>
  <si>
    <t>Ministerio de Hacienda</t>
  </si>
  <si>
    <t>Total / Mes</t>
  </si>
  <si>
    <t>Población Pobre del País</t>
  </si>
  <si>
    <t xml:space="preserve">% Afiliados Titulares </t>
  </si>
  <si>
    <t>Indice Dependencia</t>
  </si>
  <si>
    <t xml:space="preserve"> % Afiliados Dependientes</t>
  </si>
  <si>
    <t xml:space="preserve"> Dispersión a SENASA </t>
  </si>
  <si>
    <t>Dispersión a SENASA</t>
  </si>
  <si>
    <t>UCEMED</t>
  </si>
  <si>
    <t xml:space="preserve">BMI </t>
  </si>
  <si>
    <t>IGMAM</t>
  </si>
  <si>
    <t>Serv. de Igualas Méd. Dr. Abel</t>
  </si>
  <si>
    <t>Monto pagado</t>
  </si>
  <si>
    <t>N/D</t>
  </si>
  <si>
    <t>Saldos</t>
  </si>
  <si>
    <t xml:space="preserve"> Pensión por Sobrevivencia</t>
  </si>
  <si>
    <t>Pensión Por Discapacidad Permanente</t>
  </si>
  <si>
    <t>Indemnización Por Pérdida de Miembros</t>
  </si>
  <si>
    <t xml:space="preserve"> Subsidio Por Discapacidad Temporal</t>
  </si>
  <si>
    <t>Gastos Médicos</t>
  </si>
  <si>
    <t>Programa de Prevención de Riesgos</t>
  </si>
  <si>
    <t>Pago Promedio por Beneficiario</t>
  </si>
  <si>
    <t>% / Total</t>
  </si>
  <si>
    <t>%/Total Prestaciones</t>
  </si>
  <si>
    <t xml:space="preserve"> Subsidio Pagado Por Discapacidad Temporal</t>
  </si>
  <si>
    <t>Monto Pagado</t>
  </si>
  <si>
    <t xml:space="preserve"> Empleados Activos </t>
  </si>
  <si>
    <t>Período de Facturación</t>
  </si>
  <si>
    <t>Total Empresas</t>
  </si>
  <si>
    <t>Total  Empleados</t>
  </si>
  <si>
    <t>Empleados Afiliados al SDSS por Tipo de Riesgos Laborales</t>
  </si>
  <si>
    <t>Rango</t>
  </si>
  <si>
    <t>Empresas</t>
  </si>
  <si>
    <t>Privado</t>
  </si>
  <si>
    <t>Público</t>
  </si>
  <si>
    <t>Público Centralizado</t>
  </si>
  <si>
    <t xml:space="preserve"> Tipo I  </t>
  </si>
  <si>
    <t xml:space="preserve">Tipo  II  </t>
  </si>
  <si>
    <t xml:space="preserve">Tipo  III  </t>
  </si>
  <si>
    <t xml:space="preserve">Tipo  IV  </t>
  </si>
  <si>
    <t xml:space="preserve"> Total  </t>
  </si>
  <si>
    <t>% Afiliación SDSS /Pob. Total</t>
  </si>
  <si>
    <t>Tasa de Crecimiento de Afiliación  Anual*</t>
  </si>
  <si>
    <t>Tasa de Crecimiento Poblacional Anual**</t>
  </si>
  <si>
    <t>Gastos Administrativos</t>
  </si>
  <si>
    <t>Dispersión SVDS</t>
  </si>
  <si>
    <t>Prestaciones Económicas</t>
  </si>
  <si>
    <t xml:space="preserve">Traspasos Cedidos  en AFP y Reparto </t>
  </si>
  <si>
    <t xml:space="preserve">Traspasos Netos  en AFP y Reparto </t>
  </si>
  <si>
    <t xml:space="preserve">Patrimonio Fondos de Pensiones </t>
  </si>
  <si>
    <t>Promedio Sistema</t>
  </si>
  <si>
    <t>Promedio CCI</t>
  </si>
  <si>
    <t xml:space="preserve">Rentabilidad Nominal Promedio de los Fondos de Pensiones </t>
  </si>
  <si>
    <t>2007</t>
  </si>
  <si>
    <t>Desocupados total</t>
  </si>
  <si>
    <t>Inactivos</t>
  </si>
  <si>
    <t xml:space="preserve">   </t>
  </si>
  <si>
    <t>Cuentas</t>
  </si>
  <si>
    <t>30-34 años</t>
  </si>
  <si>
    <t>35-39 años</t>
  </si>
  <si>
    <t xml:space="preserve">60 ó más </t>
  </si>
  <si>
    <t>Reparto Individualizado</t>
  </si>
  <si>
    <t xml:space="preserve">Afiliación cotizantes
                                                   </t>
  </si>
  <si>
    <t>Edad</t>
  </si>
  <si>
    <t>NN No afiliados</t>
  </si>
  <si>
    <t>Niños estatus pendiente</t>
  </si>
  <si>
    <t>Niños estatus Ok-Ok/ Suir Unipago</t>
  </si>
  <si>
    <t xml:space="preserve">Dictámenes </t>
  </si>
  <si>
    <t xml:space="preserve">  </t>
  </si>
  <si>
    <t>I. Estadísticas de Afiliación</t>
  </si>
  <si>
    <t xml:space="preserve">         I.1. Afiliación Población</t>
  </si>
  <si>
    <t>I.1.1 . Cobertura del SDSS</t>
  </si>
  <si>
    <t>I.1.2. Distribución Anual  de Afiliados al SDSS</t>
  </si>
  <si>
    <t>I.1.3. Distribución Trimestral  de Afiliados al SDSS</t>
  </si>
  <si>
    <t>I.1.4. Distribución Mensual de Afiliados al SDSS</t>
  </si>
  <si>
    <t>I.1.5. Distribución  de Afiliados al SDSS por Regímenes</t>
  </si>
  <si>
    <t xml:space="preserve">          I.2 Afiliación Empresas</t>
  </si>
  <si>
    <t>I.2.1. Cantidad de Empresas y Empleados Afiliados Activos al SDSS</t>
  </si>
  <si>
    <t>I.2.2. Comportamiento de la Afiliación  Activa del las Empresas al SDSS</t>
  </si>
  <si>
    <t>I.2.3. Empresas Afiliadas Activas al SDSS, por sector</t>
  </si>
  <si>
    <t>1.2.4. Empleados Afiliados Activos al SDSS , por sector</t>
  </si>
  <si>
    <t>I.2.6. Salario Promedio Mensual de los Empleados, por Sector</t>
  </si>
  <si>
    <t>II. Estadísticas Demográficas</t>
  </si>
  <si>
    <t>II.1. Población República Dominicana</t>
  </si>
  <si>
    <t>II.2. Distribución de la Población Ocupada Formal por Rama de Actividad</t>
  </si>
  <si>
    <t>III. Ingresos y Egresos del Sistema Dominicano de Seguridad Social</t>
  </si>
  <si>
    <t xml:space="preserve">III.1.  Ingresos y Egresos Anuales del SDSS </t>
  </si>
  <si>
    <t>III.2.  Ingresos del SDSS</t>
  </si>
  <si>
    <t>III.3.  Egresos del SDSS</t>
  </si>
  <si>
    <t>IV. Seguro Familiar de Salud (SFS)</t>
  </si>
  <si>
    <t>IV.1. Régimen Contributivo (RC)</t>
  </si>
  <si>
    <t xml:space="preserve">     IV.1.1. Afiliación</t>
  </si>
  <si>
    <t>IV.1.1.1.  Afiliación Anual al SFS del RC</t>
  </si>
  <si>
    <t>IV.1.1.2. Afiliación Trimestral al SFS del RC</t>
  </si>
  <si>
    <t>IV.1.1.3. Afiliación Mensual al SFS del RC</t>
  </si>
  <si>
    <t>IV.1.1.4. Comparativo Afiliados Titulares con Población Ocupada Asalariada</t>
  </si>
  <si>
    <t>IV.1.1.5. Indice de Dependencia del SFS del RC</t>
  </si>
  <si>
    <t xml:space="preserve">    IV.1.2. Recaudo y Dispersión</t>
  </si>
  <si>
    <t>IV.1.2.1.  Recaudo y Dispersión de la Cuenta Cuidado de la Salud del SFS del RC</t>
  </si>
  <si>
    <t>IV.1.2.2. Fondos Dispersados Anualmente  al SFS del RC por Cuentas</t>
  </si>
  <si>
    <t xml:space="preserve">IV.1.2.3. Fondos Dispersados Trimestralmente al  SFS del RC por Cuentas </t>
  </si>
  <si>
    <t>IV.1.2.4. Fondos Dispersados Mensualmente  al SFS del RC por Cuentas</t>
  </si>
  <si>
    <t xml:space="preserve">     IV.1.3 Gestión de Fondos Acumulados del SFS</t>
  </si>
  <si>
    <t>IV.1.3.1. Disponibilidad de Certificados Financieros del SFS del RC</t>
  </si>
  <si>
    <t>IV.2. Régimen Subsidiado (RS)</t>
  </si>
  <si>
    <t xml:space="preserve">        IV.2.1.  Afiliación</t>
  </si>
  <si>
    <t>IV.2.1.1. Afiliación Anual al SFS del RS</t>
  </si>
  <si>
    <t>IV.2.1.2. Afiliación Trimestral al SFS del RS</t>
  </si>
  <si>
    <t>IV.2.1.3. Afiliación Mensual al SFS del RS</t>
  </si>
  <si>
    <t xml:space="preserve">IV.2.1.4. Comportamiento de la Afiliación al SFS del RS con relación  a la Población Pobre del País </t>
  </si>
  <si>
    <t>IV.2.2.1. Aporte  y Dispersión Anual  al SFS del RS</t>
  </si>
  <si>
    <t>IV.2.2.2. Aporte  y Dispersión Mensual al SFS del RS</t>
  </si>
  <si>
    <t>IV.3. Régimen Especial Transitorio Para la Salud de Pensionados Leyes 1896 y379</t>
  </si>
  <si>
    <t>IV.3.1. Afiliación Mensual  de Pensionados</t>
  </si>
  <si>
    <t>IV.3.2. Afiliación Pensionados por ARS</t>
  </si>
  <si>
    <t>IV.3.3. Dispersión Mensual por las ARS</t>
  </si>
  <si>
    <t>IV.4. Estancias Infantiles (EI)</t>
  </si>
  <si>
    <t>IV.4.1. Afiliación de Niños a las Estancias Infantiles</t>
  </si>
  <si>
    <t>IV.4.2. Evolución en el Resultado del Proceso de Afiliación</t>
  </si>
  <si>
    <t>V. Seguro de Vejez, Discapacidad y Sobrevivencia (SVDS)</t>
  </si>
  <si>
    <t xml:space="preserve">     V.1.  Afiliación al SVDS</t>
  </si>
  <si>
    <t>V.1.1. Cantidad  de Afiliados  y Cotizantes  Anual al SVDS del RC</t>
  </si>
  <si>
    <t xml:space="preserve">V.1.5. Afiliación Anual del SVDS por Sexo </t>
  </si>
  <si>
    <t xml:space="preserve">V.1.6. Cantidad de Cotizantes del SVDS por Rango de Edad </t>
  </si>
  <si>
    <t xml:space="preserve">     V.2.  Dispersión al SVDS</t>
  </si>
  <si>
    <t>V.2.1. Dispersión Histórica al SVDS</t>
  </si>
  <si>
    <t xml:space="preserve">V.2.2. Dispersión Anual por Cuentas del SVDS </t>
  </si>
  <si>
    <t xml:space="preserve">     V.3.  Traspasos de AFP y Fondos de Pensiones</t>
  </si>
  <si>
    <t xml:space="preserve">     V.4.  Pensiones del  SVDS</t>
  </si>
  <si>
    <t xml:space="preserve">     V.5.  Fondos de Pensiones </t>
  </si>
  <si>
    <t>VI. Seguro de Riesgos Laborales (SRL)</t>
  </si>
  <si>
    <t xml:space="preserve">     VI.1.  Afiliación al SRL </t>
  </si>
  <si>
    <t xml:space="preserve">VI.1.1. Comparativo Afiliación al SRL en relación a la Población Asalariada  </t>
  </si>
  <si>
    <t xml:space="preserve">VI.1.2. Afiliación al SRL por Grupo de Edad y sexo </t>
  </si>
  <si>
    <t>VI.1.3. Empleados Afiliados Activos al SDSS por Tipo de Riesgos Laborales de sus Empresas</t>
  </si>
  <si>
    <t xml:space="preserve">     VI.2.  Dispersión al SRL</t>
  </si>
  <si>
    <t>VI.2.1 Dispersión Anual al SRL por Cuentas</t>
  </si>
  <si>
    <t>VI.2.2 Dispersión mensual por cuentas al Seguro de Riesgos laborales</t>
  </si>
  <si>
    <t>VI.2.2 Histórico de los pagos realizados por la ARLSS a las Subcuentas</t>
  </si>
  <si>
    <t xml:space="preserve">     VI.3.  Accidentes Laborales </t>
  </si>
  <si>
    <t>VI.3.1. Comportamiento de los Accidentes Laborales Reportados  a la ARL, según Rama de Actividad Económica</t>
  </si>
  <si>
    <t>VI.3.2. Comportamiento de los Accidentes Laborales Reportados a la ARL, según  los Puestos de Trabajo</t>
  </si>
  <si>
    <t>VI.3.3. Comportamiento de los Accidentes Laborales Reportados a la ARL, por Categoría de Riesgo</t>
  </si>
  <si>
    <t>VI.3.4. Accidentes Laborales Reportados a la ARL , por Ubicación Geográfica</t>
  </si>
  <si>
    <t xml:space="preserve">     VI.4.  Prestaciones Económicas</t>
  </si>
  <si>
    <t>VI.4.1. Prestaciones Económicas Otorgadas por el SRL, por Tipo de Prestación</t>
  </si>
  <si>
    <t>VI.4.2. Prestaciones en  Gastos Médicos al Seguro de Riesgos Laborales (SRL)</t>
  </si>
  <si>
    <t>VI.4.3. Gastos del SRL en el Programa de Prevención de Riesgos</t>
  </si>
  <si>
    <t>VI.4.4. Pensiones por Sobrevivencia del SRL</t>
  </si>
  <si>
    <t>VI.4.5. Pago Pensión por Discapacidad  Permanente del SRL</t>
  </si>
  <si>
    <t>VI.4.6. Subsidio por Discapacidad Temporal del SRL</t>
  </si>
  <si>
    <t>VI.4.7. Indemnizaciones por Pérdida de Miembro del SRL</t>
  </si>
  <si>
    <t>VII. Gestión de la Evaluación del Grado de Discapacidad por las Comisiones Médicas Regionales y Nacional (CMRN)</t>
  </si>
  <si>
    <t>VII.1. Solicitudes de Evaluación de Discapacidad Permanente y Dictámenes de las CMRN</t>
  </si>
  <si>
    <t>IV.2.1.4.a. Comportamiento de la Afiliación al SFS del RS con relación  a la Población Pobre del País  (SIUBEN)</t>
  </si>
  <si>
    <t>Tasa de crecimiento</t>
  </si>
  <si>
    <t xml:space="preserve">Pensiones Otorgadas </t>
  </si>
  <si>
    <t>Discapacidad</t>
  </si>
  <si>
    <t>Sobrevivencia</t>
  </si>
  <si>
    <t>Períodos</t>
  </si>
  <si>
    <t>Traspasos Totales</t>
  </si>
  <si>
    <t>Traspasos</t>
  </si>
  <si>
    <t>% cobertura</t>
  </si>
  <si>
    <t>Dic. 2010</t>
  </si>
  <si>
    <t>2010</t>
  </si>
  <si>
    <t xml:space="preserve"> Dic-10</t>
  </si>
  <si>
    <t>SENASA</t>
  </si>
  <si>
    <t>Población Total del País</t>
  </si>
  <si>
    <t>% Población Pobre del País según Indice de Calidad de Vida (ICV)</t>
  </si>
  <si>
    <t>Niños cubiertos en pagos retroactivos</t>
  </si>
  <si>
    <t>Ministerio de  Hacienda</t>
  </si>
  <si>
    <t>% Dictámenes / Evaluación</t>
  </si>
  <si>
    <t xml:space="preserve">Cantidad de Pensionados a Diciembre 2010 </t>
  </si>
  <si>
    <t>Orfandad</t>
  </si>
  <si>
    <t>Viudez de por vida</t>
  </si>
  <si>
    <t>Beneficiarios  de Remuneraciones de Sobrevivencia</t>
  </si>
  <si>
    <t>Viudez (Indemnizadas &lt; 45 años= )</t>
  </si>
  <si>
    <t>Gastos en Salud</t>
  </si>
  <si>
    <t>Subsidios</t>
  </si>
  <si>
    <t>Indemnizaciones</t>
  </si>
  <si>
    <t>Pensiones</t>
  </si>
  <si>
    <t>Dic.2009</t>
  </si>
  <si>
    <t>Dic.2010</t>
  </si>
  <si>
    <r>
      <rPr>
        <b/>
        <sz val="11"/>
        <color indexed="8"/>
        <rFont val="Calibri"/>
        <family val="2"/>
      </rPr>
      <t xml:space="preserve">Total NN atendidos por el IDSS: </t>
    </r>
    <r>
      <rPr>
        <sz val="11"/>
        <color theme="1"/>
        <rFont val="Calibri"/>
        <family val="2"/>
        <scheme val="minor"/>
      </rPr>
      <t xml:space="preserve">Son todos los niños que al momento del corte están recibiendo los servicios en las estancias del IDSS, sin discriminar su afiliación, aseguramiento actual, registro en Base de datos, etc.
</t>
    </r>
    <r>
      <rPr>
        <b/>
        <sz val="11"/>
        <color indexed="8"/>
        <rFont val="Calibri"/>
        <family val="2"/>
      </rPr>
      <t xml:space="preserve">NN con información levantada por AEISS: </t>
    </r>
    <r>
      <rPr>
        <sz val="11"/>
        <color theme="1"/>
        <rFont val="Calibri"/>
        <family val="2"/>
        <scheme val="minor"/>
      </rPr>
      <t xml:space="preserve">todos los niños cuya información personal documentada (acta de nacimiento, certificación laboral del titular, dirección, teléfono, otros) y recogida en un formulario diseñado para los fines ha sido recibida por las estancias  y  enviada a la AEISS.
</t>
    </r>
    <r>
      <rPr>
        <b/>
        <sz val="11"/>
        <color indexed="8"/>
        <rFont val="Calibri"/>
        <family val="2"/>
      </rPr>
      <t xml:space="preserve">NN validados por AEISS: </t>
    </r>
    <r>
      <rPr>
        <sz val="11"/>
        <color theme="1"/>
        <rFont val="Calibri"/>
        <family val="2"/>
        <scheme val="minor"/>
      </rPr>
      <t xml:space="preserve">Total de niños validados por el personal de la AEISS en su propia base de datos. 
</t>
    </r>
    <r>
      <rPr>
        <b/>
        <sz val="11"/>
        <color indexed="8"/>
        <rFont val="Calibri"/>
        <family val="2"/>
      </rPr>
      <t>Total registros Base de Datos:</t>
    </r>
    <r>
      <rPr>
        <sz val="11"/>
        <color theme="1"/>
        <rFont val="Calibri"/>
        <family val="2"/>
        <scheme val="minor"/>
      </rPr>
      <t xml:space="preserve"> Total de niños que, en la verificación que realiza la AEISS, fueron encontrados en la página web de la TSS vinculados a un titular. 
</t>
    </r>
    <r>
      <rPr>
        <b/>
        <sz val="11"/>
        <color indexed="8"/>
        <rFont val="Calibri"/>
        <family val="2"/>
      </rPr>
      <t>Niños/as estatus pendiente:</t>
    </r>
    <r>
      <rPr>
        <sz val="11"/>
        <color theme="1"/>
        <rFont val="Calibri"/>
        <family val="2"/>
        <scheme val="minor"/>
      </rPr>
      <t xml:space="preserve"> Total de niños encontrados con estatus pendiente en la página web de la TSS
</t>
    </r>
    <r>
      <rPr>
        <b/>
        <sz val="11"/>
        <color indexed="8"/>
        <rFont val="Calibri"/>
        <family val="2"/>
      </rPr>
      <t xml:space="preserve">NN estatus OK-OK SUIR-UNIPAGO: </t>
    </r>
    <r>
      <rPr>
        <sz val="11"/>
        <color theme="1"/>
        <rFont val="Calibri"/>
        <family val="2"/>
        <scheme val="minor"/>
      </rPr>
      <t xml:space="preserve">Total de niños reportados por UNIPAGO a la AEISS, habiendo sido verificados en base de datos (Titular activo en nómina, NN registrado como dependiente del titular en la ARS, datos generales completados) 
</t>
    </r>
    <r>
      <rPr>
        <b/>
        <sz val="11"/>
        <color indexed="8"/>
        <rFont val="Calibri"/>
        <family val="2"/>
      </rPr>
      <t xml:space="preserve">NN estatus OK-OK Nómina TSS: </t>
    </r>
    <r>
      <rPr>
        <sz val="11"/>
        <color theme="1"/>
        <rFont val="Calibri"/>
        <family val="2"/>
        <scheme val="minor"/>
      </rPr>
      <t xml:space="preserve">Total de niños reportados por la TSS con fines de facturación y pago de per cápita al corte del mes correspondiente.
</t>
    </r>
  </si>
  <si>
    <t xml:space="preserve">Al final del período Enero-Noviembre 2009 la cantidad de pensiones por discapacidad ascendió a 141 con un pago promedio total por pensión durante el período de RD$5,728.94.
</t>
  </si>
  <si>
    <t xml:space="preserve">Los gastos totales por los casos de accidentes o enfermedades laborales que ameritaron atenciones médicas ascendieron a RD$125,429,653.87 durante el período enero a noviembre 2009, siendo el mes de junio el mes con mayor desembolso por este concepto.
</t>
  </si>
  <si>
    <t>VI.4.8. Remuneración SRL</t>
  </si>
  <si>
    <t>Grupo Med. Asociado</t>
  </si>
  <si>
    <t xml:space="preserve">Plan Salud </t>
  </si>
  <si>
    <t>Constitución (ex IGMAN)</t>
  </si>
  <si>
    <t>Serv. Dominicano de Salud</t>
  </si>
  <si>
    <t>Población pobre total del país de acuerdo a las estimaciones del Banco Mundial</t>
  </si>
  <si>
    <t>Jun - Dic 2009</t>
  </si>
  <si>
    <t xml:space="preserve">        Estimado en base al recaudo de la Cuenta de Cuidado de Salud</t>
  </si>
  <si>
    <t>Estancias Infantiles (EI) del Régimen Contributivo (RC)
Recaudo y Dispersión  Mensual de las EI
Período: Septiembre 2008 - Marzo 2011</t>
  </si>
  <si>
    <t xml:space="preserve">En Edad de Trabajo (PET)      </t>
  </si>
  <si>
    <t>Población  Económicamente Activa (PEA)</t>
  </si>
  <si>
    <t xml:space="preserve">El total recaudado en la cuenta de Estancias Infantiles en el período Septiembre 2008 hasta marzo 2011 asciende a RD$480  millones (480,684,867.83) .  
Al mes de marzo de 2011 se ha desembolsado a la Administradora de Estancias Infantiles Salud Segura (AEISS) un total de RD$ 109 millones (109,992,000.00).
La dispersión tiene correspondencia al número de niños dependientes de titulares al Régimen Contributivo (RC) que reciben mensualmente los servicios de Estancias Infantiles (EI), en base al cápita vigente de RD$2,000.00.                                                                                                                                                                                                                                                                                                              Apartir del mes de abril de 2010 los montos dispersados mensualmente  contienen además del pago por los niños validados en la TSS en el mes corriente,  pagos retroactivos por niños que recibieron el servicio en meses anteriores pero no fueron cubierto dentro de ese período o que sus padres han perdido sus empleos.
Al 31 de marzo de 2011 la cuenta de Estancias Infantiles posee inversiones en certificados financieros por un monto de RD$ 356,548,357.93.
</t>
  </si>
  <si>
    <t>% Cotizantes/ Pob. Asalariada</t>
  </si>
  <si>
    <t>Total Pensiones</t>
  </si>
  <si>
    <t>% Discapacidad</t>
  </si>
  <si>
    <t>% Sobrevivencia</t>
  </si>
  <si>
    <t>Régimen  Contributivo</t>
  </si>
  <si>
    <t>Entidad</t>
  </si>
  <si>
    <t xml:space="preserve"> Total Invertido</t>
  </si>
  <si>
    <t>Banco Central del a RD</t>
  </si>
  <si>
    <t>Banco BHD</t>
  </si>
  <si>
    <t>Banco del Progreso</t>
  </si>
  <si>
    <t>Banco Popular</t>
  </si>
  <si>
    <t>Banco de Reservas</t>
  </si>
  <si>
    <t>Cuidado de la Salud *</t>
  </si>
  <si>
    <t>.</t>
  </si>
  <si>
    <t>% crecimiento</t>
  </si>
  <si>
    <t xml:space="preserve">IV.1.3.3. Distribución de Fondos del SFS del RC en Certificados Financieros  por Entidad  </t>
  </si>
  <si>
    <t>IV.1.3.2.  Distribución de Fondos del SFS del RC en Certificados Financieros por Cuentas</t>
  </si>
  <si>
    <t>IV.2.1.6. Porcentaje de Cobertura del Régimen Subsidiado con Relación a la Población pobre según Indice Calidad de Vida</t>
  </si>
  <si>
    <t>IV.2.1.7. Indice de Dependencia del RS</t>
  </si>
  <si>
    <t xml:space="preserve">V.1.7. Cotizantes del SVDS por Salario Mínimo Cotizable </t>
  </si>
  <si>
    <t>V.1.8. Distribución de los Afiliados Cotizantes por AFP's y Fondos de Reparto</t>
  </si>
  <si>
    <t>V.1.9. Distribución de los Afiliados Cotizantes  al SVDS por sexo</t>
  </si>
  <si>
    <t>V.4.1. Pensiones Totales Otorgadas por Año</t>
  </si>
  <si>
    <t>V.5.1. Patrimonio de los Fondos de Pensiones por año</t>
  </si>
  <si>
    <t>VI.4.9. Pagos de Prestaciones y Gastos en Salud de la ARL</t>
  </si>
  <si>
    <t>I.1.6. Comparación Proyección de la Afiliación del SDSS vs. Población Nacional</t>
  </si>
  <si>
    <t>I.2.5. Empresas Afiliadas Activas al SDSS, por Cantidad de Empleados Registrados en TSS</t>
  </si>
  <si>
    <t>IV.1.2.5. Fondos Dispersados Anualmente   al SFS del RC por ARS</t>
  </si>
  <si>
    <t>V.3.1. Traspasos Totales por año</t>
  </si>
  <si>
    <t>V.3.2. Traspasos Recibidos en Entidades de CCI/ Reparto</t>
  </si>
  <si>
    <t>V.3.3. Traspasos Cedidos en  Entidades de  CCI / Reparto</t>
  </si>
  <si>
    <t>V.3.4. Traspasos Netos en  Entidades de CCI (Reparto)</t>
  </si>
  <si>
    <t>V.1.3. Cantidad  de Afiliados  y Cotizantes  Mensual al SVDS del RC</t>
  </si>
  <si>
    <t>V.1.2. Cantidad  de Afiliados  y Cotizantes  Trimestral al SVDS del RC</t>
  </si>
  <si>
    <t xml:space="preserve"> V.1.4. Densidad Afiliados y Cotizantes Anual al SVDS del RC</t>
  </si>
  <si>
    <t>V.5.2. Patrimonio de los Fondos de Pensiones por Trimestre</t>
  </si>
  <si>
    <t>V.5.3. Composición de la Cartera de inversión de los Fondos de Pensiones por tipo de Emisor</t>
  </si>
  <si>
    <t>V.5.4. Rentabilidad Nominal Promedio  de los Fondos de Pensiones por trimestre</t>
  </si>
  <si>
    <t xml:space="preserve"> IV.2.2. Aporte de Recursos del Gobierno Central y Dispersión al SFS del RS</t>
  </si>
  <si>
    <t>Asoc. de Profesionales de la Salud</t>
  </si>
  <si>
    <t>Ene - Dic 2010</t>
  </si>
  <si>
    <t xml:space="preserve">Menor de 19 </t>
  </si>
  <si>
    <t>Traspasos Recibidos en AFP y Reparto</t>
  </si>
  <si>
    <t>% Patrimonio/ PIB</t>
  </si>
  <si>
    <t>Año 2011</t>
  </si>
  <si>
    <t>Afiliación Total RS</t>
  </si>
  <si>
    <t>Afiliación Total SFSP</t>
  </si>
  <si>
    <t>% de Afiliados al SDSS</t>
  </si>
  <si>
    <t>% del Total de Cápitas Pagadas SFS</t>
  </si>
  <si>
    <t>Total Cápitas pagadas al SFS</t>
  </si>
  <si>
    <t>Afiliación  RC</t>
  </si>
  <si>
    <t>% de Afiliados Total al SDSS</t>
  </si>
  <si>
    <t xml:space="preserve">Afiliación Total SDSS </t>
  </si>
  <si>
    <t xml:space="preserve"> Cápitas pagadas al SFS del RC</t>
  </si>
  <si>
    <t>Cápitas pagadas al SFS del RC</t>
  </si>
  <si>
    <t>Cápitas pagadas al SFSP</t>
  </si>
  <si>
    <t>Empresas Privadas</t>
  </si>
  <si>
    <t>0-1</t>
  </si>
  <si>
    <t>Seguro Familiar de Salud (SFS) del Régimen Contributivo (RC)
Afiliación Anual al Seguro Familiar de Salud  (SFS) del Régimen Contributivo (RC)
Período: Diciembre 2007 a Julio  2011</t>
  </si>
  <si>
    <t xml:space="preserve">En la parte metodologica, lineamiento, solo para buscar informciones, </t>
  </si>
  <si>
    <t>Jul. 2011</t>
  </si>
  <si>
    <t>Seguro Familiar de Salud (SFS) del Régimen Subsidiado (RS)
Afiliación Anual al SFS del RS
Período: 2004 - Julio 2011</t>
  </si>
  <si>
    <t>Datos Generales del Sistema Dominicano de la Seguridad Social (SDSS)
Afiliación Mensual
Período: Enero - Julio 2011</t>
  </si>
  <si>
    <t>Cápitas pagadas al SFS del RS</t>
  </si>
  <si>
    <t>IV.1.2.6. Fondos Dispersados  al SFS del RC por ARS</t>
  </si>
  <si>
    <t>V.2.3. Dispersión por Cuentas del SVDS</t>
  </si>
  <si>
    <t>% Cobertura</t>
  </si>
  <si>
    <t>Seguro de Riesgos Laborales
Indemnizaciones por Pérdida de Miembro del SRL
Enero - Noviembre 2009</t>
  </si>
  <si>
    <t>Seguro de Riesgos Laborales
Pago Pensión por Discapacidad  Permanente del SRL
Enero - Noviembre 2009</t>
  </si>
  <si>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</si>
  <si>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</si>
  <si>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</si>
  <si>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</si>
  <si>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</si>
  <si>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</si>
  <si>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</si>
  <si>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</si>
  <si>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</si>
  <si>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</si>
  <si>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</si>
  <si>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</si>
  <si>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</si>
  <si>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 xml:space="preserve">Variación anual  de la Afiliación  </t>
  </si>
  <si>
    <t>Dic. 2011</t>
  </si>
  <si>
    <t>Fuente :Informes  Trimestrales PRISS, UNIPAGO,  Informes Mensuales TSS y Portal SISALRIL</t>
  </si>
  <si>
    <t xml:space="preserve">Afiliados Titulares Definitivos </t>
  </si>
  <si>
    <t>Dependientes  Definitivos</t>
  </si>
  <si>
    <t>Indice de Dependencia Afil. Definitiva</t>
  </si>
  <si>
    <t>Indice de Dependencia Afil. Efectiva (Dep. Adic.  / Titulares)</t>
  </si>
  <si>
    <t>Dic.  2019</t>
  </si>
  <si>
    <t>Dic.  2020</t>
  </si>
  <si>
    <t>Dic.  2021</t>
  </si>
  <si>
    <t xml:space="preserve">Variación anual  </t>
  </si>
  <si>
    <t xml:space="preserve">% RC </t>
  </si>
  <si>
    <t xml:space="preserve">% RS </t>
  </si>
  <si>
    <t xml:space="preserve">%  RC </t>
  </si>
  <si>
    <t xml:space="preserve">%   RS </t>
  </si>
  <si>
    <t>%  Afiliados Dep.  Totales</t>
  </si>
  <si>
    <t>% Afiliados titulares</t>
  </si>
  <si>
    <t>% Afil.  Depend. Efectivos / Afil. Depend. Definitivos</t>
  </si>
  <si>
    <t>Mes/Año</t>
  </si>
  <si>
    <t>Mes / Año</t>
  </si>
  <si>
    <t>* No incluye el recaudo y la dispersión para cubrir a los dependientes adicionales</t>
  </si>
  <si>
    <t>% D/R
Cuenta de la Salud</t>
  </si>
  <si>
    <t>Afiliación Definitiva        SFS RS</t>
  </si>
  <si>
    <t>%  Afiliación Definitiva / Población Pobre</t>
  </si>
  <si>
    <t>% Variación Anual</t>
  </si>
  <si>
    <t>% Afiliación ARS SEMMA</t>
  </si>
  <si>
    <t xml:space="preserve">% Afiliación ARS SENASA </t>
  </si>
  <si>
    <t>% Afiliación ARS SS</t>
  </si>
  <si>
    <t>Ene-Dic 2011</t>
  </si>
  <si>
    <t>% por ARS</t>
  </si>
  <si>
    <t>% por período</t>
  </si>
  <si>
    <t>Dispersión a AEISS/ Año (RD$)</t>
  </si>
  <si>
    <t xml:space="preserve"> Dic-11</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</si>
  <si>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</si>
  <si>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</si>
  <si>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</si>
  <si>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</si>
  <si>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</si>
  <si>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</si>
  <si>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</si>
  <si>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</si>
  <si>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</si>
  <si>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</si>
  <si>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</si>
  <si>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</si>
  <si>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</si>
  <si>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</si>
  <si>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</si>
  <si>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</si>
  <si>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Accidentabilidad Afiliados (No. de accidentes por cada 100,000 afiliados)</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</si>
  <si>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</si>
  <si>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</si>
  <si>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</si>
  <si>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</si>
  <si>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</si>
  <si>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</si>
  <si>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</si>
  <si>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</si>
  <si>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</si>
  <si>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</si>
  <si>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</si>
  <si>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</si>
  <si>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</si>
  <si>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</si>
  <si>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</si>
  <si>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</si>
  <si>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</si>
  <si>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</si>
  <si>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</si>
  <si>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</si>
  <si>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</si>
  <si>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</si>
  <si>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</si>
  <si>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</si>
  <si>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</si>
  <si>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</si>
  <si>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</si>
  <si>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</si>
  <si>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</si>
  <si>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</si>
  <si>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</si>
  <si>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</si>
  <si>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</si>
  <si>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</si>
  <si>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</si>
  <si>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</si>
  <si>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</si>
  <si>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</si>
  <si>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</si>
  <si>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</si>
  <si>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</si>
  <si>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</si>
  <si>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</si>
  <si>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</si>
  <si>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</si>
  <si>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</si>
  <si>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</si>
  <si>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</si>
  <si>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Ene - Sep 2011</t>
  </si>
  <si>
    <t>% por Provincia</t>
  </si>
  <si>
    <t>Provincias</t>
  </si>
  <si>
    <t>% No Especificado</t>
  </si>
  <si>
    <t>% Urbano</t>
  </si>
  <si>
    <t>% Rural</t>
  </si>
  <si>
    <t>No Especificada</t>
  </si>
  <si>
    <t>Urbana</t>
  </si>
  <si>
    <t>Rural</t>
  </si>
  <si>
    <t>Sin determinar</t>
  </si>
  <si>
    <t>Organismo Int. y otras Instit. Extraterritoriales</t>
  </si>
  <si>
    <t>Servicios Domesticos</t>
  </si>
  <si>
    <t>Otros Servicios colectivos sociales y personales</t>
  </si>
  <si>
    <t>Salud y Servicios Sociales</t>
  </si>
  <si>
    <t>Educación</t>
  </si>
  <si>
    <t>Administracion Publica, Defensa y Seguridad Social</t>
  </si>
  <si>
    <t>Actividades Inmobiliarias</t>
  </si>
  <si>
    <t>Intermediación Financiera</t>
  </si>
  <si>
    <t>Transporte, Almacenamiento y Comunicaciones</t>
  </si>
  <si>
    <t>Alojamiento y Alimentación</t>
  </si>
  <si>
    <t>Industria de Transformación</t>
  </si>
  <si>
    <t>Industrias Extractivas</t>
  </si>
  <si>
    <t>Pesca</t>
  </si>
  <si>
    <t>Agropecuaria y Explotación Forestal</t>
  </si>
  <si>
    <t>% por Actividad</t>
  </si>
  <si>
    <t>Actividad Económica</t>
  </si>
  <si>
    <t>Trabajadores no calificados</t>
  </si>
  <si>
    <t>Trabajadores de servicios y vendedores</t>
  </si>
  <si>
    <t>Técnicos y Profesionales del nivel medio</t>
  </si>
  <si>
    <t>Profesionales e Intelectuales</t>
  </si>
  <si>
    <t>Operadores de instalaciones, máquinas y equipos</t>
  </si>
  <si>
    <t xml:space="preserve">Operarios y Artesanos </t>
  </si>
  <si>
    <t>Fuerzas Armadas</t>
  </si>
  <si>
    <t>Empleados de oficina</t>
  </si>
  <si>
    <t>Agropecuarios y Pesqueros</t>
  </si>
  <si>
    <t>Grupo de ocupación</t>
  </si>
  <si>
    <t>% Privado</t>
  </si>
  <si>
    <t>% Público</t>
  </si>
  <si>
    <t>Sector Privado</t>
  </si>
  <si>
    <t>Sector Público</t>
  </si>
  <si>
    <t>Total Afiliados  SRL</t>
  </si>
  <si>
    <t>Afiliados al SRL Sector Privado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</si>
  <si>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</si>
  <si>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</si>
  <si>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</si>
  <si>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</si>
  <si>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</si>
  <si>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</si>
  <si>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</si>
  <si>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</si>
  <si>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</si>
  <si>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</si>
  <si>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</si>
  <si>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</si>
  <si>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</si>
  <si>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</si>
  <si>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</si>
  <si>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</si>
  <si>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</si>
  <si>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</si>
  <si>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</si>
  <si>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</si>
  <si>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</si>
  <si>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</si>
  <si>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</si>
  <si>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</si>
  <si>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</si>
  <si>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</si>
  <si>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</si>
  <si>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</si>
  <si>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</si>
  <si>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</si>
  <si>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</si>
  <si>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</si>
  <si>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</si>
  <si>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</si>
  <si>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</si>
  <si>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</si>
  <si>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</si>
  <si>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</si>
  <si>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</si>
  <si>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</si>
  <si>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</si>
  <si>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</si>
  <si>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</si>
  <si>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</si>
  <si>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</si>
  <si>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</si>
  <si>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</si>
  <si>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</si>
  <si>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</si>
  <si>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</si>
  <si>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</si>
  <si>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</si>
  <si>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</si>
  <si>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</si>
  <si>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</si>
  <si>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</si>
  <si>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</si>
  <si>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</si>
  <si>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</si>
  <si>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</si>
  <si>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</si>
  <si>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Sobreesfuerzo o falso movimiento</t>
  </si>
  <si>
    <t>Pisadas, choques o golpes</t>
  </si>
  <si>
    <t>Exposición o contacto con temperatura extrema</t>
  </si>
  <si>
    <t>Contacto con sustancias nocivas o radiaciones</t>
  </si>
  <si>
    <t>Contacto con electricidad</t>
  </si>
  <si>
    <t>Caída personales</t>
  </si>
  <si>
    <t>Caída de objeto</t>
  </si>
  <si>
    <t>Atrapamiento</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</si>
  <si>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</si>
  <si>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</si>
  <si>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</si>
  <si>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</si>
  <si>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</si>
  <si>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</si>
  <si>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</si>
  <si>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</si>
  <si>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</si>
  <si>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</si>
  <si>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</si>
  <si>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</si>
  <si>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</si>
  <si>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</si>
  <si>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</si>
  <si>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</si>
  <si>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</si>
  <si>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</si>
  <si>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</si>
  <si>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más de 15 años</t>
  </si>
  <si>
    <t>% de 11-15 años</t>
  </si>
  <si>
    <t>% de 6-10 años</t>
  </si>
  <si>
    <t>% de 3-5 años</t>
  </si>
  <si>
    <t>% de 1-2 años</t>
  </si>
  <si>
    <t>% de 7- 11 meses</t>
  </si>
  <si>
    <t>% de 0 - 6 meses</t>
  </si>
  <si>
    <t>No especificado</t>
  </si>
  <si>
    <t>Más de 15 años</t>
  </si>
  <si>
    <t>6-10 años</t>
  </si>
  <si>
    <t>3-5 años</t>
  </si>
  <si>
    <t>1-2 años</t>
  </si>
  <si>
    <t>7-11 meses</t>
  </si>
  <si>
    <t>0 - 6 meses</t>
  </si>
  <si>
    <t>% / Año</t>
  </si>
  <si>
    <t>% Declinados</t>
  </si>
  <si>
    <t>% Aprobados</t>
  </si>
  <si>
    <t>%   Leve</t>
  </si>
  <si>
    <t>Informe Sistema Dominicano Seguridad Social 
Diciembre 2011</t>
  </si>
  <si>
    <t>Variación Indices de Dependencia (Activa- Efectiva)</t>
  </si>
  <si>
    <t>VI.4.10. Cantidad de beneficiarios por subsidio de maternidad, lactancia y enfermedad común</t>
  </si>
  <si>
    <t>VI.4.11. Montos aprobados por concepto de subsidios por matenidad, lactancia y enfermedad</t>
  </si>
  <si>
    <t>Tipo de Subsidio</t>
  </si>
  <si>
    <t>Maternidad</t>
  </si>
  <si>
    <t>Lactancia</t>
  </si>
  <si>
    <t>Informe Sistema Dominicano de Seguridad Social (SDSS)</t>
  </si>
  <si>
    <t>%  RET</t>
  </si>
  <si>
    <t xml:space="preserve">% RET </t>
  </si>
  <si>
    <t>Tasa de Crecimiento Poblacional Anual</t>
  </si>
  <si>
    <t xml:space="preserve">Ocupada Informal </t>
  </si>
  <si>
    <t>% Afiliados  titulares</t>
  </si>
  <si>
    <t xml:space="preserve">% Afiliados  Dep. </t>
  </si>
  <si>
    <t xml:space="preserve">Accidentes Laborales </t>
  </si>
  <si>
    <t>Total Casos de Accid. Laborales y Enf. Prof.</t>
  </si>
  <si>
    <t>Lesión Discapacitante</t>
  </si>
  <si>
    <t>Estancias</t>
  </si>
  <si>
    <t>Cogestión</t>
  </si>
  <si>
    <t xml:space="preserve">Propias </t>
  </si>
  <si>
    <t>Subrogadas</t>
  </si>
  <si>
    <t>En Construcción</t>
  </si>
  <si>
    <t>Cobertura Efectiva de Titulares            al SFS RC</t>
  </si>
  <si>
    <t>Cobertura Efectiva de Dependientes            al SFS RC</t>
  </si>
  <si>
    <t>Indice de Dependencia Cobertura Efectiva</t>
  </si>
  <si>
    <t>Cobertura Efectiva</t>
  </si>
  <si>
    <t>% Cobertura Efectiva/ Población Pobre</t>
  </si>
  <si>
    <t>Enfermedad</t>
  </si>
  <si>
    <r>
      <t xml:space="preserve">  Indice de Dependencia en Afiliación Definitiva y Cobertura Efectiva al SFS  del RC</t>
    </r>
    <r>
      <rPr>
        <b/>
        <sz val="20"/>
        <color indexed="9"/>
        <rFont val="Calibri"/>
        <family val="2"/>
      </rPr>
      <t xml:space="preserve">
</t>
    </r>
    <r>
      <rPr>
        <b/>
        <sz val="18"/>
        <color indexed="9"/>
        <rFont val="Calibri"/>
        <family val="2"/>
      </rPr>
      <t xml:space="preserve">Período:  2007 -  2011 </t>
    </r>
  </si>
  <si>
    <t>11-15 años</t>
  </si>
  <si>
    <t>Variación  Anual
%</t>
  </si>
  <si>
    <t>Variación  Anual 
%</t>
  </si>
  <si>
    <t>Variación  Anual
 %</t>
  </si>
  <si>
    <t>Dispersión por FONAMAT</t>
  </si>
  <si>
    <t>Niños (as) Beneficiarios (as) de las EI</t>
  </si>
  <si>
    <t>% Población Pobre del País según Bco. Mundial*</t>
  </si>
  <si>
    <t>Enfermedad Común</t>
  </si>
  <si>
    <t>Electricidad, Gas y Agua</t>
  </si>
  <si>
    <t>% Enfermedades Profesionales</t>
  </si>
  <si>
    <t>El monto asignado por la Administradora de Riesgos Laborales (ARL) en el programa de prevención de riesgos en los meses enero - noviembre 2009 ascendió a RD$17,883,812.44.</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</si>
  <si>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</si>
  <si>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I.1.1 Porcentaje de Cobertura Efectiva del SDSS con Relación a la Población Nacional</t>
  </si>
  <si>
    <t xml:space="preserve">I.1.2 Porcentaje de Cobertura de Afiliación Definitiva del SDSS con Relación a la Población Nacional </t>
  </si>
  <si>
    <t xml:space="preserve">I.1.3 Cobertura del SDSS a la población nacional: Afiliación Definitiva y Efectiva </t>
  </si>
  <si>
    <t>I.1.4. Distribución  de Afiliados al SDSS por Regímenes</t>
  </si>
  <si>
    <t xml:space="preserve">I.1.5 Afiliación Mensual Definitiva y Cobertura Efectiva del SDSS     </t>
  </si>
  <si>
    <t>1.2.1 Empresas y Empleados Afiliados Activos al SDSS por sector</t>
  </si>
  <si>
    <t>1.2.2 Empresas Afiliadas Activas al SDSS, por Cantidad de Empleados registrados en TSS</t>
  </si>
  <si>
    <t>1.2.3 Salario Promedio Mensual de los Empleados Afiliados Activos al SDSS, por Sector</t>
  </si>
  <si>
    <t>IV.1.1.1.  Afiliación Anual al  SFS del RC y Cobertura Efectiva</t>
  </si>
  <si>
    <t>IV.1.1.2. Afiliación Mensual al  SFS del RC y Cobertura Efectiva</t>
  </si>
  <si>
    <t>IV.1.1.3.  Indice de Dependencia en Afiliación Activa y Cobertura Efectiva SFS del RC</t>
  </si>
  <si>
    <t>IV.1.2.1. Ingresos y Dispersión de las Cuentas Cuidado de la Salud y FONAMAT del SFS del RC</t>
  </si>
  <si>
    <t>IV.1.2.2. Fondos Dispersados Anualmente por Cuentas al SFS del RC</t>
  </si>
  <si>
    <t>IV.1.2.3. Fondos Dispersados Mensualmente por Cuentas al SFS del RC</t>
  </si>
  <si>
    <t>IV.1.2.4. Fondos Dispersados  a las ARS del SFS del RC</t>
  </si>
  <si>
    <t>IV.1.2.5. Fondos Dispersados del RC a las ARS del SFS</t>
  </si>
  <si>
    <t>IV.1.3.1.  Distribución de Fondos del SFS del RC en Certificados Financieros por Cuentas</t>
  </si>
  <si>
    <t xml:space="preserve">IV.1.3.2. Distribución de Fondos del SFS del RC en Certificados Financieros  por Entidad  </t>
  </si>
  <si>
    <t>IV.2.1.1.Afiliación  Anual Definitiva y Cobertura Efectiva al  SFS del  RS</t>
  </si>
  <si>
    <t>IV.2.1.2. Afiliación  Mensual Definitiva y Cobertura Efectiva al  SFS del  RS</t>
  </si>
  <si>
    <t>IV.4. Subsidios</t>
  </si>
  <si>
    <t>IV.4.2.1. Afiliados (as) Beneficiarios por Subsidio de Maternidad, Lactancia y Enfermedad Común</t>
  </si>
  <si>
    <t>IV.4.2.2. Montos aprobados en RD$ por concepto de subsidios por Matenidad, Lactancia y Enfermedad Común</t>
  </si>
  <si>
    <t xml:space="preserve">V.1.2. Comparación anual del número de Afiliados  Cotizantes con la  Población Asalariada  </t>
  </si>
  <si>
    <t xml:space="preserve">V.1.4. Afiliación Anual del SVDS por Sexo </t>
  </si>
  <si>
    <t xml:space="preserve">V.1.5. Cantidad de Cotizantes del SVDS por Rango de Edad </t>
  </si>
  <si>
    <t xml:space="preserve">V.1.6. Cotizantes del SVDS por Salario Mínimo Cotizable </t>
  </si>
  <si>
    <t>V.1.7. Distribución de los Afiliados Cotizantes por AFP's y Fondos de Reparto</t>
  </si>
  <si>
    <t>V.1.8. Distribución de los Afiliados Cotizantes  al SVDS por sexo</t>
  </si>
  <si>
    <t>V.5.2. Composición de la Cartera de inversión de los Fondos de Pensiones por tipo de Emisor</t>
  </si>
  <si>
    <t>V.5.3. Rentabilidad Nominal Promedio  de los Fondos de Pensiones por semestre</t>
  </si>
  <si>
    <t>VI.3.1. Reporte de Accidentes Laborales y Enfermedades Profesionales</t>
  </si>
  <si>
    <t>VI.3.3. Reporte de Accidentes Laborales y Enfermedades Profesionales por Región</t>
  </si>
  <si>
    <t>VI.3.4. Reporte de Accidentes Laborales y Enfermedades Profesionales por Provincia</t>
  </si>
  <si>
    <t>VI.3.5. Reporte de Accidentes Laborales y Enfermedades Profesionales por Zona de Procedencia</t>
  </si>
  <si>
    <t>VI.3.6. Reporte de Accidentes Laborales y Enfermedades Profesionales por Actividad Económica</t>
  </si>
  <si>
    <t>VI.3.7. Reporte de Accidentes Laborales y Enfermedades Profesionales por Ocupación</t>
  </si>
  <si>
    <t>VI.3.8. Reporte de Accidentes Laborales y Enfermedades Profesionales por Sector</t>
  </si>
  <si>
    <t>VI.3.9. Comparación Reporte de Accidentes Laborales y Enfermedades Profesionales y Afiliación al SRL por Sector</t>
  </si>
  <si>
    <t>VI.3.10. Reporte de Accidentes Laborales y Enfermedades Profesionales por Sexo</t>
  </si>
  <si>
    <t>VI.3.11. Comparación Reporte de Accidentes Laborales y Enfermedades Profesionales y Afilación al SRL  por Sexo</t>
  </si>
  <si>
    <t>VI.3.12. Reporte de Accidentes Laborales y Enfermedades Profesionales por Rango de Edad</t>
  </si>
  <si>
    <t>VI.3.13. Comparación Reporte de Accidentes Laborales y Enfermedades Profesionales y Afilación al SRL por edad</t>
  </si>
  <si>
    <t>VI.3.14. Reporte de Accidentes Laborales y Enfermedades Profesionales por Nivel de Escolaridad</t>
  </si>
  <si>
    <t>VI.3.15. Cantidad de Expedientes de Accidentes Laborales Calificados por la ARL</t>
  </si>
  <si>
    <t>VI.3.16. Cantidad de Expedientes Calificados  por la ARL Vs. Casos Reportados</t>
  </si>
  <si>
    <t>VI.3.17. Cantidad de Expedientes Calificados por la ARL por tipo de Accidente</t>
  </si>
  <si>
    <t>VI.3.18. Cantidad de Expedientes Calificados  por la ARL por Grado de Lesión</t>
  </si>
  <si>
    <t>VI.3.19. Cantidad de Expedientes Calificados  por la ARL según Circunstancia del Suceso</t>
  </si>
  <si>
    <t>VI.3.20. Cantidad de Expedientes Calificados por la ARL según Mecanismo de Producción del Accidente</t>
  </si>
  <si>
    <t>VI.3.21. Cantidad de Expedientes Calificados  por la ARL según Agente Dañino</t>
  </si>
  <si>
    <t>VI.3.22. Cantidad de Expedientes Calificados  por la ARL según Lugar del Accidente</t>
  </si>
  <si>
    <t>VI.3.23. Cantidad de Expedientes Calificados  por la ARL por Antiguedad en el Puesto de Trabajo</t>
  </si>
  <si>
    <t>VI.3.24. Accidentes Laborales con Lesiones Discapacitantes</t>
  </si>
  <si>
    <t>VI.3.25. Cantidad de Expedientes de Enfermedades Profesionales Calificados en  Proceso de Reinvestigación</t>
  </si>
  <si>
    <t>VI.3.26. Cantidad de Expedientes de Accidentes Laborales Calificados en  Proceso de Reinvestigación</t>
  </si>
  <si>
    <t xml:space="preserve">VI.3.27. Casos Aprobados en Proceso de Reinvestigación por tipo de Accidente </t>
  </si>
  <si>
    <t>VI.3.28. Casos Aprobados en Proceso de Reinvestigación por Grado de Lesión</t>
  </si>
  <si>
    <t>VI.3.29. Casos Aprobados en Proceso de Reinvestigación por Circunstancia del Suceso</t>
  </si>
  <si>
    <t>VI.3.30. Histórico de los pagos realizados por la ARLSS a las Subcuentas</t>
  </si>
  <si>
    <t>VI.3.2. Accidentabilidad Laboral de los Afiliados al SRL</t>
  </si>
  <si>
    <t xml:space="preserve">Definiciones </t>
  </si>
  <si>
    <t>IV.4.1.1. Afiliación de Niños a las Estancias Infantiles</t>
  </si>
  <si>
    <t xml:space="preserve">IV.4.1.2. Niños Beneficiarios de las Estancias Infantiles </t>
  </si>
  <si>
    <t>IV.4.1.3. Evolución en el Resultado del Proceso de Afiliación</t>
  </si>
  <si>
    <t>IV.4.1.4. Estancias Infantiles Habilitadas para la Afiliación de Hijos de Trabajadores Afiliados al RC</t>
  </si>
  <si>
    <t>Para el pago de subsidio por discapacidad temporal (personas que sufrieron lesiones curables antes de los 15 días), se erogó un monto total de RD$91,179,223.00 durante los meses enero a noviembre 2009, con un promedio total de RD$7,256.03 por afiliado afectado por mes.</t>
  </si>
  <si>
    <t>Rango de Edad (Años)</t>
  </si>
  <si>
    <t xml:space="preserve">0-4  </t>
  </si>
  <si>
    <t>5-14</t>
  </si>
  <si>
    <t>15-24</t>
  </si>
  <si>
    <t>25-34</t>
  </si>
  <si>
    <t>35-44</t>
  </si>
  <si>
    <t>45-54</t>
  </si>
  <si>
    <t>55-64</t>
  </si>
  <si>
    <t xml:space="preserve"> 65 y más</t>
  </si>
  <si>
    <t>Total / ARS</t>
  </si>
  <si>
    <t>% ARS</t>
  </si>
  <si>
    <t>ARS HUMANO</t>
  </si>
  <si>
    <t>ARS SENASA</t>
  </si>
  <si>
    <t>ARS PALIC-SALUD</t>
  </si>
  <si>
    <t>ARS UNIVERSAL, S.A.</t>
  </si>
  <si>
    <t>ARS SALUD SEGURA</t>
  </si>
  <si>
    <t>ARS SEMMA</t>
  </si>
  <si>
    <t>ARS SERVICIOS DOMINICANOS DE SALUD</t>
  </si>
  <si>
    <t>ARS LA COLONIAL</t>
  </si>
  <si>
    <t>ARS FUTURO S. A.</t>
  </si>
  <si>
    <t>ARS SIMAG</t>
  </si>
  <si>
    <t>ARS DR. YUNEN, S. A.</t>
  </si>
  <si>
    <t>ARS RENACER</t>
  </si>
  <si>
    <t>ARS RESERVAS</t>
  </si>
  <si>
    <t>ARS ASEMAP</t>
  </si>
  <si>
    <t>ARS APS</t>
  </si>
  <si>
    <t>ARS MONUMENTAL</t>
  </si>
  <si>
    <t>ARS CMD</t>
  </si>
  <si>
    <t>ARS GRUPO MEDICO ASOCIADO</t>
  </si>
  <si>
    <t>ARS CONSTITUCION</t>
  </si>
  <si>
    <t>ARS METASALUD</t>
  </si>
  <si>
    <t>ARS PLAN SALUD</t>
  </si>
  <si>
    <t>ARS FFAA</t>
  </si>
  <si>
    <t>ARS ISSPOL</t>
  </si>
  <si>
    <t>ARS SEMUNASED</t>
  </si>
  <si>
    <t>ARS BMI IGUALAS MEDICAS, S. A.</t>
  </si>
  <si>
    <t>Total / Rango de edad</t>
  </si>
  <si>
    <t>% Rango de edad</t>
  </si>
  <si>
    <t>Región de Salud</t>
  </si>
  <si>
    <t>Empresas Sector Privado</t>
  </si>
  <si>
    <t>Sector  Público Centralizado</t>
  </si>
  <si>
    <t>Sector  Público Descentralizado</t>
  </si>
  <si>
    <t>Aplicación Art. 124 Ley  87-01</t>
  </si>
  <si>
    <t>%  Afiliados por Región</t>
  </si>
  <si>
    <t>% Sector</t>
  </si>
  <si>
    <t>0-4 años</t>
  </si>
  <si>
    <t xml:space="preserve">5-14 </t>
  </si>
  <si>
    <t>65 ó más</t>
  </si>
  <si>
    <t>%  Región</t>
  </si>
  <si>
    <r>
      <rPr>
        <b/>
        <sz val="11"/>
        <color theme="1"/>
        <rFont val="Calibri"/>
        <family val="2"/>
        <scheme val="minor"/>
      </rPr>
      <t>La Región 0</t>
    </r>
    <r>
      <rPr>
        <sz val="11"/>
        <color theme="1"/>
        <rFont val="Calibri"/>
        <family val="2"/>
        <scheme val="minor"/>
      </rPr>
      <t xml:space="preserve"> comprende las provincias de: Santo Domindo, Monte Plata y el Distrito Nacional; </t>
    </r>
    <r>
      <rPr>
        <b/>
        <sz val="11"/>
        <color theme="1"/>
        <rFont val="Calibri"/>
        <family val="2"/>
        <scheme val="minor"/>
      </rPr>
      <t>Región I:</t>
    </r>
    <r>
      <rPr>
        <sz val="11"/>
        <color theme="1"/>
        <rFont val="Calibri"/>
        <family val="2"/>
        <scheme val="minor"/>
      </rPr>
      <t xml:space="preserve"> San Cristóbal, Azua, Peravia y Ocoa;</t>
    </r>
    <r>
      <rPr>
        <b/>
        <sz val="11"/>
        <color theme="1"/>
        <rFont val="Calibri"/>
        <family val="2"/>
        <scheme val="minor"/>
      </rPr>
      <t xml:space="preserve">  Región II: </t>
    </r>
    <r>
      <rPr>
        <sz val="11"/>
        <color theme="1"/>
        <rFont val="Calibri"/>
        <family val="2"/>
        <scheme val="minor"/>
      </rPr>
      <t>Santiago, Espaillat y Puerto Plata;</t>
    </r>
    <r>
      <rPr>
        <b/>
        <sz val="11"/>
        <color theme="1"/>
        <rFont val="Calibri"/>
        <family val="2"/>
        <scheme val="minor"/>
      </rPr>
      <t xml:space="preserve"> Region III</t>
    </r>
    <r>
      <rPr>
        <sz val="11"/>
        <color theme="1"/>
        <rFont val="Calibri"/>
        <family val="2"/>
        <scheme val="minor"/>
      </rPr>
      <t xml:space="preserve">: Duarte, Hermanas Mirabal,  Samaná y María T. Sánchez; </t>
    </r>
    <r>
      <rPr>
        <b/>
        <sz val="11"/>
        <color theme="1"/>
        <rFont val="Calibri"/>
        <family val="2"/>
        <scheme val="minor"/>
      </rPr>
      <t xml:space="preserve">Región IV: </t>
    </r>
    <r>
      <rPr>
        <sz val="11"/>
        <color theme="1"/>
        <rFont val="Calibri"/>
        <family val="2"/>
        <scheme val="minor"/>
      </rPr>
      <t xml:space="preserve">Barahona, Bahoruco, Pedernales e Independencia; </t>
    </r>
    <r>
      <rPr>
        <b/>
        <sz val="11"/>
        <color theme="1"/>
        <rFont val="Calibri"/>
        <family val="2"/>
        <scheme val="minor"/>
      </rPr>
      <t xml:space="preserve">Región V: </t>
    </r>
    <r>
      <rPr>
        <sz val="11"/>
        <color theme="1"/>
        <rFont val="Calibri"/>
        <family val="2"/>
        <scheme val="minor"/>
      </rPr>
      <t xml:space="preserve">San P. de Macorís, La Romana, El Seibo, Hato Mayor y La Altagracia; </t>
    </r>
    <r>
      <rPr>
        <b/>
        <sz val="11"/>
        <color theme="1"/>
        <rFont val="Calibri"/>
        <family val="2"/>
        <scheme val="minor"/>
      </rPr>
      <t xml:space="preserve">Región VI: </t>
    </r>
    <r>
      <rPr>
        <sz val="11"/>
        <color theme="1"/>
        <rFont val="Calibri"/>
        <family val="2"/>
        <scheme val="minor"/>
      </rPr>
      <t xml:space="preserve">San juan de la Maguana y Elias Piña; </t>
    </r>
    <r>
      <rPr>
        <b/>
        <sz val="11"/>
        <color theme="1"/>
        <rFont val="Calibri"/>
        <family val="2"/>
        <scheme val="minor"/>
      </rPr>
      <t xml:space="preserve">Región VII: </t>
    </r>
    <r>
      <rPr>
        <sz val="11"/>
        <color theme="1"/>
        <rFont val="Calibri"/>
        <family val="2"/>
        <scheme val="minor"/>
      </rPr>
      <t>Valverde, Santiago Rodríguez, Dajabón y Montecristi y</t>
    </r>
    <r>
      <rPr>
        <b/>
        <sz val="11"/>
        <color theme="1"/>
        <rFont val="Calibri"/>
        <family val="2"/>
        <scheme val="minor"/>
      </rPr>
      <t xml:space="preserve"> Región VIII: </t>
    </r>
    <r>
      <rPr>
        <sz val="11"/>
        <color theme="1"/>
        <rFont val="Calibri"/>
        <family val="2"/>
        <scheme val="minor"/>
      </rPr>
      <t xml:space="preserve">La Vega, Sánchez Ramírez y Monseñor Nouel.
</t>
    </r>
    <r>
      <rPr>
        <b/>
        <sz val="11"/>
        <color theme="1"/>
        <rFont val="Calibri"/>
        <family val="2"/>
        <scheme val="minor"/>
      </rPr>
      <t/>
    </r>
  </si>
  <si>
    <t xml:space="preserve">0-4 años  </t>
  </si>
  <si>
    <t>5-14 años</t>
  </si>
  <si>
    <t>15-24 años</t>
  </si>
  <si>
    <t>25-34 años</t>
  </si>
  <si>
    <t>35-44 años</t>
  </si>
  <si>
    <t xml:space="preserve">45-54 años </t>
  </si>
  <si>
    <t>55-64 años</t>
  </si>
  <si>
    <t xml:space="preserve"> 65 y más años</t>
  </si>
  <si>
    <t>Total / Provincia</t>
  </si>
  <si>
    <t>%  Provincia</t>
  </si>
  <si>
    <t>L a Altagracia</t>
  </si>
  <si>
    <t xml:space="preserve">Duarte </t>
  </si>
  <si>
    <t>Elías Piña</t>
  </si>
  <si>
    <t>Hato mayor del Rey</t>
  </si>
  <si>
    <t>La vega</t>
  </si>
  <si>
    <t xml:space="preserve">Pedernales </t>
  </si>
  <si>
    <t>Hermanas Mirabal</t>
  </si>
  <si>
    <t>San Juan de la Maguana</t>
  </si>
  <si>
    <t>Hato Mayor del Rey</t>
  </si>
  <si>
    <t>IV</t>
  </si>
  <si>
    <t>0-4  años</t>
  </si>
  <si>
    <t>45-54 años</t>
  </si>
  <si>
    <r>
      <t xml:space="preserve">Art. 124 Ley 87-01 .- Conservación temporal del derecho a servicios de salud: </t>
    </r>
    <r>
      <rPr>
        <sz val="10.5"/>
        <color theme="1"/>
        <rFont val="Calibri"/>
        <family val="2"/>
        <scheme val="minor"/>
      </rPr>
      <t>"Cuando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t>
    </r>
  </si>
  <si>
    <t xml:space="preserve">Rango de Edad </t>
  </si>
  <si>
    <t>Población Nacional</t>
  </si>
  <si>
    <t>Población Afiliada  SFS RC</t>
  </si>
  <si>
    <t>% Afiliación</t>
  </si>
  <si>
    <t>0-4</t>
  </si>
  <si>
    <t>5-9</t>
  </si>
  <si>
    <t>10-14</t>
  </si>
  <si>
    <t>65 -69</t>
  </si>
  <si>
    <t>70 y más</t>
  </si>
  <si>
    <t xml:space="preserve">Región </t>
  </si>
  <si>
    <t>Región 1</t>
  </si>
  <si>
    <t>Región 2</t>
  </si>
  <si>
    <t>Región 3</t>
  </si>
  <si>
    <t>Región 4</t>
  </si>
  <si>
    <t>Región 5</t>
  </si>
  <si>
    <t>Región 6</t>
  </si>
  <si>
    <t>Región 7</t>
  </si>
  <si>
    <t>Región 8</t>
  </si>
  <si>
    <t>No especificada</t>
  </si>
  <si>
    <t>Régimen Especial Transitorio para la Salud de Pensionados Ley 1896-379
Comparativo de la Población Afiliada al SFS RC  con la Población Nacional por Región
Al 31 de Diciembre 2011</t>
  </si>
  <si>
    <t xml:space="preserve">IV.1.1.6. Composición de la Afiliación Definitiva al SFS del  RC por Región de Salud, Tipo de Empleador y Estatus </t>
  </si>
  <si>
    <t>IV.1.1.5. Afiliación Definitiva al SFS del  RC por ARS y Rango de Edad</t>
  </si>
  <si>
    <t>IV.1.1.7. Afiliación Definitiva al SFS del  RC por Región de Salud y Rango de Edad</t>
  </si>
  <si>
    <t>IV.1.1.8. Afiliación Definitiva al SFS del  RC  Por Provincia y Rango de Edad</t>
  </si>
  <si>
    <t>IV.1.1.9. Afiliación Definitiva al SFS del  RC de por Provincia y Sector Económico</t>
  </si>
  <si>
    <t>IV.1.1.10. Afiliación Definitiva al SFS del  RC de Trabajadores de Empresas Privadas Por Provincia y Rango de Edad</t>
  </si>
  <si>
    <t>IV.1.1.11. Afiliación Definitiva al SFS del  RC de Trabajadores de Empresas Pública Descentralizadas por Provincia y Rango de Edad</t>
  </si>
  <si>
    <t xml:space="preserve">IV.1.1.12. Régimen Especial Transitorio para la Salud de Pensionados Ley 1896-379.  Afiliación Definitiva al SFS del  RC de Trabajadores de Empresas Pública Centralizadas por Provincia y Rango de Edad </t>
  </si>
  <si>
    <t>IV.1.1.14. Comparativo de la Población Afiliada al SFS RC  con la Población Nacional por Rango de Edad</t>
  </si>
  <si>
    <t>IV.1.1.15. Comparativo de la Población Afiliada al SFS RC  con la Población Nacional por Región</t>
  </si>
  <si>
    <t>IV.1.1.13. Afiliación Definitiva al SFS del  RC (Aplicación Artículo 24 de la Ley 87-01)</t>
  </si>
  <si>
    <t>IV.3.3. Dispersión SFSP por  ARS</t>
  </si>
  <si>
    <t>Seguro de Riesgos Laborales
Remuneración por Discapacidad y Sobrevivencia del SRL
Año 2010</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</si>
  <si>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</si>
  <si>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</si>
  <si>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Enero 2012</t>
  </si>
  <si>
    <t>Seguro de Riesgos Laborales
Reporte de Accidentes Laborales y Enfermedades Profesionales por Ocupación
Período: 2004 - Enero 2012</t>
  </si>
  <si>
    <t>%  Afiliados Titulares RC</t>
  </si>
  <si>
    <t>Niños Estatus Ok-Ok/ Nómina TSS</t>
  </si>
  <si>
    <t>Tasa de Crecimiento Anual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</si>
  <si>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</si>
  <si>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</si>
  <si>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</si>
  <si>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</si>
  <si>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</si>
  <si>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</si>
  <si>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</si>
  <si>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</si>
  <si>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</si>
  <si>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</si>
  <si>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</si>
  <si>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 Casos Dictáminados por CMNR en Relación a Solicitudes Registradas: 64.6%
Periodo: Octubre 2008 - Marzo 2012</t>
  </si>
  <si>
    <t>V.1.9. Composición de la Cartera de inversión de los Fondos de Pensiones por tipo de Emisor</t>
  </si>
  <si>
    <t>Estancias habilitadas</t>
  </si>
  <si>
    <t>Abr.12</t>
  </si>
  <si>
    <t>Adm. Serv. Médicos Amor y Paz</t>
  </si>
  <si>
    <t>Palic Salud</t>
  </si>
  <si>
    <t>% Accidentados
 20 -29 años</t>
  </si>
  <si>
    <t>% Accidentados
 30 -39 años</t>
  </si>
  <si>
    <t>Certificados de Depósitos</t>
  </si>
  <si>
    <t>n/d</t>
  </si>
  <si>
    <t>Ocupada Sector Formal</t>
  </si>
  <si>
    <t>Banco León</t>
  </si>
  <si>
    <t xml:space="preserve"> No Especificado</t>
  </si>
  <si>
    <t>Pago de beneficios del SRL por Accidentes de Trabajo y Enfermedades Profesionales.</t>
  </si>
  <si>
    <t>Población Afiliada              SFS RC</t>
  </si>
  <si>
    <t xml:space="preserve"> 2002</t>
  </si>
  <si>
    <t>El empleo formal es aquel que proporciona el estado o la iniciativa privada;  tributa al estado; es contabilizado estadísticamente; está sujeto a la legislación laboral nacional y recibe prestaciones relacionadas con el empleo (preaviso al despido, indemnización por despido, vacaciones anuales pagadas, licencias pagadas por enfermedad, etc.)
El estudio de Mercado de Trabajo del Banco Central incluye en el Sector Formal a todos los ocupados asalariados que laboran en establecimientos con 5 ó más trabajadores, además a los trabajadores por cuenta propia y patronos que pertenecen a los grupos ocupacionales Administrativos y Profesionales y Técnicos, independientemente del tamaño del establecimiento donde laboran.</t>
  </si>
  <si>
    <t>Bco. Reservas</t>
  </si>
  <si>
    <t>Enero</t>
  </si>
  <si>
    <t>Febrero</t>
  </si>
  <si>
    <t>Marzo</t>
  </si>
  <si>
    <t>Abril</t>
  </si>
  <si>
    <t>Mayo</t>
  </si>
  <si>
    <t>Junio</t>
  </si>
  <si>
    <t>Zona Procedencia</t>
  </si>
  <si>
    <t>0-6 Meses</t>
  </si>
  <si>
    <t>7-11 Meses</t>
  </si>
  <si>
    <t>1-2 Años</t>
  </si>
  <si>
    <t>3-5 Años</t>
  </si>
  <si>
    <t xml:space="preserve">Seguro de Riesgos Laborales
Prestaciones Económicas Otorgadas por el SRL, por Tipo de Prestación
Período: Enero - Noviembre 2009
(Millones RD$)
</t>
  </si>
  <si>
    <t>Ingresos del SDSS</t>
  </si>
  <si>
    <t>Egreso del SDSS</t>
  </si>
  <si>
    <t>Recaudo (RC)</t>
  </si>
  <si>
    <t>Aportes del Gob. (RS)</t>
  </si>
  <si>
    <t>Ingresos SDSS</t>
  </si>
  <si>
    <t xml:space="preserve">Variación anual </t>
  </si>
  <si>
    <t>% Recaudo</t>
  </si>
  <si>
    <t>% Aportes Gob.</t>
  </si>
  <si>
    <t>Dispersión RC</t>
  </si>
  <si>
    <t>Egresos SDSS</t>
  </si>
  <si>
    <t xml:space="preserve">% Disper. RC </t>
  </si>
  <si>
    <t>% Disper. SENASA</t>
  </si>
  <si>
    <t xml:space="preserve">Seguro de Riesgos Laborales
Prestaciones en Gastos Médicos al Seguro de Riesgos Laborales (SRL)
Enero - Noviembre 2009
(Miles RD$) </t>
  </si>
  <si>
    <t xml:space="preserve">Seguro de Riesgos Laborales
Gastos del SRL en el Programa de Prevención de Riesgos
Enero - Noviembre 2009 </t>
  </si>
  <si>
    <t>Seguro de Riesgos Laborales
Subsidio por Discapacidad Temporal del SRL
Enero - Noviembre 2009</t>
  </si>
  <si>
    <t>Jul. 2012</t>
  </si>
  <si>
    <t>Ene-Jul.12</t>
  </si>
  <si>
    <t>Saldo Ingresos (CCS+ FONAMAT+ Rend.) - Dispersión (CCS+ FONAMAT)</t>
  </si>
  <si>
    <t>Fondo  CCS Invertido</t>
  </si>
  <si>
    <r>
      <t xml:space="preserve">Seguro Familiar de Salud (SFS) del Régimen Subsidiado (RS)
Comportamiento de la Afiliación al SFS del RS con relación  a la Población Pobre del País ( Escenario Banco Mundial)                                                      
</t>
    </r>
    <r>
      <rPr>
        <b/>
        <sz val="11"/>
        <color theme="0"/>
        <rFont val="Calibri"/>
        <family val="2"/>
      </rPr>
      <t xml:space="preserve">Período: Diciembre 2004 - Julio 2012                                                                       </t>
    </r>
  </si>
  <si>
    <r>
      <t xml:space="preserve">        Seguro Familiar de Salud (SFS) del Régimen Subsidiado (RS)
Comportamiento de la Afiliación al SFS del RS con relación  a la Población Pobre del País ( Según Indice de Calidad de Vida (ICV)) 
</t>
    </r>
    <r>
      <rPr>
        <b/>
        <sz val="14"/>
        <color theme="0"/>
        <rFont val="Calibri"/>
        <family val="2"/>
      </rPr>
      <t xml:space="preserve">Período: Diciembre 2004 -  Julio 2012                                                                                           </t>
    </r>
  </si>
  <si>
    <t>Ocupada Formal</t>
  </si>
  <si>
    <t>Población Ocupada Sector Formal*</t>
  </si>
  <si>
    <t xml:space="preserve">
Comparativo de la Población Afiliada al SFS RC  con la Población Nacional por Rango de Edad
Al 31 de Diciembre 2011</t>
  </si>
  <si>
    <t>% Población Pobre del País Pobreza Monetaria MEPYD</t>
  </si>
  <si>
    <t xml:space="preserve"> Sin Individualizar</t>
  </si>
  <si>
    <t xml:space="preserve">Nota de Renta Fija </t>
  </si>
  <si>
    <t xml:space="preserve">Certificados de Ventanillas </t>
  </si>
  <si>
    <t xml:space="preserve">Letras Hipotecarias </t>
  </si>
  <si>
    <t>Julio</t>
  </si>
  <si>
    <t>Afiliados  SRL</t>
  </si>
  <si>
    <t>Altagracia</t>
  </si>
  <si>
    <t>%  Accidentado /Afiliado Sector Público</t>
  </si>
  <si>
    <t xml:space="preserve">    % Accidentado /Afiliado Sector Privado</t>
  </si>
  <si>
    <t>Seguro de Riesgos Laborales
Cantidad de Expedientes Calificados  por la ARL por Antiguedad en el Puesto de Trabajo
Período: 2009 - Julio 2012</t>
  </si>
  <si>
    <t>6-10 Años</t>
  </si>
  <si>
    <t>11-15 Años</t>
  </si>
  <si>
    <t>Más de 15 Años</t>
  </si>
  <si>
    <t>Ago.12</t>
  </si>
  <si>
    <t xml:space="preserve"> FSS</t>
  </si>
  <si>
    <t>Región</t>
  </si>
  <si>
    <t>Pensionados de Hacienda</t>
  </si>
  <si>
    <t>No. De Empleados</t>
  </si>
  <si>
    <t>Saldo (Recaudo - Dispersión)</t>
  </si>
  <si>
    <t>Saldo  (Ingresos - Egresos SDSS)</t>
  </si>
  <si>
    <t xml:space="preserve"> Dic-12</t>
  </si>
  <si>
    <t>Nov.11</t>
  </si>
  <si>
    <t>Ene.12</t>
  </si>
  <si>
    <t>Feb.12</t>
  </si>
  <si>
    <t>May.12</t>
  </si>
  <si>
    <t>Jun.12</t>
  </si>
  <si>
    <t>Jul.12</t>
  </si>
  <si>
    <t>Informe Sistema Dominicano Seguridad Social
(SDSS)</t>
  </si>
  <si>
    <t>IV.3. Régimen Especial Transitorio Para la Salud de Pensionados Leyes 1896 y 379</t>
  </si>
  <si>
    <t>Sep.12</t>
  </si>
  <si>
    <t>% Mecanismo</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</si>
  <si>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</si>
  <si>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</si>
  <si>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</si>
  <si>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</si>
  <si>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</si>
  <si>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</si>
  <si>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</si>
  <si>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</si>
  <si>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</si>
  <si>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</si>
  <si>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</si>
  <si>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</si>
  <si>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 xml:space="preserve">Dispersión Cuenta de Salud  (ARS)           </t>
  </si>
  <si>
    <t>Recaudo Cuidado de la Salud (RC) 
CCS</t>
  </si>
  <si>
    <t>Rendimientos  Seguro Familiar de Salud (SFS)</t>
  </si>
  <si>
    <t xml:space="preserve">Ingreso total </t>
  </si>
  <si>
    <t>Población Económicamente Activa (PEA) Total</t>
  </si>
  <si>
    <t>Dic. 2012</t>
  </si>
  <si>
    <t>2012</t>
  </si>
  <si>
    <t>Dic.08</t>
  </si>
  <si>
    <t>Dic.12</t>
  </si>
  <si>
    <t>Saldo 
(Aportes - Pago SENASA)</t>
  </si>
  <si>
    <t>Dic.2007</t>
  </si>
  <si>
    <t>Dic.2008</t>
  </si>
  <si>
    <t>Dic.2011</t>
  </si>
  <si>
    <t>Dic.2012</t>
  </si>
  <si>
    <t>Total Dispersado
 (Salud + FONAMAT)</t>
  </si>
  <si>
    <t xml:space="preserve"> 2012</t>
  </si>
  <si>
    <t>IV.2.1.3. Comportamiento de la Afiliación al SFS del RS con relación  a la Población Pobre del País ( Escenario MEPYD)</t>
  </si>
  <si>
    <t>IV.2.1.4. Porcentaje de Cobertura del Régimen Subsidiado con Relación a la Población pobre según ICV</t>
  </si>
  <si>
    <t>IV.2.1.4. Indice de Dependencia del RS</t>
  </si>
  <si>
    <t xml:space="preserve">     IV.1. Régimen Contributivo (RC)</t>
  </si>
  <si>
    <t xml:space="preserve">           IV.1.1. Afiliación</t>
  </si>
  <si>
    <t xml:space="preserve">    IV.4.1 Estancias Infantiles (EI)</t>
  </si>
  <si>
    <t>Tasa de incremento promedio</t>
  </si>
  <si>
    <t>Ene-Dic. 2012</t>
  </si>
  <si>
    <t>Dic. 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</si>
  <si>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</si>
  <si>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Número de Casos Solicitando Pensión a España, depositados en esta Oficina de Enlace</t>
  </si>
  <si>
    <t>Solicitud de Pensión por Vejez a República Dominicana (Desde España a RD)</t>
  </si>
  <si>
    <t>Solicitud  de Pensión por jubilación España (Desde RD a España)</t>
  </si>
  <si>
    <t>Solicitud de Pensión por discapacidad a República Dominicana (Desde España a RD)</t>
  </si>
  <si>
    <t>Solicitud de Pensión por Incapacidad España (Desde RD a España)</t>
  </si>
  <si>
    <t>Solicitud De Pensión por Sobrevivencia Desde España a RD</t>
  </si>
  <si>
    <t>0</t>
  </si>
  <si>
    <t>Tipos de Solicitudes Entrantes y Salientes (RD &amp; España)</t>
  </si>
  <si>
    <t>Solicitudes de Períodos Cotizados (nuevos expediente desde España)</t>
  </si>
  <si>
    <t>Reiteraciones de expedientes desde España (Respuesta al expediente que está proceso)</t>
  </si>
  <si>
    <t>Deposito de documentación requerida desde España a República Dominicana</t>
  </si>
  <si>
    <t>Otros tipos de Solicitudes desde España a República Dominicana</t>
  </si>
  <si>
    <t>Otros tipos de respuestas desde República Dominicana a España</t>
  </si>
  <si>
    <t xml:space="preserve">Respuestas a Solicitudes de períodos cotizados </t>
  </si>
  <si>
    <t xml:space="preserve">Solicitud de eximición entrantes </t>
  </si>
  <si>
    <t>Solicitud de eximición salientes)</t>
  </si>
  <si>
    <t>Resoluciones Conclusiva Número Casos Cerrados por decisión de la entidad que otorga la prestación solicitada y notificados a las partes</t>
  </si>
  <si>
    <t>2. Total de expedientes en espera de certificación (Contraloría General de la RD, DIDA, TSS,FFAA, ISSPOL, Otros)</t>
  </si>
  <si>
    <t>Número Casos Tramitados opción al Ministerio de Hacienda</t>
  </si>
  <si>
    <t>Número Casos Tramitados ante entidades descentralizadas.</t>
  </si>
  <si>
    <t>Número de casos reiterados descentralizadas</t>
  </si>
  <si>
    <t>Número de casos reiterados centralizadas</t>
  </si>
  <si>
    <t>Expediente en espera de Ministerio de Hacienda de la RD</t>
  </si>
  <si>
    <t>Número de Casos Tramitados ante la DIDA Para solicitudes de cerificaciones</t>
  </si>
  <si>
    <t>Expediente en espera de la TSS</t>
  </si>
  <si>
    <t>Expediente en espera del IDSS</t>
  </si>
  <si>
    <t>Expediente en espera del FFAA</t>
  </si>
  <si>
    <t>Expedientes en espera del ISSPOL</t>
  </si>
  <si>
    <t>Expediente en espera de la Contraloría General de la RD</t>
  </si>
  <si>
    <t>VIII. 1.  Tipos de Solicitudes para Pensiones  Desde RD o España</t>
  </si>
  <si>
    <t>VIII. 2.  Tipos de Solicitudes Entrantes y Salientes (RD &amp; España)</t>
  </si>
  <si>
    <t>VIII. 3.  Solicitudes  Realizadas Desde la República Dominicana a España y de Entidades Centralizadas y Descentralizadas</t>
  </si>
  <si>
    <t>VIII. Solicitudes y Tramites de la Oficina de Enlace del Convenio Bilateral España/ República Dominicana</t>
  </si>
  <si>
    <t>IV.1.3 Gestión de Fondos Acumulados del SFS</t>
  </si>
  <si>
    <t xml:space="preserve"> IV.1.2. Recaudo y Dispersión</t>
  </si>
  <si>
    <t>IV.4.2 Subsidios: Maternidad, Lactancia y Enfermedad Común</t>
  </si>
  <si>
    <r>
      <t xml:space="preserve"> </t>
    </r>
    <r>
      <rPr>
        <b/>
        <sz val="12"/>
        <color theme="0"/>
        <rFont val="Calibri"/>
        <family val="2"/>
      </rPr>
      <t xml:space="preserve">01 y 05  </t>
    </r>
  </si>
  <si>
    <r>
      <t xml:space="preserve"> </t>
    </r>
    <r>
      <rPr>
        <b/>
        <sz val="12"/>
        <color theme="0"/>
        <rFont val="Calibri"/>
        <family val="2"/>
      </rPr>
      <t xml:space="preserve">06 y 10  </t>
    </r>
  </si>
  <si>
    <r>
      <t xml:space="preserve"> </t>
    </r>
    <r>
      <rPr>
        <b/>
        <sz val="12"/>
        <color theme="0"/>
        <rFont val="Calibri"/>
        <family val="2"/>
      </rPr>
      <t xml:space="preserve">11 y 20  </t>
    </r>
  </si>
  <si>
    <r>
      <t xml:space="preserve"> </t>
    </r>
    <r>
      <rPr>
        <b/>
        <sz val="12"/>
        <color theme="0"/>
        <rFont val="Calibri"/>
        <family val="2"/>
      </rPr>
      <t xml:space="preserve">21 y 50  </t>
    </r>
  </si>
  <si>
    <r>
      <t xml:space="preserve"> </t>
    </r>
    <r>
      <rPr>
        <b/>
        <sz val="12"/>
        <color theme="0"/>
        <rFont val="Calibri"/>
        <family val="2"/>
      </rPr>
      <t xml:space="preserve">51 y 100  </t>
    </r>
  </si>
  <si>
    <r>
      <t xml:space="preserve"> </t>
    </r>
    <r>
      <rPr>
        <b/>
        <sz val="12"/>
        <color theme="0"/>
        <rFont val="Calibri"/>
        <family val="2"/>
      </rPr>
      <t xml:space="preserve">101 y 500  </t>
    </r>
  </si>
  <si>
    <r>
      <t xml:space="preserve"> </t>
    </r>
    <r>
      <rPr>
        <b/>
        <sz val="12"/>
        <color theme="0"/>
        <rFont val="Calibri"/>
        <family val="2"/>
      </rPr>
      <t xml:space="preserve">501 y 1,000  </t>
    </r>
  </si>
  <si>
    <r>
      <t xml:space="preserve"> </t>
    </r>
    <r>
      <rPr>
        <b/>
        <sz val="12"/>
        <color theme="0"/>
        <rFont val="Calibri"/>
        <family val="2"/>
      </rPr>
      <t xml:space="preserve">1,001 y 10,000  </t>
    </r>
  </si>
  <si>
    <r>
      <t xml:space="preserve"> </t>
    </r>
    <r>
      <rPr>
        <b/>
        <sz val="12"/>
        <color theme="0"/>
        <rFont val="Calibri"/>
        <family val="2"/>
      </rPr>
      <t xml:space="preserve">Mas de 10,000  </t>
    </r>
  </si>
  <si>
    <t>Ene.13</t>
  </si>
  <si>
    <t>Ene. 13</t>
  </si>
  <si>
    <t>Pensiones Sobrevivencia</t>
  </si>
  <si>
    <t>Beneficiarios  por pensiones de Sobrevivencia</t>
  </si>
  <si>
    <t>Cantidad de Beneficiarios de Pensión por Sobrevivencia según Género</t>
  </si>
  <si>
    <t>Al 30 de Septiembre de 2012</t>
  </si>
  <si>
    <t>AFP</t>
  </si>
  <si>
    <t>Plan Sustitutivo - Banco Central</t>
  </si>
  <si>
    <t>Plan Sustitutivo - Banco de Reservas</t>
  </si>
  <si>
    <t>Instituto Dominicano de Seguridad Social (IDSS)</t>
  </si>
  <si>
    <t>Concepto</t>
  </si>
  <si>
    <t>IDSS</t>
  </si>
  <si>
    <t>Plan Sustitutivo BR</t>
  </si>
  <si>
    <t>Plan Sustitutivo BCRD</t>
  </si>
  <si>
    <t>Mar.09</t>
  </si>
  <si>
    <t>Sep.09</t>
  </si>
  <si>
    <t>Dic.07</t>
  </si>
  <si>
    <t>Dic.06</t>
  </si>
  <si>
    <t>Discapacidad Parcial</t>
  </si>
  <si>
    <t>Discapacidad Total</t>
  </si>
  <si>
    <t>Afiliados</t>
  </si>
  <si>
    <t xml:space="preserve">Cotizantes </t>
  </si>
  <si>
    <t>Dic.03</t>
  </si>
  <si>
    <t>Dic.04</t>
  </si>
  <si>
    <t>Dic.05</t>
  </si>
  <si>
    <t>Afiliados Masculinos</t>
  </si>
  <si>
    <t>Cotizantes Femeninos</t>
  </si>
  <si>
    <t>Cotizantes Masculinos</t>
  </si>
  <si>
    <t>Afiliados Femeninos</t>
  </si>
  <si>
    <t xml:space="preserve">Afiliados </t>
  </si>
  <si>
    <t xml:space="preserve">Cotizantes     </t>
  </si>
  <si>
    <t>ARS Nombre</t>
  </si>
  <si>
    <t>Total general</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</si>
  <si>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</si>
  <si>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</si>
  <si>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</si>
  <si>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</si>
  <si>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</si>
  <si>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</si>
  <si>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</si>
  <si>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</si>
  <si>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</si>
  <si>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</si>
  <si>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</si>
  <si>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</si>
  <si>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</si>
  <si>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</si>
  <si>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</si>
  <si>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</si>
  <si>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</si>
  <si>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85 Y MÁS</t>
  </si>
  <si>
    <t>Ars</t>
  </si>
  <si>
    <r>
      <rPr>
        <b/>
        <sz val="12"/>
        <color theme="1"/>
        <rFont val="Calibri"/>
        <family val="2"/>
        <scheme val="minor"/>
      </rPr>
      <t>La Región 0</t>
    </r>
    <r>
      <rPr>
        <sz val="12"/>
        <color theme="1"/>
        <rFont val="Calibri"/>
        <family val="2"/>
        <scheme val="minor"/>
      </rPr>
      <t xml:space="preserve"> comprende las provincias de: Santo Domindo, Monte Plata y el Distrito Nacional; 
</t>
    </r>
    <r>
      <rPr>
        <b/>
        <sz val="12"/>
        <color theme="1"/>
        <rFont val="Calibri"/>
        <family val="2"/>
        <scheme val="minor"/>
      </rPr>
      <t>Región I:</t>
    </r>
    <r>
      <rPr>
        <sz val="12"/>
        <color theme="1"/>
        <rFont val="Calibri"/>
        <family val="2"/>
        <scheme val="minor"/>
      </rPr>
      <t xml:space="preserve"> San Cristóbal, Azua, Peravia y Ocoa;</t>
    </r>
    <r>
      <rPr>
        <b/>
        <sz val="12"/>
        <color theme="1"/>
        <rFont val="Calibri"/>
        <family val="2"/>
        <scheme val="minor"/>
      </rPr>
      <t xml:space="preserve">  
Región II: </t>
    </r>
    <r>
      <rPr>
        <sz val="12"/>
        <color theme="1"/>
        <rFont val="Calibri"/>
        <family val="2"/>
        <scheme val="minor"/>
      </rPr>
      <t>Santiago, Espaillat y Puerto Plata;</t>
    </r>
    <r>
      <rPr>
        <b/>
        <sz val="12"/>
        <color theme="1"/>
        <rFont val="Calibri"/>
        <family val="2"/>
        <scheme val="minor"/>
      </rPr>
      <t xml:space="preserve"> 
Region III</t>
    </r>
    <r>
      <rPr>
        <sz val="12"/>
        <color theme="1"/>
        <rFont val="Calibri"/>
        <family val="2"/>
        <scheme val="minor"/>
      </rPr>
      <t xml:space="preserve">: Duarte, Hermanas Mirabal,  Samaná y María T. Sánchez; 
</t>
    </r>
    <r>
      <rPr>
        <b/>
        <sz val="12"/>
        <color theme="1"/>
        <rFont val="Calibri"/>
        <family val="2"/>
        <scheme val="minor"/>
      </rPr>
      <t xml:space="preserve">Región IV: </t>
    </r>
    <r>
      <rPr>
        <sz val="12"/>
        <color theme="1"/>
        <rFont val="Calibri"/>
        <family val="2"/>
        <scheme val="minor"/>
      </rPr>
      <t xml:space="preserve">Barahona, Bahoruco, Pedernales e Independencia; 
</t>
    </r>
    <r>
      <rPr>
        <b/>
        <sz val="12"/>
        <color theme="1"/>
        <rFont val="Calibri"/>
        <family val="2"/>
        <scheme val="minor"/>
      </rPr>
      <t xml:space="preserve">Región V: </t>
    </r>
    <r>
      <rPr>
        <sz val="12"/>
        <color theme="1"/>
        <rFont val="Calibri"/>
        <family val="2"/>
        <scheme val="minor"/>
      </rPr>
      <t xml:space="preserve">San P. de Macorís, La Romana, El Seibo, Hato Mayor y La Altagracia;
 </t>
    </r>
    <r>
      <rPr>
        <b/>
        <sz val="12"/>
        <color theme="1"/>
        <rFont val="Calibri"/>
        <family val="2"/>
        <scheme val="minor"/>
      </rPr>
      <t xml:space="preserve">Región VI: </t>
    </r>
    <r>
      <rPr>
        <sz val="12"/>
        <color theme="1"/>
        <rFont val="Calibri"/>
        <family val="2"/>
        <scheme val="minor"/>
      </rPr>
      <t xml:space="preserve">San juan de la Maguana y Elias Piña;
 </t>
    </r>
    <r>
      <rPr>
        <b/>
        <sz val="12"/>
        <color theme="1"/>
        <rFont val="Calibri"/>
        <family val="2"/>
        <scheme val="minor"/>
      </rPr>
      <t xml:space="preserve">Región VII: </t>
    </r>
    <r>
      <rPr>
        <sz val="12"/>
        <color theme="1"/>
        <rFont val="Calibri"/>
        <family val="2"/>
        <scheme val="minor"/>
      </rPr>
      <t xml:space="preserve">Valverde, Santiago Rodríguez, Dajabón y Montecristi 
</t>
    </r>
    <r>
      <rPr>
        <b/>
        <sz val="12"/>
        <color theme="1"/>
        <rFont val="Calibri"/>
        <family val="2"/>
        <scheme val="minor"/>
      </rPr>
      <t xml:space="preserve">Región VIII: </t>
    </r>
    <r>
      <rPr>
        <sz val="12"/>
        <color theme="1"/>
        <rFont val="Calibri"/>
        <family val="2"/>
        <scheme val="minor"/>
      </rPr>
      <t xml:space="preserve">La Vega, Sánchez Ramírez y Monseñor Nouel.
</t>
    </r>
    <r>
      <rPr>
        <b/>
        <sz val="12"/>
        <color theme="1"/>
        <rFont val="Calibri"/>
        <family val="2"/>
        <scheme val="minor"/>
      </rPr>
      <t>Art. 124 Ley 87-01 .-</t>
    </r>
    <r>
      <rPr>
        <sz val="12"/>
        <color theme="1"/>
        <rFont val="Calibri"/>
        <family val="2"/>
        <scheme val="minor"/>
      </rPr>
      <t xml:space="preserve"> Conservación temporal del derecho a servicios de salud: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t>
    </r>
  </si>
  <si>
    <t>Solicitudes Totales</t>
  </si>
  <si>
    <t>% Trayecto</t>
  </si>
  <si>
    <t>% Conexo</t>
  </si>
  <si>
    <t>% Trabajo</t>
  </si>
  <si>
    <t>Ene.09</t>
  </si>
  <si>
    <t>Feb.09</t>
  </si>
  <si>
    <t>Abr.09</t>
  </si>
  <si>
    <t>May.09</t>
  </si>
  <si>
    <t>Jun.09</t>
  </si>
  <si>
    <t>Jul.09</t>
  </si>
  <si>
    <t>Ago.09</t>
  </si>
  <si>
    <t>Oct.09</t>
  </si>
  <si>
    <t>Nov.09</t>
  </si>
  <si>
    <r>
      <t xml:space="preserve">Seguro de Riesgos Laborales
Pensiones por Sobrevivencia del SRL
</t>
    </r>
    <r>
      <rPr>
        <b/>
        <sz val="16"/>
        <color theme="0"/>
        <rFont val="Calibri"/>
        <family val="2"/>
        <scheme val="minor"/>
      </rPr>
      <t>Período: Enero - Noviembre 2009</t>
    </r>
  </si>
  <si>
    <t>Ene.  2013</t>
  </si>
  <si>
    <t>% Población  Cubierta RC</t>
  </si>
  <si>
    <t>Población RC+ RET</t>
  </si>
  <si>
    <t>% Población Pobre cubierta por el RS</t>
  </si>
  <si>
    <t>%Población Pobre (RS)
MEPYD</t>
  </si>
  <si>
    <t>% Población Total Cubierta Por SDSS</t>
  </si>
  <si>
    <t>Diferencia</t>
  </si>
  <si>
    <t>Afiliación Definitiva SDSS</t>
  </si>
  <si>
    <t>% Cubierto RET</t>
  </si>
  <si>
    <t>Estadísticas De Mercado De Trabajo
Distribución de la Población Ocupada Formal por Rama de Actividad</t>
  </si>
  <si>
    <r>
      <rPr>
        <b/>
        <sz val="13"/>
        <color indexed="8"/>
        <rFont val="Calibri"/>
        <family val="2"/>
      </rPr>
      <t xml:space="preserve">Los ingresos </t>
    </r>
    <r>
      <rPr>
        <sz val="13"/>
        <color theme="1"/>
        <rFont val="Calibri"/>
        <family val="2"/>
        <scheme val="minor"/>
      </rPr>
      <t xml:space="preserve">que percibe el Sistema Dominicano de Seguridad Social (SDSS) provienen del recaudo por concepto de cotizaciones y contribuciones obligatorias de los afiliados y de los empleadores, el importe por recargo en intereses por mora, multas, y las aportaciones del gobierno central para financiar al Régimen Subsidiado, así como los aportes realizados para cubrir al FONAMAT, el servicio de Salud para Pensionados del Ministerio de Hacienda (Leyes 1896 y 379) y los aportes para  proyectos especiales.  </t>
    </r>
    <r>
      <rPr>
        <b/>
        <sz val="13"/>
        <color indexed="8"/>
        <rFont val="Calibri"/>
        <family val="2"/>
      </rPr>
      <t>Recaudo</t>
    </r>
    <r>
      <rPr>
        <sz val="13"/>
        <color theme="1"/>
        <rFont val="Calibri"/>
        <family val="2"/>
        <scheme val="minor"/>
      </rPr>
      <t xml:space="preserve"> -La recaudación es el proceso mediante el cual la Tesorería de la Seguridad Social recibe las cotizaciones y contribuciones de los trabajadores y empleadores a través de las entidades de la  Red Financiera Nacional autorizadas. </t>
    </r>
    <r>
      <rPr>
        <b/>
        <sz val="13"/>
        <color indexed="8"/>
        <rFont val="Calibri"/>
        <family val="2"/>
      </rPr>
      <t>Los egresos</t>
    </r>
    <r>
      <rPr>
        <sz val="13"/>
        <color theme="1"/>
        <rFont val="Calibri"/>
        <family val="2"/>
        <scheme val="minor"/>
      </rPr>
      <t xml:space="preserve"> los componen los desembolsos o dispersión realizados a las diferentes instituciones que componen el sistema.  </t>
    </r>
    <r>
      <rPr>
        <b/>
        <sz val="13"/>
        <color indexed="8"/>
        <rFont val="Calibri"/>
        <family val="2"/>
      </rPr>
      <t>Dispersión</t>
    </r>
    <r>
      <rPr>
        <sz val="13"/>
        <color theme="1"/>
        <rFont val="Calibri"/>
        <family val="2"/>
        <scheme val="minor"/>
      </rPr>
      <t xml:space="preserve"> - Es el procedimiento a través del cual UNIPAGO remite a la entidades receptoras finales de los aportes recibidos de los contribuyentes, un reporte con el detalle de los créditos o pagos que le serán efectuados. Este proceso permite que cada entidad concilie los recursos a ser recibidos con la información disponible en sus bases de datos, para que cualquier diferencia se pueda aclarar antes de efectuarse la transferencia de los recursos. 
</t>
    </r>
    <r>
      <rPr>
        <b/>
        <sz val="11"/>
        <color indexed="8"/>
        <rFont val="Calibri"/>
        <family val="2"/>
      </rPr>
      <t/>
    </r>
  </si>
  <si>
    <r>
      <t xml:space="preserve">Estancias Infantiles (EI) del Régimen Contributivo (RC)
</t>
    </r>
    <r>
      <rPr>
        <b/>
        <sz val="12"/>
        <color theme="0"/>
        <rFont val="Calibri"/>
        <family val="2"/>
      </rPr>
      <t>Evolución en el Resultado del Proceso de Afiliación</t>
    </r>
  </si>
  <si>
    <t>% Cotizantes por AFP</t>
  </si>
  <si>
    <t xml:space="preserve">Sin individualizar </t>
  </si>
  <si>
    <t>Cotizantes Masculino</t>
  </si>
  <si>
    <t>Cotizantes Femenino</t>
  </si>
  <si>
    <t xml:space="preserve">Afiliación cotizantes    SVDS                                        </t>
  </si>
  <si>
    <t>Ocupados
Femenino</t>
  </si>
  <si>
    <t>Ocupados
Masculino</t>
  </si>
  <si>
    <t>Ocupados Femenino</t>
  </si>
  <si>
    <t>Ocupados Masculino</t>
  </si>
  <si>
    <t>Poblacíon Ocupada de la RD</t>
  </si>
  <si>
    <t>60 y más</t>
  </si>
  <si>
    <t>20-39 años</t>
  </si>
  <si>
    <t>40-59 años</t>
  </si>
  <si>
    <t>Población Ocupada Formal</t>
  </si>
  <si>
    <t>Total de Beneficiarios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</si>
  <si>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</si>
  <si>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</si>
  <si>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</si>
  <si>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</si>
  <si>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</si>
  <si>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</si>
  <si>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</si>
  <si>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</si>
  <si>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</si>
  <si>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Afiliación  Definitiva del RS</t>
  </si>
  <si>
    <t>RET Definitiva</t>
  </si>
  <si>
    <t>Población Definitiva RC+RET</t>
  </si>
  <si>
    <t>Afiliación  Defintiva 
RC</t>
  </si>
  <si>
    <t>Población pobre</t>
  </si>
  <si>
    <r>
      <t xml:space="preserve">Porcentaje de la Población Total Cubierta por Régimen Contributivo y Subsidiado
</t>
    </r>
    <r>
      <rPr>
        <b/>
        <sz val="20"/>
        <color theme="0"/>
        <rFont val="Calibri"/>
        <family val="2"/>
        <scheme val="minor"/>
      </rPr>
      <t>Período: 2003 - Febrero 2013</t>
    </r>
  </si>
  <si>
    <t>Feb.13</t>
  </si>
  <si>
    <t>Ene-Feb. 2013</t>
  </si>
  <si>
    <t>Feb-13</t>
  </si>
  <si>
    <r>
      <t xml:space="preserve">Seguro de Vejez, Discapacidad y Sobrevivencia (SVDS)
Distribución de los Afiliados Cotizantes  al SVDS por sexo
</t>
    </r>
    <r>
      <rPr>
        <b/>
        <sz val="12"/>
        <color theme="0"/>
        <rFont val="Calibri"/>
        <family val="2"/>
        <scheme val="minor"/>
      </rPr>
      <t>Período: Diciembre 2003 - Febrero 2013</t>
    </r>
  </si>
  <si>
    <r>
      <t xml:space="preserve">Seguro de Vejez, Discapacidad y Sobrevivencia (SVDS)
Dispersión Anual por Cuentas del SVDS (RD$)
</t>
    </r>
    <r>
      <rPr>
        <b/>
        <sz val="12"/>
        <color theme="0"/>
        <rFont val="Calibri"/>
        <family val="2"/>
        <scheme val="minor"/>
      </rPr>
      <t>Período: 2004 - Febrero 2013</t>
    </r>
  </si>
  <si>
    <t>%  Afil./Ocup.</t>
  </si>
  <si>
    <t>Feb.  2013</t>
  </si>
  <si>
    <t>4</t>
  </si>
  <si>
    <t>Gasto en salud SDSS</t>
  </si>
  <si>
    <t>Afiliación  
 RS</t>
  </si>
  <si>
    <t>Afiliación  RET</t>
  </si>
  <si>
    <t>Afiliación Total al SDSS</t>
  </si>
  <si>
    <t>No. de Cápitas Pagadas por Afiliados
RC</t>
  </si>
  <si>
    <t>No. de Cápitas Pagadas por Afiliado
 RS</t>
  </si>
  <si>
    <t>No. de Cápitas Pagadas por Afiliado 
RET</t>
  </si>
  <si>
    <t xml:space="preserve">No. de Cápitas Pagadas por Afiliado Total al SDSS </t>
  </si>
  <si>
    <t>Afiliados Titulares RC</t>
  </si>
  <si>
    <t>Dependientes  Totales 
RC</t>
  </si>
  <si>
    <t>Depend.  Directos  RC</t>
  </si>
  <si>
    <t>Depend.  Adicionales RC</t>
  </si>
  <si>
    <t xml:space="preserve">Afiliación Total SFS RC </t>
  </si>
  <si>
    <t>%  Afiliados Dep.  Totales
 RC</t>
  </si>
  <si>
    <t>No. de Capitas Pagadas de Titulares            del SFS RC</t>
  </si>
  <si>
    <t>No. de Capitas Pagadas de Depend. Totales             del SFS RC</t>
  </si>
  <si>
    <t>No. de Capitas Pagadas de Depend. Directos            del SFS RC</t>
  </si>
  <si>
    <t>No. de Capitas Pagadas de Depend. Adicionales al SFS RC</t>
  </si>
  <si>
    <t>Total  No. de Capitas Pagadas SFS RC</t>
  </si>
  <si>
    <t>%  titulares</t>
  </si>
  <si>
    <t xml:space="preserve">%   Dependientes </t>
  </si>
  <si>
    <t xml:space="preserve">% Capitas Pagadas Total / Afiliación Total </t>
  </si>
  <si>
    <t>% Capitas Pagadas por Titulares / Afil. Titulares Definitivos</t>
  </si>
  <si>
    <t xml:space="preserve">Total de Afiliados </t>
  </si>
  <si>
    <t xml:space="preserve">Afiliados Titulares </t>
  </si>
  <si>
    <t xml:space="preserve">Dependientes  </t>
  </si>
  <si>
    <t xml:space="preserve">Indice de Dependencia Afiliación </t>
  </si>
  <si>
    <t>No. de Cápitas Pagadas Totales</t>
  </si>
  <si>
    <t xml:space="preserve">No. de Cápitas Pagadas  por Titulares </t>
  </si>
  <si>
    <t>No. de Cápitas Pagadas por Dependientes Totales</t>
  </si>
  <si>
    <t>No. de Cápitas Pagadas por Dependientes Adicionales</t>
  </si>
  <si>
    <t>Indice de Dependencia No. de Cápitas Pagadas (Dep. Totales / Titulares)</t>
  </si>
  <si>
    <t>Indice de No. de Cápitas Pagadas  (Dep. Dir. / Titulares)</t>
  </si>
  <si>
    <t>Indice de Dependencia No. de Cápitas Pagadas Dep. Adic.  / Titulares)</t>
  </si>
  <si>
    <t>%  Afiliados Titulares / Población Ocupada Sector Formal</t>
  </si>
  <si>
    <t xml:space="preserve">% Capitas Pagadas por Dep. / Afil. Depend. </t>
  </si>
  <si>
    <t>Composición de la Afiliación  al SFS del  RC por Región de Salud, Tipo de Empleador y Estatus 
Al 31 de Diciembre 2011</t>
  </si>
  <si>
    <t>Afiliación  al SFS del  RC  Por Provincia y Rango de Edad
Al 31 de Diciembre 2011</t>
  </si>
  <si>
    <r>
      <t xml:space="preserve">Afiliación  al SFS del  RC de por Provincia y Sector Económico
</t>
    </r>
    <r>
      <rPr>
        <b/>
        <sz val="16"/>
        <color theme="0"/>
        <rFont val="Calibri"/>
        <family val="2"/>
        <scheme val="minor"/>
      </rPr>
      <t>Al 31 de Diciembre 2011</t>
    </r>
  </si>
  <si>
    <t>Afiliación  al SFS del  RC de Trabajadores de Empresas Privadas Por Provincia y Rango de Edad
Al 31 de Diciembre 2011</t>
  </si>
  <si>
    <t>Afiliación al SFS del  RC de Trabajadores de Empresas Pública 
Descentralizadas por Provincia y Rango de Edad
Al 31 de Diciembre 2011</t>
  </si>
  <si>
    <t xml:space="preserve">
Régimen Especial Transitorio para la Salud de Pensionados Ley 1896-379
Afiliación  al SFS del  RC de Trabajadores de Empresas Pública Centralizadas por Provincia y Rango de Edad
Al 31 de Diciembre 2011
</t>
  </si>
  <si>
    <t xml:space="preserve">Afiliados Dependientes </t>
  </si>
  <si>
    <t xml:space="preserve">No. de Cápitas Pagadas por Titulares </t>
  </si>
  <si>
    <t>No. de Cápitas Pagadas por Dependientes</t>
  </si>
  <si>
    <t xml:space="preserve">No. de Cápitas Pagadas Total     </t>
  </si>
  <si>
    <t xml:space="preserve">% No. de Cápitas Pagadas / Afiliación Total </t>
  </si>
  <si>
    <t>% No. de Cápitas Pagada Titulares/ Afil. Definitiva de Titulares</t>
  </si>
  <si>
    <t>% % No. de Cápitas Pagada de Dependientes  / Afil. Definitiva de Dependientes</t>
  </si>
  <si>
    <t>% No. de Cápitas Pagadas por  titulares</t>
  </si>
  <si>
    <t xml:space="preserve">% No. de Cápitas Pagadas por  Dep. </t>
  </si>
  <si>
    <t xml:space="preserve">% No. de Cápitas Pagadas / Afiliación </t>
  </si>
  <si>
    <t>%  Afiliación / Población Pobre</t>
  </si>
  <si>
    <t>% No. de Cápitas Pagadas/ Población Pobre</t>
  </si>
  <si>
    <t>Indice de Dependencia Afiliación</t>
  </si>
  <si>
    <t>No. de Cápitas Pagadas por  Titulares
 al SFS RC</t>
  </si>
  <si>
    <t>No. de Cápitas Pagadas por Dependientes 
al SFS RC</t>
  </si>
  <si>
    <t>Indice de Dependencia No. de Cápitas Pagadas</t>
  </si>
  <si>
    <t>Afiliación    Total</t>
  </si>
  <si>
    <t xml:space="preserve">Afiliación  ARS Salud Segura </t>
  </si>
  <si>
    <t xml:space="preserve">Afiliación ARS SENASA </t>
  </si>
  <si>
    <t>Afiliación ARS SEMMA</t>
  </si>
  <si>
    <t>No. de Cápitas Pagadas Total</t>
  </si>
  <si>
    <t>No. de Cápitas Pagadas / Afiliación</t>
  </si>
  <si>
    <t>IV.2.1.1. Afiliación  y No. de Cápitas Pagadas al  SFS del  RS</t>
  </si>
  <si>
    <t xml:space="preserve">IV.1.1.6. Composición de la Afiliación  del SFS del  RC por Región de Salud, Tipo de Empleador y Estatus </t>
  </si>
  <si>
    <t>IV.1.1.1.  Afiliación al  SFS del Regimen Contributivo (RC) y No. de Cápitas Pagadas</t>
  </si>
  <si>
    <t>II.1. Población República Dominicana por Tipo de Ocupación</t>
  </si>
  <si>
    <t>I.1.5. Comparación Proyección de la Afiliación del SDSS vs. Población Nacional</t>
  </si>
  <si>
    <t>Mar.13</t>
  </si>
  <si>
    <t>No. de Cápitas Pagadas por Dependientes Directos</t>
  </si>
  <si>
    <t>Cuidado de la Salud ADA</t>
  </si>
  <si>
    <r>
      <t xml:space="preserve">Régimen Especial Transitorio para la Salud de Pensionados Ley 1896-379
Afiliación  al SFS del  RC (Aplicación Artículo 124 de la Ley 87-01)
</t>
    </r>
    <r>
      <rPr>
        <b/>
        <sz val="14"/>
        <color theme="0"/>
        <rFont val="Calibri"/>
        <family val="2"/>
        <scheme val="minor"/>
      </rPr>
      <t>Al 31 de Diciembre 2011</t>
    </r>
  </si>
  <si>
    <t>Aporte de Gobierno a  FONAMAT</t>
  </si>
  <si>
    <t>Saldo CCS (Recaudo -Dispersión)</t>
  </si>
  <si>
    <t>Afiliados al SRL Sector Público - Centralizado</t>
  </si>
  <si>
    <t>Solicitud De Pensión por Sobrevivencia Desde Republica Dominicana a España</t>
  </si>
  <si>
    <t>Abr.13</t>
  </si>
  <si>
    <t>IV.1.3.3 Comparación del Gasto en Salud del SFS-RC Vs. PIB</t>
  </si>
  <si>
    <t>V.1.4.Porcentaje de Cotizantes por AFP</t>
  </si>
  <si>
    <t>V.1.7 Porcentaje de Cotizantes del SVDS por Rango de Edad Vs Poblacion Formal</t>
  </si>
  <si>
    <t xml:space="preserve">V.1.8. Cotizantes del SVDS por Salario Mínimo Cotizable </t>
  </si>
  <si>
    <t xml:space="preserve">V.1.9. Porcentajes de Cotizantes del SVDS Vs Poblacion Formal por Rango de Edad </t>
  </si>
  <si>
    <t>V.1.10. Distribución de los Afiliados Cotizantes  al SVDS por sexo</t>
  </si>
  <si>
    <t>V.4.2. Cobertura en Pensiones por Género en la PEA</t>
  </si>
  <si>
    <t xml:space="preserve">V.4.3. Pensión Promedio de Sobrevivencia  y Discapacidad </t>
  </si>
  <si>
    <t>V.4.4. Pensión Promedio por  Tipo de Discapacidad Según AFP</t>
  </si>
  <si>
    <t>V.5.3. Composición de la Cartera total de Inversiones de los Fondos de Pensiones por Instrumentos</t>
  </si>
  <si>
    <t>V.5.4. Rentabilidad Nominal Promedio  de los Fondos de Pensiones por semestre</t>
  </si>
  <si>
    <t>VII.1. % Casos Dictáminados por CMNR en Relación a Solicitudes Registradas</t>
  </si>
  <si>
    <t>Afiliados  por Grupo de Edad</t>
  </si>
  <si>
    <t>May.13</t>
  </si>
  <si>
    <t>Ene-Abril 2013</t>
  </si>
  <si>
    <t>% Casos Dictáminados por CMNR en Relación a Solicitudes Registradas: 74.4%
Periodo: Octubre 2008 -Abril 2013</t>
  </si>
  <si>
    <t>Fecha no especificada</t>
  </si>
  <si>
    <t>Ene- Abril 2013</t>
  </si>
  <si>
    <t>Origen no especificado</t>
  </si>
  <si>
    <t>Origen de Apelación</t>
  </si>
  <si>
    <t>Estado no especificado</t>
  </si>
  <si>
    <t>Solicitud exámenes médicos</t>
  </si>
  <si>
    <t>Revisado corregido</t>
  </si>
  <si>
    <t>Reevaluado</t>
  </si>
  <si>
    <t>Revisado rechazado</t>
  </si>
  <si>
    <t>Revisado validado</t>
  </si>
  <si>
    <t>Estado de la solicitud</t>
  </si>
  <si>
    <t>May. 13</t>
  </si>
  <si>
    <r>
      <t xml:space="preserve">Ingresos y Dispersión de las Cuentas Cuidado de la Salud y FONAMAT del SFS del RC (RD$)
</t>
    </r>
    <r>
      <rPr>
        <b/>
        <sz val="16"/>
        <color theme="0"/>
        <rFont val="Calibri"/>
        <family val="2"/>
        <scheme val="minor"/>
      </rPr>
      <t>Período: Septiembre 2007 - Mayo 2013</t>
    </r>
  </si>
  <si>
    <t>Provincia</t>
  </si>
  <si>
    <t>AZUA</t>
  </si>
  <si>
    <t>BAHORUCO</t>
  </si>
  <si>
    <t>BARAHONA</t>
  </si>
  <si>
    <t>DAJABON</t>
  </si>
  <si>
    <t>DISTRITO NACIONAL</t>
  </si>
  <si>
    <t>DUARTE</t>
  </si>
  <si>
    <t>EL SEYBO</t>
  </si>
  <si>
    <t>ELIAS PIÑA</t>
  </si>
  <si>
    <t>ESPAILLAT</t>
  </si>
  <si>
    <t>INDEPENDENCIA</t>
  </si>
  <si>
    <t>LA ROMANA</t>
  </si>
  <si>
    <t>LA VEGA</t>
  </si>
  <si>
    <t>MARIA TRINIDAD SANCHEZ</t>
  </si>
  <si>
    <t>MONSEÑOR NOUEL</t>
  </si>
  <si>
    <t>MONTE PLATA</t>
  </si>
  <si>
    <t>MONTECRISTI</t>
  </si>
  <si>
    <t>PEDERNALES</t>
  </si>
  <si>
    <t>PERAVIA</t>
  </si>
  <si>
    <t>PUERTO PLATA</t>
  </si>
  <si>
    <t>SAMANA</t>
  </si>
  <si>
    <t>SAN CRISTOBAL</t>
  </si>
  <si>
    <t>SAN JUAN DE LA MAGUANA</t>
  </si>
  <si>
    <t>SAN PEDRO DE MACORIS</t>
  </si>
  <si>
    <t>SANCHEZ RAMIREZ</t>
  </si>
  <si>
    <t>SANTIAGO DE LOS CABALLEROS</t>
  </si>
  <si>
    <t>SANTIAGO RODRIGUEZ</t>
  </si>
  <si>
    <t>SANTO DOMINGO</t>
  </si>
  <si>
    <t>VALVERDE</t>
  </si>
  <si>
    <r>
      <t xml:space="preserve">Apelaciones de dictámenes de la CMNR
</t>
    </r>
    <r>
      <rPr>
        <b/>
        <sz val="20"/>
        <color theme="0"/>
        <rFont val="Calibri"/>
        <family val="2"/>
        <scheme val="minor"/>
      </rPr>
      <t xml:space="preserve">Período: Octubre 2008 - Abril 2013 </t>
    </r>
  </si>
  <si>
    <t>% Casos Dictáminados por CMNR en Relación a Solicitudes Registradas: 74.4%
Periodo: Octubre 2008 - Abril 2013</t>
  </si>
  <si>
    <t>Dictámenes Notificados a CTD</t>
  </si>
  <si>
    <t>% Afiliados Titulares pagados / Población Ocupada Sector Formal</t>
  </si>
  <si>
    <t>Hombres Cotiz. / PEA</t>
  </si>
  <si>
    <t>Mujeres Cotiz. / PEA</t>
  </si>
  <si>
    <t>Ene. 09</t>
  </si>
  <si>
    <t>Feb. 09</t>
  </si>
  <si>
    <t>Mar. 09</t>
  </si>
  <si>
    <t>Abr. 09</t>
  </si>
  <si>
    <t>May. 09</t>
  </si>
  <si>
    <t>Jun. 09</t>
  </si>
  <si>
    <t>Jul. 09</t>
  </si>
  <si>
    <t>Ago. 09</t>
  </si>
  <si>
    <t>Sep. 09</t>
  </si>
  <si>
    <t>Oct. 09</t>
  </si>
  <si>
    <t>Nov. 09</t>
  </si>
  <si>
    <t>2</t>
  </si>
  <si>
    <t>Compañías de Seguro/ARL</t>
  </si>
  <si>
    <t>Tipo</t>
  </si>
  <si>
    <t>Origen Apelación</t>
  </si>
  <si>
    <t>AFP y Otros</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</si>
  <si>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</si>
  <si>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</si>
  <si>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</si>
  <si>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</si>
  <si>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Afiliación
 RC</t>
  </si>
  <si>
    <t>Jun.13</t>
  </si>
  <si>
    <t>FONAMAT*</t>
  </si>
  <si>
    <t xml:space="preserve">Cantidad de Cotizantes del Sistema por 
Salario Mínimo Cotizable </t>
  </si>
  <si>
    <t xml:space="preserve"> TOTAL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</si>
  <si>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</si>
  <si>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</si>
  <si>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</si>
  <si>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</si>
  <si>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</si>
  <si>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</si>
  <si>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</si>
  <si>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</si>
  <si>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</si>
  <si>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</si>
  <si>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</si>
  <si>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</si>
  <si>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</si>
  <si>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</si>
  <si>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</si>
  <si>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Afiliación 
 SFS RS</t>
  </si>
  <si>
    <t>No. de Cápitas   Pagadas</t>
  </si>
  <si>
    <t xml:space="preserve">Afiliados  Titulares </t>
  </si>
  <si>
    <t>Jul.13</t>
  </si>
  <si>
    <t>Ene-Jul.2013</t>
  </si>
  <si>
    <t>Seguro de Riesgos Laborales
Reporte de Accidentes Laborales y Enfermedades Profesionales por Actividad Económica
Período: 2004 - Julio 2013</t>
  </si>
  <si>
    <t xml:space="preserve">Dispersión a SENASA RS </t>
  </si>
  <si>
    <t>Papeles Comerciales</t>
  </si>
  <si>
    <t>Certificados Financieros</t>
  </si>
  <si>
    <t>Títulos Desmaterializados de Pacto de Recompra (REPO)</t>
  </si>
  <si>
    <t>Títulos Desmaterializados del BC</t>
  </si>
  <si>
    <t>20</t>
  </si>
  <si>
    <t>Rentabilidad Nominal</t>
  </si>
  <si>
    <t>Rentabilidad Real</t>
  </si>
  <si>
    <t>Ago.13</t>
  </si>
  <si>
    <t>Régimen  Contributivo  
Cuidado de la Salud</t>
  </si>
  <si>
    <t xml:space="preserve">No. de Cápitas Pagadas por Afiliados </t>
  </si>
  <si>
    <t xml:space="preserve">Afiliación  al  SDSS  </t>
  </si>
  <si>
    <t xml:space="preserve">% Cobertura Afiliación </t>
  </si>
  <si>
    <t>% Cobertura  de la Población</t>
  </si>
  <si>
    <t>Sep.13</t>
  </si>
  <si>
    <r>
      <rPr>
        <b/>
        <sz val="14"/>
        <color theme="1"/>
        <rFont val="Calibri"/>
        <family val="2"/>
        <scheme val="minor"/>
      </rPr>
      <t xml:space="preserve">Fuente: </t>
    </r>
    <r>
      <rPr>
        <sz val="14"/>
        <color theme="1"/>
        <rFont val="Calibri"/>
        <family val="2"/>
        <scheme val="minor"/>
      </rPr>
      <t>Oficina Nacional de Estadísticas (ONE).  Portal SISALRIL, informes mensuales TSS e informes  trimestrales PRISS, UNIPAGO.</t>
    </r>
  </si>
  <si>
    <t>Dispersado</t>
  </si>
  <si>
    <t>Gasto Nacional en Salud</t>
  </si>
  <si>
    <t>PIB Corriente nacional</t>
  </si>
  <si>
    <r>
      <t xml:space="preserve">EI </t>
    </r>
    <r>
      <rPr>
        <b/>
        <sz val="16"/>
        <rFont val="Calibri"/>
        <family val="2"/>
      </rPr>
      <t>Sistema Dominicano de Seguridad Social (SDSS)</t>
    </r>
    <r>
      <rPr>
        <sz val="16"/>
        <rFont val="Calibri"/>
        <family val="2"/>
      </rPr>
      <t xml:space="preserve"> se fundamenta en un sistema único de afiliación, cotización, plan de beneficios y prestación de servicios.  La afiliación es un acto administrativo mediante el cual una persona contrata una AFP o una ARS de acuerdo a las normas vigentes aplicables y en virtud del cual la EPBD (UNIPAGO) registra en la base de datos del SDSS a cada ciudadano y sus dependientes, a través de las entidades intermediarias y responsables frente a la Tesorería de la Seguridad Social, quien asigna el número de Seguridad Social (NSS) correspondiente.  
En el </t>
    </r>
    <r>
      <rPr>
        <b/>
        <sz val="16"/>
        <rFont val="Calibri"/>
        <family val="2"/>
      </rPr>
      <t>Seguro Familiar de Salud (SFS) RC,</t>
    </r>
    <r>
      <rPr>
        <sz val="16"/>
        <rFont val="Calibri"/>
        <family val="2"/>
      </rPr>
      <t xml:space="preserve"> los afiliados  son los titulares y dependientes registrados  por UNIPAGO en la base del SUIR y que han completado el proceso de afiliación.
En el caso del </t>
    </r>
    <r>
      <rPr>
        <b/>
        <sz val="16"/>
        <rFont val="Calibri"/>
        <family val="2"/>
      </rPr>
      <t>Seguro de Vejez, Discapacidad y Sobrevivencia (SVDS) RC</t>
    </r>
    <r>
      <rPr>
        <sz val="16"/>
        <rFont val="Calibri"/>
        <family val="2"/>
      </rPr>
      <t xml:space="preserve">, tal como lo establece el artículo 36 de la Ley 87-01 "la afiliación del trabajador asalariado y del empleador al régimen previsional es obligatoria, única y permanente, independientemente  de que el beneficiario permanezca o no en actividad, ejerza dos o más trabajos de manera simultánea, pase a trabajar en el sector informal, emigre del país, o cambie de Administradora de Fondos de Pensiones (AFP)".  
Los afiliados  del </t>
    </r>
    <r>
      <rPr>
        <b/>
        <sz val="16"/>
        <rFont val="Calibri"/>
        <family val="2"/>
      </rPr>
      <t xml:space="preserve">Régimen Especial Transitorio </t>
    </r>
    <r>
      <rPr>
        <sz val="16"/>
        <rFont val="Calibri"/>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que en cumplimienro del Decreto 342-09 del Poder Ejecutivo se encuentran registrados en las ARS SENASA, SEMMA o Salud Segura.    Por último la afiliación  al </t>
    </r>
    <r>
      <rPr>
        <b/>
        <sz val="16"/>
        <rFont val="Calibri"/>
        <family val="2"/>
      </rPr>
      <t>SFS del Régimen Subsidiado</t>
    </r>
    <r>
      <rPr>
        <sz val="16"/>
        <rFont val="Calibri"/>
        <family val="2"/>
      </rPr>
      <t xml:space="preserve"> está compuesta por personas identificadas por el Sistema Único de Beneficiario (SIUBEN), viviendo en condición de pobreza, personas afectadas por una discapacidad y/o VIH positivas que cumplen con los parámetros legales establecidos para el Régimen Subsidiado, inscritos en SENASA y depurados en TSS para evitar duplicidad de afiliación. </t>
    </r>
  </si>
  <si>
    <t>Titular</t>
  </si>
  <si>
    <t>Dependiente</t>
  </si>
  <si>
    <t>Relación Dependencia</t>
  </si>
  <si>
    <t>REGION 0</t>
  </si>
  <si>
    <t>REGION I</t>
  </si>
  <si>
    <t>REGION II</t>
  </si>
  <si>
    <t>REGION III</t>
  </si>
  <si>
    <t>REGION IV</t>
  </si>
  <si>
    <t>REGION V</t>
  </si>
  <si>
    <t>REGION VI</t>
  </si>
  <si>
    <t>REGION VII</t>
  </si>
  <si>
    <t>REGION VIII</t>
  </si>
  <si>
    <t>Titular Femenino</t>
  </si>
  <si>
    <t>Titular Masculino</t>
  </si>
  <si>
    <t>Dependiente Femenino</t>
  </si>
  <si>
    <t>Dependiente Masculino</t>
  </si>
  <si>
    <t>Total Titulares</t>
  </si>
  <si>
    <t>Total dependientes</t>
  </si>
  <si>
    <t>Total Afiliados</t>
  </si>
  <si>
    <t xml:space="preserve">0 a 1 </t>
  </si>
  <si>
    <t xml:space="preserve">2 a 4 </t>
  </si>
  <si>
    <t xml:space="preserve"> 5 a 9 </t>
  </si>
  <si>
    <t xml:space="preserve"> 10 a 14</t>
  </si>
  <si>
    <t>15 a 19</t>
  </si>
  <si>
    <t>20 a 24</t>
  </si>
  <si>
    <t>25 a 29</t>
  </si>
  <si>
    <t xml:space="preserve">30 a 34 </t>
  </si>
  <si>
    <t>35 a 39</t>
  </si>
  <si>
    <t>40 a 44</t>
  </si>
  <si>
    <t xml:space="preserve"> 45 a 49 </t>
  </si>
  <si>
    <t xml:space="preserve">50 a 54 </t>
  </si>
  <si>
    <t xml:space="preserve"> 55 a 59</t>
  </si>
  <si>
    <t>60 a 64</t>
  </si>
  <si>
    <t xml:space="preserve">65 a 69 </t>
  </si>
  <si>
    <t xml:space="preserve"> 70 a 74</t>
  </si>
  <si>
    <t>75 a 79</t>
  </si>
  <si>
    <t>80 a 84</t>
  </si>
  <si>
    <t>85 o más</t>
  </si>
  <si>
    <t>HERMANA MIRABAL</t>
  </si>
  <si>
    <t>HATO MAYOR DEL REY</t>
  </si>
  <si>
    <t>SAN JOSE DE OCOA</t>
  </si>
  <si>
    <t>LA ALTAGRACIA</t>
  </si>
  <si>
    <t xml:space="preserve"> 0-1</t>
  </si>
  <si>
    <t xml:space="preserve"> 2-4 </t>
  </si>
  <si>
    <t>85+</t>
  </si>
  <si>
    <t xml:space="preserve"> Titular</t>
  </si>
  <si>
    <t xml:space="preserve"> Titulares</t>
  </si>
  <si>
    <t>Dependientes</t>
  </si>
  <si>
    <t>Titulares</t>
  </si>
  <si>
    <t>Tit. Femenino</t>
  </si>
  <si>
    <t>Tit. Masculino</t>
  </si>
  <si>
    <t>Dep. Femenino</t>
  </si>
  <si>
    <t>Dep. Masculino</t>
  </si>
  <si>
    <t>Total Femenino</t>
  </si>
  <si>
    <t>Total Masculino</t>
  </si>
  <si>
    <t>Población**</t>
  </si>
  <si>
    <t>% pobreza</t>
  </si>
  <si>
    <t>Total RS</t>
  </si>
  <si>
    <t>Población Estimada Pobre ICV</t>
  </si>
  <si>
    <t>Población Estimada por el Indice de pobreza</t>
  </si>
  <si>
    <t>%Población Cubierta ICV</t>
  </si>
  <si>
    <t>%Población Cubierta por el indice de pobreza</t>
  </si>
  <si>
    <t>Region I</t>
  </si>
  <si>
    <t>Region IV</t>
  </si>
  <si>
    <t>Region VII</t>
  </si>
  <si>
    <t>Region III</t>
  </si>
  <si>
    <t>Region V</t>
  </si>
  <si>
    <t xml:space="preserve"> El Seibo</t>
  </si>
  <si>
    <t>Region II</t>
  </si>
  <si>
    <t xml:space="preserve"> Independencia</t>
  </si>
  <si>
    <t>La Altagracia</t>
  </si>
  <si>
    <t xml:space="preserve"> La Romana</t>
  </si>
  <si>
    <t>Region VIII</t>
  </si>
  <si>
    <t xml:space="preserve"> La Vega</t>
  </si>
  <si>
    <t>Monte Cristi</t>
  </si>
  <si>
    <t xml:space="preserve"> Peravia</t>
  </si>
  <si>
    <t>Puerto Plata</t>
  </si>
  <si>
    <t xml:space="preserve"> San José de Ocoa</t>
  </si>
  <si>
    <t>Region VI</t>
  </si>
  <si>
    <t xml:space="preserve"> San Juan</t>
  </si>
  <si>
    <t>Santiago</t>
  </si>
  <si>
    <t xml:space="preserve"> Santiago Rodríguez</t>
  </si>
  <si>
    <t xml:space="preserve"> Valverde</t>
  </si>
  <si>
    <t>2-4</t>
  </si>
  <si>
    <t>Porcentaje de la Población Pobre cubierta por el Régimen Subsidiado
Septiembre 2013</t>
  </si>
  <si>
    <t>Población Pobre  Según % pobreza</t>
  </si>
  <si>
    <t>% de la Población Pobre  cubierta por RS</t>
  </si>
  <si>
    <t>Población RS  Cubierta</t>
  </si>
  <si>
    <t>Población Pobre  ICV1 y ICV 2 SIUBEN</t>
  </si>
  <si>
    <t>% Población Pobre  ICV1 y ICV 3</t>
  </si>
  <si>
    <t>Region de Salud</t>
  </si>
  <si>
    <t>PROVINCIAS</t>
  </si>
  <si>
    <t>Viviendas Empadronadas</t>
  </si>
  <si>
    <t>Población (censo 2010)</t>
  </si>
  <si>
    <t>Indice de pobreza % Ministerio de Planificación</t>
  </si>
  <si>
    <t>pobreza extrema %</t>
  </si>
  <si>
    <t>Indice de indigencia %</t>
  </si>
  <si>
    <t>Población Pobre</t>
  </si>
  <si>
    <t>Afiliados cubierto RS (SENASA)</t>
  </si>
  <si>
    <t>% Afiliados cubierto RS (SENASA)</t>
  </si>
  <si>
    <t xml:space="preserve"> Samaná</t>
  </si>
  <si>
    <t xml:space="preserve"> Baoruco</t>
  </si>
  <si>
    <t xml:space="preserve"> Elías Piña</t>
  </si>
  <si>
    <t xml:space="preserve"> 0 a 1 año</t>
  </si>
  <si>
    <t xml:space="preserve"> 2 a 4 años</t>
  </si>
  <si>
    <t xml:space="preserve"> 5 a 9 años</t>
  </si>
  <si>
    <t xml:space="preserve"> 10 a 14 años</t>
  </si>
  <si>
    <t xml:space="preserve"> 15 a 19 años</t>
  </si>
  <si>
    <t xml:space="preserve"> 20 a 24 años</t>
  </si>
  <si>
    <t xml:space="preserve"> 25 a 29 años</t>
  </si>
  <si>
    <t xml:space="preserve"> 30 a 34 años</t>
  </si>
  <si>
    <t xml:space="preserve"> 35 a 39 años</t>
  </si>
  <si>
    <t xml:space="preserve"> 40 a 44 años</t>
  </si>
  <si>
    <t xml:space="preserve"> 45 a 49 años</t>
  </si>
  <si>
    <t>50 a 54 años</t>
  </si>
  <si>
    <t xml:space="preserve"> 55 a 59 años</t>
  </si>
  <si>
    <t xml:space="preserve"> 60 a 64 años</t>
  </si>
  <si>
    <t>65 a 69 años</t>
  </si>
  <si>
    <t>70 a 74 años</t>
  </si>
  <si>
    <t>75 a 79 años</t>
  </si>
  <si>
    <t xml:space="preserve"> 80 a 84 años</t>
  </si>
  <si>
    <t xml:space="preserve"> 85 o más</t>
  </si>
  <si>
    <t>Titulares Femenino</t>
  </si>
  <si>
    <t>Titulares Masculino</t>
  </si>
  <si>
    <t>Dependientes Femenino</t>
  </si>
  <si>
    <t>Afiliados Titulares al SFS del RC</t>
  </si>
  <si>
    <t>Afiliación al SFS del RC por ARS y Rango de Edad
A Junio 2012</t>
  </si>
  <si>
    <t>Septiembre 2007</t>
  </si>
  <si>
    <t>Diciembre 2007</t>
  </si>
  <si>
    <t>Diciembre 2008</t>
  </si>
  <si>
    <t>Diciembre 2009</t>
  </si>
  <si>
    <t>Diciembre 2010</t>
  </si>
  <si>
    <t>Diciembre 2011</t>
  </si>
  <si>
    <t>Diciembre 2012</t>
  </si>
  <si>
    <t>Septiembre 2013</t>
  </si>
  <si>
    <t>TIT</t>
  </si>
  <si>
    <t>DEP</t>
  </si>
  <si>
    <t>A R S LA COLONIAL S A</t>
  </si>
  <si>
    <t>ADM. SERVICIOS MEDICOS AMOR Y PAZ</t>
  </si>
  <si>
    <t>ADMINISTRADORA DE RIESGOS DE SALUD RESERVAS</t>
  </si>
  <si>
    <t>ARS COLEGIO MEDICO DOMINICANO CMD</t>
  </si>
  <si>
    <t>ARS DR. YUNEN</t>
  </si>
  <si>
    <t>ARS FUTURO</t>
  </si>
  <si>
    <t>ARS GALENO</t>
  </si>
  <si>
    <t>ARS HUMANO, S.A.</t>
  </si>
  <si>
    <t>ARS META-SALUD SINATRAE</t>
  </si>
  <si>
    <t>ARS PLAMEDIN</t>
  </si>
  <si>
    <t>ARS UCEMED</t>
  </si>
  <si>
    <t>ARS-SIMAG</t>
  </si>
  <si>
    <t>BMI IGUALAS MEDICAS</t>
  </si>
  <si>
    <t>GRUPO MEDICO ASOCIADO</t>
  </si>
  <si>
    <t>INSTITUTO DE SEG. SOCIAL DE LAS FUERZAS ARMADAS</t>
  </si>
  <si>
    <t>INSTITUTO DE SEGURIDAD SOCIAL DE LA POLICIA</t>
  </si>
  <si>
    <t>LA MONUMENTAL DE SEGUROS</t>
  </si>
  <si>
    <t>PALIC-SALUD, S.A.</t>
  </si>
  <si>
    <t>PLAN SALUD DEL BANCO CENTRAL</t>
  </si>
  <si>
    <t>SEGURO MEDICO SEMUNASED</t>
  </si>
  <si>
    <t>SEGURO NACIONAL DE SALUD (SENASA) - REGIMEN CONTRIBUTIVO</t>
  </si>
  <si>
    <t>SERVICIOS DOMINICANOS DE SALUD, C. POR A.</t>
  </si>
  <si>
    <t>TOTALES</t>
  </si>
  <si>
    <t>DEPENDIENTES Y TITULARES POR ARS POR MES
Periodo Septiembre 2007- Septiembre 2013</t>
  </si>
  <si>
    <t xml:space="preserve"> Afiliados de la Administradora de Riesgos de Salud SENASA
del Seguro Familiar de Salud (SFS) del Régimen Contributivo (RC) por Región
Septiembre 2013</t>
  </si>
  <si>
    <t>Dependientes y Titulares de SENASA del SFS
 del Régimen Contributivo por Región
Septiembre 2013</t>
  </si>
  <si>
    <r>
      <t xml:space="preserve"> Afiliados de la Administradora de Riesgos de Salud SENASA
del Seguro Familiar de Salud del Régimen Contributivo por  Sexo y Región 
</t>
    </r>
    <r>
      <rPr>
        <b/>
        <sz val="12"/>
        <color theme="0"/>
        <rFont val="Calibri"/>
        <family val="2"/>
        <scheme val="minor"/>
      </rPr>
      <t>Septiembre 2013</t>
    </r>
  </si>
  <si>
    <r>
      <t xml:space="preserve">Afiliados del SENASA del SFS del Régimen Contributivo Por Provincias
</t>
    </r>
    <r>
      <rPr>
        <b/>
        <sz val="16"/>
        <color theme="0"/>
        <rFont val="Calibri"/>
        <family val="2"/>
        <scheme val="minor"/>
      </rPr>
      <t>Septiembre 2013</t>
    </r>
  </si>
  <si>
    <r>
      <t xml:space="preserve">Afiliados de SENASA del SFS del Régimen Contributivo por Edad y Sexo
</t>
    </r>
    <r>
      <rPr>
        <b/>
        <sz val="16"/>
        <color theme="0"/>
        <rFont val="Calibri"/>
        <family val="2"/>
        <scheme val="minor"/>
      </rPr>
      <t>Septiembre 2013</t>
    </r>
  </si>
  <si>
    <t>Afiliados de SENASA del SFS del RC por Región y Grupo de Edad 
Septiembre 2013</t>
  </si>
  <si>
    <t>ICV?????</t>
  </si>
  <si>
    <t>Total de Afiliados Registrados en la Base de Datos SENASA 
del Seguro Familiar de Salud (SFS) del RS por Región 
Septiembre 2013</t>
  </si>
  <si>
    <t>Titulares y Dependientes Registrados en la base de Datos de SENASA 
del Régimen Subsidiado por Región 
Septiembre 2013</t>
  </si>
  <si>
    <t xml:space="preserve"> Afiliados Registrados en la base de Datos de SENASA
 del Regimen Subsidiado por Región y Sexo 
Septiembre 2013</t>
  </si>
  <si>
    <t>Porcentaje de Afiliados Registrados en la base de Datos de SENASA 
Cubiertos por el Régimen Subsidado por Provincia 
Septiembre 2013</t>
  </si>
  <si>
    <t>Porcentaje de Afiliados Registrados en la Base de datos de SENASA
Cubiertos por el Indice de Calidad de Vida (ICV)
del Régimen Subsidiado por Región
Septiembre 2013</t>
  </si>
  <si>
    <t>Afiliados Registrados en la Base de datos de SENASA 
del RS por Provincias y Sexo
Septiembre 2013</t>
  </si>
  <si>
    <r>
      <rPr>
        <b/>
        <sz val="18"/>
        <color theme="0"/>
        <rFont val="Calibri"/>
        <family val="2"/>
        <scheme val="minor"/>
      </rPr>
      <t xml:space="preserve">Titulares y Dependientes Registrados en la Base de datos de SENASA 
 del RS por Región </t>
    </r>
    <r>
      <rPr>
        <b/>
        <sz val="16"/>
        <color theme="0"/>
        <rFont val="Calibri"/>
        <family val="2"/>
        <scheme val="minor"/>
      </rPr>
      <t xml:space="preserve">
Septiembre 2013</t>
    </r>
  </si>
  <si>
    <r>
      <t xml:space="preserve">Afiliados Registrados en la Base de datos de SENASA
del SFS del RS por Sexo y Edad
</t>
    </r>
    <r>
      <rPr>
        <b/>
        <sz val="12"/>
        <color theme="0"/>
        <rFont val="Calibri"/>
        <family val="2"/>
        <scheme val="minor"/>
      </rPr>
      <t>Septiembre 2013</t>
    </r>
  </si>
  <si>
    <r>
      <t xml:space="preserve">Afiliados Registrados en la Base de datos de SENASA
del Seguro Familiar de Salud  (SFS) del RS por Sexo y Edad
</t>
    </r>
    <r>
      <rPr>
        <b/>
        <sz val="14"/>
        <color theme="0"/>
        <rFont val="Calibri"/>
        <family val="2"/>
        <scheme val="minor"/>
      </rPr>
      <t>Septiembre 2013</t>
    </r>
  </si>
  <si>
    <t>Oct.13</t>
  </si>
  <si>
    <t xml:space="preserve">                                                                                                                                                                                                                                                                                                                                                                                                                                                                                                                                                                                                                                                                                                                                                                                                                                                                                                                                                                                                                                                                                                                                                                                                                                                                                                                                                                                                                                                                                                                                                                                                                                                                                                                                                                                                                                                                                                                                                                                                                                                                                                                                                                                                                                                                                                                                                                                                                                                                                                                    </t>
  </si>
  <si>
    <t>%  Afiliados Dep. Totales
 RC</t>
  </si>
  <si>
    <t>Nov.13</t>
  </si>
  <si>
    <t>Ene-Nov.13</t>
  </si>
  <si>
    <t>ID</t>
  </si>
  <si>
    <t>% Gasto Salud (SDSS) / PIB</t>
  </si>
  <si>
    <t>Variación Indices de Depend. (Afiliación- No. de Cápitas Pagadas)</t>
  </si>
  <si>
    <t>Seguro de Riesgos Laborales
Comparación Reporte de Accidentes Laborales, Enfermedades Profesionales y Afiliación al SRL por Tipo de Empresas
Período: 2009 - Noviembre 2013</t>
  </si>
  <si>
    <t>13</t>
  </si>
  <si>
    <t>25</t>
  </si>
  <si>
    <t>65</t>
  </si>
  <si>
    <t>5</t>
  </si>
  <si>
    <t>3</t>
  </si>
  <si>
    <t>% Gasto Salud (SDSS) / PIB Sector Salud</t>
  </si>
  <si>
    <t>Dic. 2013</t>
  </si>
  <si>
    <t>Dic.2013</t>
  </si>
  <si>
    <t xml:space="preserve"> 2013</t>
  </si>
  <si>
    <t>2013</t>
  </si>
  <si>
    <t>Dic.13</t>
  </si>
  <si>
    <t>Ene-Dic. 2013</t>
  </si>
  <si>
    <t>21</t>
  </si>
  <si>
    <t>135</t>
  </si>
  <si>
    <t>121</t>
  </si>
  <si>
    <t>37</t>
  </si>
  <si>
    <t>29</t>
  </si>
  <si>
    <t>79</t>
  </si>
  <si>
    <t>12</t>
  </si>
  <si>
    <t>N/d</t>
  </si>
  <si>
    <t>Oct-Dic 2008</t>
  </si>
  <si>
    <t>% Expedientes Notificados</t>
  </si>
  <si>
    <t>Afiliación  al SFS del  RC por Región de Salud y Rango de Edad
Al 31 de Diciembre 2011</t>
  </si>
  <si>
    <t>Ene.14</t>
  </si>
  <si>
    <t xml:space="preserve"> Dic. 03  </t>
  </si>
  <si>
    <t xml:space="preserve"> Dic. 04  </t>
  </si>
  <si>
    <t xml:space="preserve"> Dic. 05</t>
  </si>
  <si>
    <t xml:space="preserve"> Dic. 06</t>
  </si>
  <si>
    <t xml:space="preserve"> Dic. 07</t>
  </si>
  <si>
    <t xml:space="preserve"> Dic. 08</t>
  </si>
  <si>
    <t xml:space="preserve"> Dic. 09</t>
  </si>
  <si>
    <t xml:space="preserve"> Dic. 10</t>
  </si>
  <si>
    <t xml:space="preserve"> Dic. 11</t>
  </si>
  <si>
    <t xml:space="preserve"> Dic. 12</t>
  </si>
  <si>
    <t xml:space="preserve"> Dic. 13</t>
  </si>
  <si>
    <t>Cuadro 3.9.2.f</t>
  </si>
  <si>
    <t>Composición de la Cartera Total de Inversiones de los Fondos de Pensiones</t>
  </si>
  <si>
    <t>por Instrumentos y Emisores Calificados (RD$)</t>
  </si>
  <si>
    <t>Al 31 de Diciembre de 2013</t>
  </si>
  <si>
    <t>Sub-Sector Económico / Emisor</t>
  </si>
  <si>
    <t>Calificación de Riesgo</t>
  </si>
  <si>
    <r>
      <t>Total Fondos de Pensione</t>
    </r>
    <r>
      <rPr>
        <b/>
        <sz val="10"/>
        <color indexed="9"/>
        <rFont val="Century Gothic"/>
        <family val="2"/>
      </rPr>
      <t>s</t>
    </r>
    <r>
      <rPr>
        <b/>
        <vertAlign val="superscript"/>
        <sz val="10"/>
        <color indexed="9"/>
        <rFont val="Calibri"/>
        <family val="2"/>
      </rPr>
      <t>1</t>
    </r>
  </si>
  <si>
    <t>Valor de Mercado</t>
  </si>
  <si>
    <t>Participación</t>
  </si>
  <si>
    <t>Límite Permitido</t>
  </si>
  <si>
    <t>Sector Gobierno Central</t>
  </si>
  <si>
    <r>
      <t>Ministerio de Hacienda</t>
    </r>
    <r>
      <rPr>
        <vertAlign val="superscript"/>
        <sz val="10"/>
        <color indexed="62"/>
        <rFont val="Century Gothic"/>
        <family val="2"/>
      </rPr>
      <t>2</t>
    </r>
  </si>
  <si>
    <t>AAA</t>
  </si>
  <si>
    <t>Sector Descentralizado y Autónomo</t>
  </si>
  <si>
    <t xml:space="preserve">Banco Central </t>
  </si>
  <si>
    <t>Letras Hipotecarias</t>
  </si>
  <si>
    <t>C-1</t>
  </si>
  <si>
    <t>Notas de Renta Fija</t>
  </si>
  <si>
    <t>Certificados de Ventanilla</t>
  </si>
  <si>
    <t>Bancos Comerciales y de Servicios Múltiples</t>
  </si>
  <si>
    <t>Banesco</t>
  </si>
  <si>
    <t>Banco ADEMI</t>
  </si>
  <si>
    <t>C-3</t>
  </si>
  <si>
    <t>BBB</t>
  </si>
  <si>
    <t>Banco Caribe Internacional</t>
  </si>
  <si>
    <t xml:space="preserve">Banco de Desarrollo Industrial </t>
  </si>
  <si>
    <t>Banco Dominicano del Progreso</t>
  </si>
  <si>
    <t>Certificado de Depósitos</t>
  </si>
  <si>
    <t>C-2</t>
  </si>
  <si>
    <t>Bonos Subordinados</t>
  </si>
  <si>
    <t>A</t>
  </si>
  <si>
    <t>Banco Promérica</t>
  </si>
  <si>
    <t>Banco Santa Cruz</t>
  </si>
  <si>
    <t>Banco Vimenca</t>
  </si>
  <si>
    <t>Citibank N A</t>
  </si>
  <si>
    <t>ScotiaBank</t>
  </si>
  <si>
    <t>Asociaciones de Ahorros y Préstamos</t>
  </si>
  <si>
    <t>Asociación Cibao de Ahorros y Préstamos</t>
  </si>
  <si>
    <t>Asociación La Nacional de Ahorros y Préstamos</t>
  </si>
  <si>
    <t>Asociación La Vega Real de Ahorros y Préstamos</t>
  </si>
  <si>
    <t>Asociación Popular de Ahorros y Préstamos</t>
  </si>
  <si>
    <t>Banco Capital de Ahorro y Crédito</t>
  </si>
  <si>
    <t>Banco de Ahorro y Crédito ADOPEM</t>
  </si>
  <si>
    <t>Banco de Ahorro y Crédito PymE BHD</t>
  </si>
  <si>
    <t>Motor Crédito Banco de Ahorro y Crédito</t>
  </si>
  <si>
    <t>Banco Nacional de Fomento de la Vivienda y la Producción</t>
  </si>
  <si>
    <t>Cervecería Nacional Dominicana</t>
  </si>
  <si>
    <r>
      <t>Consorcio Energético Punta Cana-Macao</t>
    </r>
    <r>
      <rPr>
        <vertAlign val="superscript"/>
        <sz val="10"/>
        <color indexed="62"/>
        <rFont val="Century Gothic"/>
        <family val="2"/>
      </rPr>
      <t>3</t>
    </r>
  </si>
  <si>
    <t>AA</t>
  </si>
  <si>
    <r>
      <t>Industrias Nacionales C por A</t>
    </r>
    <r>
      <rPr>
        <vertAlign val="superscript"/>
        <sz val="10"/>
        <color indexed="62"/>
        <rFont val="Century Gothic"/>
        <family val="2"/>
      </rPr>
      <t>4</t>
    </r>
  </si>
  <si>
    <t>Multiquímica Dominicana</t>
  </si>
  <si>
    <t>Organismos Multilaterales</t>
  </si>
  <si>
    <t>International Financial Corporation (IFC)</t>
  </si>
  <si>
    <t>Bonos emitidos por Organismos Multilaterales</t>
  </si>
  <si>
    <t>Otros títulos de deuda emitidos por Organismos Multilaterales</t>
  </si>
  <si>
    <r>
      <t>Otras Inversiones</t>
    </r>
    <r>
      <rPr>
        <b/>
        <vertAlign val="superscript"/>
        <sz val="9"/>
        <color indexed="8"/>
        <rFont val="Calibri"/>
        <family val="2"/>
      </rPr>
      <t>2</t>
    </r>
  </si>
  <si>
    <t>TOTAL INVERSIONES</t>
  </si>
  <si>
    <r>
      <rPr>
        <vertAlign val="superscript"/>
        <sz val="10"/>
        <rFont val="Calibri"/>
        <family val="2"/>
      </rPr>
      <t>1</t>
    </r>
    <r>
      <rPr>
        <sz val="10"/>
        <rFont val="Calibri"/>
        <family val="2"/>
      </rPr>
      <t>No incluye las inversiones del Fondo de INABIMA en Banco Central,  ni en los bonos del Ministerio de Hacienda. Los montos ascienden a $18,791,171,609.66 y  $247,226,735.44, respectivamente.</t>
    </r>
  </si>
  <si>
    <r>
      <rPr>
        <vertAlign val="superscript"/>
        <sz val="10"/>
        <rFont val="Calibri"/>
        <family val="2"/>
      </rPr>
      <t>2</t>
    </r>
    <r>
      <rPr>
        <sz val="10"/>
        <rFont val="Calibri"/>
        <family val="2"/>
      </rPr>
      <t>Este monto corresponde a inversiones del Fondo de Jubilaciones y Pensiones del Personal de Banco Central (FJPPBC) en BC, anteriores a la Ley 87-01 y sus modificaciones.</t>
    </r>
  </si>
  <si>
    <r>
      <rPr>
        <vertAlign val="superscript"/>
        <sz val="10"/>
        <rFont val="Calibri"/>
        <family val="2"/>
      </rPr>
      <t>3</t>
    </r>
    <r>
      <rPr>
        <sz val="10"/>
        <rFont val="Calibri"/>
        <family val="2"/>
      </rPr>
      <t>Emisión en US$ con Tasas Fijas de 6.25% y 6.75%.</t>
    </r>
  </si>
  <si>
    <r>
      <rPr>
        <vertAlign val="superscript"/>
        <sz val="10"/>
        <rFont val="Calibri"/>
        <family val="2"/>
      </rPr>
      <t xml:space="preserve">4 </t>
    </r>
    <r>
      <rPr>
        <sz val="10"/>
        <rFont val="Calibri"/>
        <family val="2"/>
      </rPr>
      <t>Incluye emisión en US$ con Tasas Fijas de 7%.</t>
    </r>
  </si>
  <si>
    <t>Ene. 14</t>
  </si>
  <si>
    <r>
      <t xml:space="preserve">EI Sistema Dominicano de Seguridad Social (SDSS) se fundamenta en un sistema único de afiliación, cotización, plan de beneficios y prestación de servicios.  La afiliación es un acto administrativo mediante el cual una persona contrata una AFP o una ARS de acuerdo a las normas vigentes aplicables y en virtud del cual la EPBD (UNIPAGO) registra en la base de datos del SDSS a cada ciudadano y sus dependientes, a través de las entidades intermediarias y responsables frente a la Tesorería de la Seguridad Social, quien asigna el número de Seguridad Social (NSS) correspondiente.  
</t>
    </r>
    <r>
      <rPr>
        <b/>
        <sz val="22"/>
        <rFont val="Calibri"/>
        <family val="2"/>
        <scheme val="minor"/>
      </rPr>
      <t xml:space="preserve">El Seguro Familiar de Salud (SFS) RC, </t>
    </r>
    <r>
      <rPr>
        <sz val="22"/>
        <rFont val="Calibri"/>
        <family val="2"/>
        <scheme val="minor"/>
      </rPr>
      <t xml:space="preserve"> la cobertura por pago consiste en el número de cápitas pagadas en el mes por la Tesorería de la Seguridad Social (TSS) a las ARS para cubrir un determinado número de afiliados, por lo que  puede contener pagos de cápitas atrasados,  de igual forma pagos correpondientes a ese período corriente pueden ser efectuados en fechas posteriores, ya sea porque el empleador no transfirió su pago de notificación  o lo hizo de manera tardía. 
</t>
    </r>
    <r>
      <rPr>
        <b/>
        <sz val="22"/>
        <rFont val="Calibri"/>
        <family val="2"/>
        <scheme val="minor"/>
      </rPr>
      <t xml:space="preserve">Seguro de Vejez, Discapacidad y Sobrevivencia (SVDS) RC. </t>
    </r>
    <r>
      <rPr>
        <sz val="22"/>
        <rFont val="Calibri"/>
        <family val="2"/>
        <scheme val="minor"/>
      </rPr>
      <t xml:space="preserve"> Se refiere a los afiliados cotizantes (trabajadores asalariados y empleadores que se encuentran activamente cotizando en el período de referencia).  Los afiliados efectivos del </t>
    </r>
    <r>
      <rPr>
        <b/>
        <sz val="22"/>
        <rFont val="Calibri"/>
        <family val="2"/>
        <scheme val="minor"/>
      </rPr>
      <t xml:space="preserve">Régimen Especial Transitorio </t>
    </r>
    <r>
      <rPr>
        <sz val="22"/>
        <rFont val="Calibri"/>
        <family val="2"/>
        <scheme val="minor"/>
      </rPr>
      <t xml:space="preserve"> corresponde a los Pensionados y Jubilados que reciben su pensión a través del Ministerio de Hacienda,   al igual que en el SFS corresponde a las cápitas dispersadas en un período determinado, luego de la validación de la nómina de afiliados reportadas por las ARS a la TSS.   Por último la afiliación efectiva al SFS del </t>
    </r>
    <r>
      <rPr>
        <b/>
        <sz val="22"/>
        <rFont val="Calibri"/>
        <family val="2"/>
        <scheme val="minor"/>
      </rPr>
      <t>Régimen Subsidiado</t>
    </r>
    <r>
      <rPr>
        <sz val="22"/>
        <rFont val="Calibri"/>
        <family val="2"/>
        <scheme val="minor"/>
      </rPr>
      <t xml:space="preserve"> se refiere al número de capitas pagadas mensualmente.  </t>
    </r>
  </si>
  <si>
    <r>
      <rPr>
        <b/>
        <sz val="12"/>
        <color theme="1"/>
        <rFont val="Calibri"/>
        <family val="2"/>
        <scheme val="minor"/>
      </rPr>
      <t>Fuente</t>
    </r>
    <r>
      <rPr>
        <sz val="12"/>
        <color theme="1"/>
        <rFont val="Calibri"/>
        <family val="2"/>
        <scheme val="minor"/>
      </rPr>
      <t>: Informes  Trimestrales PRISS, UNIPAGO,  Informes Mensuales TSS y Portal SISALRIL</t>
    </r>
  </si>
  <si>
    <t>Feb.14</t>
  </si>
  <si>
    <t>Feb.2014</t>
  </si>
  <si>
    <t>Feb. 2014</t>
  </si>
  <si>
    <t>Feb. 14</t>
  </si>
  <si>
    <t>Tipos de Solicitudes para Pensiones  Desde RD o España
Período: 2009 - Febrero 2014</t>
  </si>
  <si>
    <r>
      <t xml:space="preserve">Tipos de Solicitudes Entrantes y Salientes (RD &amp; España)
</t>
    </r>
    <r>
      <rPr>
        <b/>
        <sz val="12"/>
        <color theme="0"/>
        <rFont val="Calibri"/>
        <family val="2"/>
        <scheme val="minor"/>
      </rPr>
      <t>Período: 2009 - Febrero 2014</t>
    </r>
  </si>
  <si>
    <t>11</t>
  </si>
  <si>
    <t>38</t>
  </si>
  <si>
    <t>7</t>
  </si>
  <si>
    <t>17</t>
  </si>
  <si>
    <r>
      <t xml:space="preserve">Solicitudes  Realizadas Desde la República Dominicana a España y 
de Entidades Centralizadas y Descentralizadas
</t>
    </r>
    <r>
      <rPr>
        <b/>
        <sz val="12"/>
        <color theme="0"/>
        <rFont val="Calibri"/>
        <family val="2"/>
        <scheme val="minor"/>
      </rPr>
      <t>Período: 2009 - Febrero 2014</t>
    </r>
  </si>
  <si>
    <r>
      <rPr>
        <b/>
        <sz val="18"/>
        <color theme="1"/>
        <rFont val="Calibri"/>
        <family val="2"/>
        <scheme val="minor"/>
      </rPr>
      <t>Fuente</t>
    </r>
    <r>
      <rPr>
        <sz val="18"/>
        <color theme="1"/>
        <rFont val="Calibri"/>
        <family val="2"/>
        <scheme val="minor"/>
      </rPr>
      <t xml:space="preserve"> :Informes  Trimestrales PRISS, UNIPAGO,  Informes Mensuales TSS </t>
    </r>
  </si>
  <si>
    <t xml:space="preserve"> Los afiliados del Seguro de Riesgos Laborales (SRL) que reportaron accidentes de trabajo o enfermedades profesionales, recibieron en el período enero a noviembre 2009, prestaciones económicas por un monto total de RD$249,733,959.76, por concepto de pensiones de sobrevivencia, discapacidad permanente, pago de indemnización por pérdida de miembros, pagos subsidios por enfermedad temporal y prestaciones en gastos médicos.</t>
  </si>
  <si>
    <r>
      <t xml:space="preserve">Seguro de Riesgos Laborales
Pago de Prestaciones y Gasto en Salud de la ARL
</t>
    </r>
    <r>
      <rPr>
        <b/>
        <sz val="11"/>
        <color theme="0"/>
        <rFont val="Calibri"/>
        <family val="2"/>
        <scheme val="minor"/>
      </rPr>
      <t>Período: 2009 - 2010</t>
    </r>
  </si>
  <si>
    <t>*Calculado con el PIB del cierre del año 2013, publicado por el Banco Central de la RD.</t>
  </si>
  <si>
    <t>16</t>
  </si>
  <si>
    <t>31</t>
  </si>
  <si>
    <t>Mar.14</t>
  </si>
  <si>
    <t>SERVICIOS DOM. DE SALUD, C. POR A.</t>
  </si>
  <si>
    <t>INST. DE SEG. SOCIAL DE LA POLICIA</t>
  </si>
  <si>
    <t>INSTITUTO DE FUERZAS ARMADAS</t>
  </si>
  <si>
    <t>ARS  RESERVAS</t>
  </si>
  <si>
    <t>ADM. SERVICIOS MED. AMOR Y PAZ</t>
  </si>
  <si>
    <t>Abr.14</t>
  </si>
  <si>
    <t>En.14</t>
  </si>
  <si>
    <t>oct.11</t>
  </si>
  <si>
    <t>Sep.11</t>
  </si>
  <si>
    <t>Ago.11</t>
  </si>
  <si>
    <t>Jul.11</t>
  </si>
  <si>
    <t>Jun.11</t>
  </si>
  <si>
    <t>May.11</t>
  </si>
  <si>
    <t>Abr.11</t>
  </si>
  <si>
    <t>Mar.11</t>
  </si>
  <si>
    <t>Feb.11</t>
  </si>
  <si>
    <t>Ene.11</t>
  </si>
  <si>
    <t>dic.10</t>
  </si>
  <si>
    <t>Nov.10</t>
  </si>
  <si>
    <t>Oct.10</t>
  </si>
  <si>
    <t>Sep.10</t>
  </si>
  <si>
    <t>ago.10</t>
  </si>
  <si>
    <t>Jul.10</t>
  </si>
  <si>
    <t>Jun.10</t>
  </si>
  <si>
    <t>May.10</t>
  </si>
  <si>
    <t>Abr.10</t>
  </si>
  <si>
    <t>Mar.10</t>
  </si>
  <si>
    <t>Feb.10</t>
  </si>
  <si>
    <t>ene.10</t>
  </si>
  <si>
    <t>abr.09</t>
  </si>
  <si>
    <t>Nov.08</t>
  </si>
  <si>
    <t>Oct.28</t>
  </si>
  <si>
    <t>Sep.08</t>
  </si>
  <si>
    <t>ago.08</t>
  </si>
  <si>
    <t>May.2008</t>
  </si>
  <si>
    <t>Abr.08</t>
  </si>
  <si>
    <t>Marz.08</t>
  </si>
  <si>
    <t>Feb.08</t>
  </si>
  <si>
    <t>Ene.2008</t>
  </si>
  <si>
    <t>Nov.07</t>
  </si>
  <si>
    <t>Oct.27</t>
  </si>
  <si>
    <t>Sep.07</t>
  </si>
  <si>
    <t>Abril 2014</t>
  </si>
  <si>
    <t>Marzo 2014</t>
  </si>
  <si>
    <t>Febrero 2014</t>
  </si>
  <si>
    <t>Enero 2014</t>
  </si>
  <si>
    <t>Diciembre 2013</t>
  </si>
  <si>
    <t>Agosto 2013</t>
  </si>
  <si>
    <t>Julio 2013</t>
  </si>
  <si>
    <t>Junio 2013</t>
  </si>
  <si>
    <t>Mayo 2013</t>
  </si>
  <si>
    <t>Abril 2013</t>
  </si>
  <si>
    <t>Marzo 2013</t>
  </si>
  <si>
    <t>Febrero 2013</t>
  </si>
  <si>
    <t>Mayo 2012</t>
  </si>
  <si>
    <t>Abril 2012</t>
  </si>
  <si>
    <t>Marzo 2012</t>
  </si>
  <si>
    <t>Febrero 2012</t>
  </si>
  <si>
    <t>Mayo 2011</t>
  </si>
  <si>
    <t>Abril 2011</t>
  </si>
  <si>
    <t>Marzo 2011</t>
  </si>
  <si>
    <t>Mayo 2010</t>
  </si>
  <si>
    <t>Abril 2010</t>
  </si>
  <si>
    <t>Completivo diciembre</t>
  </si>
  <si>
    <t>Especial Ocubre 2009 cubriendo Julio 09</t>
  </si>
  <si>
    <t>Sept. 2009</t>
  </si>
  <si>
    <t>Ago. 2009</t>
  </si>
  <si>
    <t>Julio 2009</t>
  </si>
  <si>
    <t>Junio 2009</t>
  </si>
  <si>
    <t>Mayo 2009</t>
  </si>
  <si>
    <t>Abril 2009</t>
  </si>
  <si>
    <t>Marzo 2009</t>
  </si>
  <si>
    <t>Febrero 2009</t>
  </si>
  <si>
    <t>Enero 2009</t>
  </si>
  <si>
    <t>Noviembre 2008</t>
  </si>
  <si>
    <t>Octubre 2008</t>
  </si>
  <si>
    <t xml:space="preserve">Agosto 2008 </t>
  </si>
  <si>
    <t>Julio 2008</t>
  </si>
  <si>
    <t>Junio 2008</t>
  </si>
  <si>
    <t>Mayo 2008</t>
  </si>
  <si>
    <t>Abril 2008</t>
  </si>
  <si>
    <t>Marzo 2008</t>
  </si>
  <si>
    <t>Febrero 2008</t>
  </si>
  <si>
    <t>Enero 2008</t>
  </si>
  <si>
    <t>Noviembre 2007</t>
  </si>
  <si>
    <t>Octubre 2007</t>
  </si>
  <si>
    <t>Jun.08</t>
  </si>
  <si>
    <t>HUMANO, S.A.</t>
  </si>
  <si>
    <t>UNIVERSAL, S.A.</t>
  </si>
  <si>
    <t>SALUD SEGURA</t>
  </si>
  <si>
    <t>FUTURO</t>
  </si>
  <si>
    <t xml:space="preserve">Abr.14 </t>
  </si>
  <si>
    <t xml:space="preserve">Inflación Acumulada </t>
  </si>
  <si>
    <t>Total Afiliación</t>
  </si>
  <si>
    <t>Total Cápita pagadas</t>
  </si>
  <si>
    <t>Pensiones Discapacidad</t>
  </si>
  <si>
    <t>Fecha No especificada</t>
  </si>
  <si>
    <r>
      <t xml:space="preserve">Estancias Infantiles (EI) del Régimen Contributivo (RC)
Niños Beneficiarios de las Estancias Infantiles 
</t>
    </r>
    <r>
      <rPr>
        <b/>
        <sz val="16"/>
        <color theme="0"/>
        <rFont val="Calibri"/>
        <family val="2"/>
      </rPr>
      <t>Período: Diciembre 2012- Diciembre 2013</t>
    </r>
  </si>
  <si>
    <r>
      <t xml:space="preserve">Estancias Infantiles Habilitadas para la Afiliación de Hijos de Trabajadores Afiliados al RC
</t>
    </r>
    <r>
      <rPr>
        <b/>
        <sz val="18"/>
        <color theme="0"/>
        <rFont val="Calibri"/>
        <family val="2"/>
      </rPr>
      <t>Período: Junio 2009 - Diciembre 2013</t>
    </r>
  </si>
  <si>
    <r>
      <rPr>
        <b/>
        <sz val="18"/>
        <color theme="0"/>
        <rFont val="Calibri"/>
        <family val="2"/>
        <scheme val="minor"/>
      </rPr>
      <t xml:space="preserve">Estancias Infantiles (EI) del Régimen Contributivo (RC)
Niños Beneficiarios de las Estancias Infantiles </t>
    </r>
    <r>
      <rPr>
        <b/>
        <sz val="14"/>
        <color theme="0"/>
        <rFont val="Calibri"/>
        <family val="2"/>
        <scheme val="minor"/>
      </rPr>
      <t xml:space="preserve">
</t>
    </r>
    <r>
      <rPr>
        <b/>
        <sz val="12"/>
        <color theme="0"/>
        <rFont val="Calibri"/>
        <family val="2"/>
      </rPr>
      <t>Período: Diciembre 2009 - Diciembre 2013</t>
    </r>
  </si>
  <si>
    <t xml:space="preserve">     </t>
  </si>
  <si>
    <t>May.14</t>
  </si>
  <si>
    <r>
      <rPr>
        <b/>
        <sz val="22"/>
        <color theme="0"/>
        <rFont val="Calibri"/>
        <family val="2"/>
        <scheme val="minor"/>
      </rPr>
      <t>Seguro Familiar de Salud (SFS) del Régimen Contributivo (RC)</t>
    </r>
    <r>
      <rPr>
        <b/>
        <sz val="28"/>
        <color theme="0"/>
        <rFont val="Calibri"/>
        <family val="2"/>
        <scheme val="minor"/>
      </rPr>
      <t xml:space="preserve">
</t>
    </r>
    <r>
      <rPr>
        <b/>
        <sz val="20"/>
        <color theme="0"/>
        <rFont val="Calibri"/>
        <family val="2"/>
        <scheme val="minor"/>
      </rPr>
      <t xml:space="preserve">Administradora de Riesgos que Poseen más de 50,000 Afiliados
</t>
    </r>
    <r>
      <rPr>
        <b/>
        <sz val="16"/>
        <color theme="0"/>
        <rFont val="Calibri"/>
        <family val="2"/>
        <scheme val="minor"/>
      </rPr>
      <t>Período:  Septiembre 2007 -  Mayo 2014</t>
    </r>
  </si>
  <si>
    <r>
      <t xml:space="preserve">Seguro Familiar de Salud (SFS) del Régimen Contributivo (RC)
Administradora de Riesgos que Poseen menos de 50,000 Afiliados
</t>
    </r>
    <r>
      <rPr>
        <b/>
        <sz val="18"/>
        <color theme="0"/>
        <rFont val="Calibri"/>
        <family val="2"/>
        <scheme val="minor"/>
      </rPr>
      <t>Período:  Septiembre 2007 -  Mayo 2014</t>
    </r>
  </si>
  <si>
    <t>SRL: DISPERSIÓN</t>
  </si>
  <si>
    <t>Pago a AEISS/ Año (RD$)</t>
  </si>
  <si>
    <t>Dispersión AEISS</t>
  </si>
  <si>
    <t>Recaudo Total</t>
  </si>
  <si>
    <t>Sector  Público</t>
  </si>
  <si>
    <t>Total Recaudo</t>
  </si>
  <si>
    <t>Empleador  Sector Privado</t>
  </si>
  <si>
    <t xml:space="preserve"> Empleador Sector Público</t>
  </si>
  <si>
    <t>Trabajador Sector Privado</t>
  </si>
  <si>
    <t>RC (Empleador)</t>
  </si>
  <si>
    <t>Salud RS</t>
  </si>
  <si>
    <t xml:space="preserve"> FONAMAT</t>
  </si>
  <si>
    <t>Salud Pensionados</t>
  </si>
  <si>
    <t>Jun.14</t>
  </si>
  <si>
    <t>Media</t>
  </si>
  <si>
    <t>Básica</t>
  </si>
  <si>
    <t xml:space="preserve">Población Pobre del País </t>
  </si>
  <si>
    <t>Jul.14</t>
  </si>
  <si>
    <t>Trabajador Sector Público</t>
  </si>
  <si>
    <t>Ago.14</t>
  </si>
  <si>
    <t>Seguro de Riesgos Laborales
Histórico de los pagos realizados por la ARLSS a las Subcuentas
Período: 2004 - 2009</t>
  </si>
  <si>
    <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16"/>
        <color indexed="8"/>
        <rFont val="Calibri"/>
        <family val="2"/>
      </rPr>
      <t xml:space="preserve">I.- Instituciones y Organismos que Componen el SDSS: </t>
    </r>
    <r>
      <rPr>
        <sz val="16"/>
        <color indexed="8"/>
        <rFont val="Calibri"/>
        <family val="2"/>
      </rPr>
      <t xml:space="preserve">
</t>
    </r>
    <r>
      <rPr>
        <b/>
        <sz val="16"/>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6"/>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6"/>
        <color indexed="8"/>
        <rFont val="Calibri"/>
        <family val="2"/>
      </rPr>
      <t xml:space="preserve">Tesorería de la Seguridad Social (TSS), </t>
    </r>
    <r>
      <rPr>
        <sz val="16"/>
        <color indexed="8"/>
        <rFont val="Calibri"/>
        <family val="2"/>
      </rPr>
      <t xml:space="preserve">es la </t>
    </r>
    <r>
      <rPr>
        <b/>
        <sz val="16"/>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6"/>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6"/>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6"/>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6"/>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6"/>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6"/>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</si>
  <si>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Informe Sistema Dominicano Seguridad Social (SDSS)</t>
  </si>
  <si>
    <t xml:space="preserve"> VI.4.  Prestaciones Económicas</t>
  </si>
  <si>
    <t xml:space="preserve">VI.3.  Accidentes Laborales </t>
  </si>
  <si>
    <t>VI.2.  Dispersión al SRL</t>
  </si>
  <si>
    <t xml:space="preserve">VI.1.  Afiliación al SRL </t>
  </si>
  <si>
    <t>V.4.  Pensiones del  SVDS</t>
  </si>
  <si>
    <t xml:space="preserve">V.5.  Fondos de Pensiones </t>
  </si>
  <si>
    <t>V.3.  Traspasos de AFP y Fondos de Pensiones</t>
  </si>
  <si>
    <t>V.2.  Dispersión al SVDS</t>
  </si>
  <si>
    <t xml:space="preserve">Muestra una proyección de la afiliación en comparación a la población, calculada en base a la tasa de incremento histórico.  En este escenario hipotético, podemos observar que si el comportamiento de afiliación se mantiene, se cubriría a toda la población en el segundo semestre del año 2020.   Esta proyección no considera la variación que se presentará al iniciar el Régimen Contributivo Subsidiado (RCS) u otros elementos que podrían afectar al proceso de afiliación. </t>
  </si>
  <si>
    <t>Sep.14</t>
  </si>
  <si>
    <t xml:space="preserve">Rentabilidad  Promedio de los Fondos de Pensiones </t>
  </si>
  <si>
    <t>Afiliados al Seguro de Riesgo Laborales por
 grupo de edad y sexo</t>
  </si>
  <si>
    <t>Las estadísticas de  afiliación del RC incluye SVDS desde el 2003, SRL  2004 y SFS 2007, RET 2009 y el RS solo incluye al SFS.</t>
  </si>
  <si>
    <t>Ene-Julio. 2014</t>
  </si>
  <si>
    <r>
      <t xml:space="preserve">Seguro Familiar de Salud del Régimen Contributivo
Comparación del Gasto en Salud del SFS-RC Vs. PIB
</t>
    </r>
    <r>
      <rPr>
        <b/>
        <sz val="16"/>
        <color theme="0"/>
        <rFont val="Calibri"/>
        <family val="2"/>
        <scheme val="minor"/>
      </rPr>
      <t>Período: Septiembre 2007 - Diciembre 2013</t>
    </r>
  </si>
  <si>
    <t>M.H.</t>
  </si>
  <si>
    <r>
      <rPr>
        <b/>
        <sz val="11"/>
        <color theme="1"/>
        <rFont val="Calibri"/>
        <family val="2"/>
        <scheme val="minor"/>
      </rPr>
      <t>Fuente:</t>
    </r>
    <r>
      <rPr>
        <sz val="11"/>
        <color theme="1"/>
        <rFont val="Calibri"/>
        <family val="2"/>
        <scheme val="minor"/>
      </rPr>
      <t xml:space="preserve"> Boletín No.45 Sipen</t>
    </r>
  </si>
  <si>
    <r>
      <rPr>
        <b/>
        <sz val="16"/>
        <color theme="0"/>
        <rFont val="Calibri"/>
        <family val="2"/>
        <scheme val="minor"/>
      </rPr>
      <t>Seguro de Vejez, Discapacidad y Sobrevivencia (SVDS)
Composición de la Cartera Total de Inversión de los Fondos de Pensiones por Tipo de Emisor</t>
    </r>
    <r>
      <rPr>
        <b/>
        <sz val="14"/>
        <color theme="0"/>
        <rFont val="Calibri"/>
        <family val="2"/>
        <scheme val="minor"/>
      </rPr>
      <t xml:space="preserve">
Septiembre 2014</t>
    </r>
  </si>
  <si>
    <r>
      <rPr>
        <b/>
        <sz val="11"/>
        <color theme="1"/>
        <rFont val="Calibri"/>
        <family val="2"/>
        <scheme val="minor"/>
      </rPr>
      <t xml:space="preserve">Fuente: </t>
    </r>
    <r>
      <rPr>
        <sz val="11"/>
        <color theme="1"/>
        <rFont val="Calibri"/>
        <family val="2"/>
        <scheme val="minor"/>
      </rPr>
      <t>Boletín No.45 Sipen</t>
    </r>
  </si>
  <si>
    <t>Seguro de Vejez, Discapacidad y Sobrevivencia (SVDS)
Composición de la Cartera total de Inversiones de los Fondos de Pensiones por Instrumentos
Septiembre 2014</t>
  </si>
  <si>
    <r>
      <t>Seguro de Vejez, Discapacidad y Sobrevivencia (SVDS)
Pensión Promedio de Sobrevivencia  y Discapacidad (RD$)</t>
    </r>
    <r>
      <rPr>
        <b/>
        <sz val="11"/>
        <color theme="0"/>
        <rFont val="Calibri"/>
        <family val="2"/>
        <scheme val="minor"/>
      </rPr>
      <t xml:space="preserve">
Septiembre  2014</t>
    </r>
  </si>
  <si>
    <r>
      <rPr>
        <b/>
        <sz val="24"/>
        <color theme="0"/>
        <rFont val="Calibri"/>
        <family val="2"/>
        <scheme val="minor"/>
      </rPr>
      <t>Seguro de Vejez, Discapacidad y Sobrevivencia (SVDS)
Pensión Promedio por  Tipo de Discapacidad Según AFP</t>
    </r>
    <r>
      <rPr>
        <b/>
        <sz val="22"/>
        <color theme="0"/>
        <rFont val="Calibri"/>
        <family val="2"/>
        <scheme val="minor"/>
      </rPr>
      <t xml:space="preserve">
</t>
    </r>
    <r>
      <rPr>
        <b/>
        <sz val="16"/>
        <color theme="0"/>
        <rFont val="Calibri"/>
        <family val="2"/>
        <scheme val="minor"/>
      </rPr>
      <t>Septiembre 2014</t>
    </r>
  </si>
  <si>
    <r>
      <t xml:space="preserve">Fuente: </t>
    </r>
    <r>
      <rPr>
        <sz val="14"/>
        <rFont val="Calibri"/>
        <family val="2"/>
        <scheme val="minor"/>
      </rPr>
      <t>Boletín No.45 Sipen</t>
    </r>
  </si>
  <si>
    <t>Oct.14</t>
  </si>
  <si>
    <t>Oct. 14</t>
  </si>
  <si>
    <t>Seguro de Riesgos Laborales
Reporte de Accidentes Laborales y Enfermedades Profesionales por Rango de Edad
Período: 2004 - Octubre 2014</t>
  </si>
  <si>
    <t>Seguro de Riesgos Laborales
Comparación Reporte de Accidentes Laborales y Enfermedades Profesionales y Afilación al SRL por Edad
Período: 2009 - Octubre 2014</t>
  </si>
  <si>
    <t>372,450 21,955 949,942 586,647</t>
  </si>
  <si>
    <t>Nov.14</t>
  </si>
  <si>
    <t>2014</t>
  </si>
  <si>
    <t>La Población total según el censo del año 2010 es de 9,445,281 personas.  El Banco Central de la República Dominicana (BCRD), en el Informe del Mercado de Trabajo, basado en la Encuesta Nacional de Fuerza de Trabajo, presenta las estadísticas sobre Población en Edad de Trabajo (PET), Población Económicamente Activa (PEA), Población Ocupada, Desocupada e Inactiva entre otras, actualizada a 2014.</t>
  </si>
  <si>
    <r>
      <t xml:space="preserve">Estadísticas De Mercado De Trabajo
Población Total Republica Dominicana y por Tipo de Ocupación
</t>
    </r>
    <r>
      <rPr>
        <b/>
        <sz val="14"/>
        <color theme="0"/>
        <rFont val="Calibri"/>
        <family val="2"/>
        <scheme val="minor"/>
      </rPr>
      <t>Período: 2005 - 2014</t>
    </r>
  </si>
  <si>
    <t>Datos Generales del Sistema Dominicano de la Seguridad Social (SDSS)
Comportamiento Real y Proyectado de la Cobertura del SDSS a la Población Total
 Proyección de Crecimiento de la Afiliación en Función de la Tendencia Actual
Período: 2005 - 2020</t>
  </si>
  <si>
    <t>PIB Corriente</t>
  </si>
  <si>
    <t>%  Cotizantes</t>
  </si>
  <si>
    <t>% Cotizantes</t>
  </si>
  <si>
    <t>*En base a  ENFT, Banco Central, 2014.</t>
  </si>
  <si>
    <t>* Incluye la dispersión para cubrir a los dependientes adicionales.
   ADA  dependientes adicionales</t>
  </si>
  <si>
    <t xml:space="preserve">Nota:  PEA: Banco Central, 2014.  </t>
  </si>
  <si>
    <r>
      <rPr>
        <b/>
        <sz val="18"/>
        <color theme="0"/>
        <rFont val="Calibri"/>
        <family val="2"/>
        <scheme val="minor"/>
      </rPr>
      <t xml:space="preserve">Seguro de Vejez, Discapacidad y Sobrevivencia (SVDS)
Rentabilidad Nominal Promedio  de los Fondos de Pensiones </t>
    </r>
    <r>
      <rPr>
        <b/>
        <sz val="14"/>
        <color theme="0"/>
        <rFont val="Calibri"/>
        <family val="2"/>
        <scheme val="minor"/>
      </rPr>
      <t xml:space="preserve">
</t>
    </r>
    <r>
      <rPr>
        <b/>
        <sz val="11"/>
        <color theme="0"/>
        <rFont val="Calibri"/>
        <family val="2"/>
        <scheme val="minor"/>
      </rPr>
      <t>Período: 2005 - Noviembre 2014</t>
    </r>
  </si>
  <si>
    <t>Se observa que el 45% realizan actividades con riesgos de tipo III y IV, que son las categorías de mayor peligro en las cuales los accidentes pueden causar lesiones graves, incapacitantes o pueden ser fatales.</t>
  </si>
  <si>
    <t>Total No. de Cápitas Pagadas Total Afiliación Definitiva</t>
  </si>
  <si>
    <r>
      <rPr>
        <b/>
        <sz val="14"/>
        <color theme="1"/>
        <rFont val="Calibri"/>
        <family val="2"/>
        <scheme val="minor"/>
      </rPr>
      <t xml:space="preserve">Fuente: </t>
    </r>
    <r>
      <rPr>
        <sz val="14"/>
        <color theme="1"/>
        <rFont val="Calibri"/>
        <family val="2"/>
        <scheme val="minor"/>
      </rPr>
      <t>SISALRIL y PIB publicado por el Banco Central de la República Dominicana.</t>
    </r>
  </si>
  <si>
    <r>
      <rPr>
        <b/>
        <sz val="11"/>
        <color theme="1"/>
        <rFont val="Calibri"/>
        <family val="2"/>
        <scheme val="minor"/>
      </rPr>
      <t>Nota:</t>
    </r>
    <r>
      <rPr>
        <sz val="11"/>
        <color theme="1"/>
        <rFont val="Calibri"/>
        <family val="2"/>
        <scheme val="minor"/>
      </rPr>
      <t xml:space="preserve">  Población  pobre estimada y porcentaje de población pobre según la metodología oficial del Ministerio de  Economía, Planificación y Desarrollo.</t>
    </r>
  </si>
  <si>
    <t>Dic. 2014</t>
  </si>
  <si>
    <t xml:space="preserve">Datos Generales del Sistema Dominicano de la Seguridad Social (SDSS)
Porcentaje de Cápitas Pagadas por Afiliados del SFS con Relación a la Población Nacional : 63.5% </t>
  </si>
  <si>
    <t xml:space="preserve"> Porcentajes de Participación en Cápitas Pagadas  por Regímenes:                                                                                                                                                                                                                               Contributivo (RC) 51.43% / Subsidiado (RS) 48.09% / Especial (RET) 0.49%</t>
  </si>
  <si>
    <t>Porcentaje de Cobertura de Afiliación  del SDSS 
con Relación a la Población Nacional: 62.6%</t>
  </si>
  <si>
    <r>
      <t xml:space="preserve">Cobertura del SDSS a la Población Nacional
</t>
    </r>
    <r>
      <rPr>
        <b/>
        <sz val="24"/>
        <color theme="0"/>
        <rFont val="Calibri"/>
        <family val="2"/>
        <scheme val="minor"/>
      </rPr>
      <t xml:space="preserve"> Afiliación 62.6% y </t>
    </r>
    <r>
      <rPr>
        <b/>
        <u val="singleAccounting"/>
        <sz val="24"/>
        <color theme="0"/>
        <rFont val="Calibri"/>
        <family val="2"/>
        <scheme val="minor"/>
      </rPr>
      <t xml:space="preserve">Cápitas Pagadas 63.5% </t>
    </r>
  </si>
  <si>
    <t>Dic.14</t>
  </si>
  <si>
    <r>
      <t xml:space="preserve">Datos Generales del Sistema Dominicano de la Seguridad Social (SDSS) 
</t>
    </r>
    <r>
      <rPr>
        <b/>
        <sz val="16"/>
        <color indexed="9"/>
        <rFont val="Calibri"/>
        <family val="2"/>
      </rPr>
      <t>Empresas y Empleados Afiliados Activos al SDSS por sector
Período: Diciembre 2008 - Diciembre 2014</t>
    </r>
  </si>
  <si>
    <r>
      <t xml:space="preserve"> Datos Generales del Sistema Dominicano de la Seguridad Social (SDSS)
</t>
    </r>
    <r>
      <rPr>
        <b/>
        <sz val="16"/>
        <color theme="0"/>
        <rFont val="Calibri"/>
        <family val="2"/>
      </rPr>
      <t>Empresas Afiliadas Activas al SDSS, por Cantidad de Empleados Registrados en TSS
Período: Diciembre 2014</t>
    </r>
  </si>
  <si>
    <t xml:space="preserve">Presenta la cantidad de empresas registradas en el Sistema y que se encontraban activas al mes de diciembre del 2014 por cantidad de empleados.  Se aprecia que el número de empresas que poseen de 1 a 20 empleados representa un 87.2% del total.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Se observa además la afiliación de cuatro  (4) instituciones de gran tamaño las cuales emplean un total de 237,611 personas, y su empleomanía representa el 14.4% del total de empleados registrados en el SDSS. </t>
  </si>
  <si>
    <r>
      <t xml:space="preserve">Datos Generales del Sistema Dominicano de la Seguridad Social (SDSS) 
Salario Promedio Mensual de los Empleados Afiliados Activos al SDSS, por Sector
</t>
    </r>
    <r>
      <rPr>
        <b/>
        <sz val="16"/>
        <color theme="0"/>
        <rFont val="Calibri"/>
        <family val="2"/>
        <scheme val="minor"/>
      </rPr>
      <t>Período: Diciembre 2008 - Diciembre 2014</t>
    </r>
  </si>
  <si>
    <r>
      <t xml:space="preserve">Datos Generales del Sistema Dominicano de Seguridad Social (SDSS) 
Ingresos y Egresos Anuales del SDSS
</t>
    </r>
    <r>
      <rPr>
        <b/>
        <sz val="18"/>
        <color theme="0"/>
        <rFont val="Calibri"/>
        <family val="2"/>
        <scheme val="minor"/>
      </rPr>
      <t>Período: 2005 - 2014</t>
    </r>
  </si>
  <si>
    <r>
      <t xml:space="preserve">Recaudo del Régimen Contributivo del SDSS por sector 
</t>
    </r>
    <r>
      <rPr>
        <b/>
        <sz val="11"/>
        <color theme="0"/>
        <rFont val="Calibri"/>
        <family val="2"/>
        <scheme val="minor"/>
      </rPr>
      <t xml:space="preserve"> Período: 2005 - 2014</t>
    </r>
  </si>
  <si>
    <r>
      <t xml:space="preserve">Recaudo del Régimen Contributivo del SDSS por Origen de los Aportes
</t>
    </r>
    <r>
      <rPr>
        <b/>
        <sz val="14"/>
        <color theme="0"/>
        <rFont val="Calibri"/>
        <family val="2"/>
        <scheme val="minor"/>
      </rPr>
      <t>Período: 2005 - 2014</t>
    </r>
    <r>
      <rPr>
        <b/>
        <sz val="18"/>
        <color theme="0"/>
        <rFont val="Calibri"/>
        <family val="2"/>
        <scheme val="minor"/>
      </rPr>
      <t xml:space="preserve">                                                                                                          </t>
    </r>
  </si>
  <si>
    <r>
      <rPr>
        <b/>
        <sz val="18"/>
        <color theme="0"/>
        <rFont val="Calibri"/>
        <family val="2"/>
        <scheme val="minor"/>
      </rPr>
      <t>Aportes del Gobierno a la Seguridad Social</t>
    </r>
    <r>
      <rPr>
        <b/>
        <sz val="14"/>
        <color theme="0"/>
        <rFont val="Calibri"/>
        <family val="2"/>
        <scheme val="minor"/>
      </rPr>
      <t xml:space="preserve">
Período: 2005 - 2014                                                 </t>
    </r>
  </si>
  <si>
    <t>Dic.2014</t>
  </si>
  <si>
    <r>
      <t xml:space="preserve">Seguro Familiar de Salud (SFS) del Régimen Contributivo (RC)  
Afiliación  al </t>
    </r>
    <r>
      <rPr>
        <b/>
        <sz val="24"/>
        <color indexed="9"/>
        <rFont val="Calibri"/>
        <family val="2"/>
      </rPr>
      <t xml:space="preserve"> SFS del Régimen Contributivo (RC) y Número de Cápitas Pagadas por Afiliados
Período:  Diciembre 2007 -  Diciembre 2014</t>
    </r>
  </si>
  <si>
    <r>
      <t xml:space="preserve">Seguro Familiar de Salud (SFS) del Régimen Contributivo (RC)  
Afiliación Mensual al </t>
    </r>
    <r>
      <rPr>
        <b/>
        <sz val="24"/>
        <color indexed="9"/>
        <rFont val="Calibri"/>
        <family val="2"/>
      </rPr>
      <t xml:space="preserve"> SFS del RC y No. de Cápitas Pagadas por Afiliados
</t>
    </r>
    <r>
      <rPr>
        <b/>
        <sz val="20"/>
        <color indexed="9"/>
        <rFont val="Calibri"/>
        <family val="2"/>
      </rPr>
      <t>Período: Diciembre 2013 -  Diciembre 2014</t>
    </r>
  </si>
  <si>
    <r>
      <rPr>
        <b/>
        <sz val="48"/>
        <color theme="0"/>
        <rFont val="Calibri"/>
        <family val="2"/>
        <scheme val="minor"/>
      </rPr>
      <t xml:space="preserve">Seguro Familiar de Salud (SFS) del Régimen Contributivo (RC)  
</t>
    </r>
    <r>
      <rPr>
        <b/>
        <sz val="36"/>
        <color theme="0"/>
        <rFont val="Calibri"/>
        <family val="2"/>
        <scheme val="minor"/>
      </rPr>
      <t>Indice de Dependencia en Afiliación  y en Cápitas Pagadas  al SFS del RC</t>
    </r>
    <r>
      <rPr>
        <b/>
        <sz val="28"/>
        <color indexed="9"/>
        <rFont val="Calibri"/>
        <family val="2"/>
      </rPr>
      <t xml:space="preserve">
Período: Diciembre 2013 - Diciembre 2014</t>
    </r>
  </si>
  <si>
    <t xml:space="preserve"> 2014</t>
  </si>
  <si>
    <r>
      <t xml:space="preserve">Seguro Familiar de Salud (SFS) del Régimen Contributivo (RC)
Fondos Dispersados Anualmente por Cuentas al SFS del RC
</t>
    </r>
    <r>
      <rPr>
        <b/>
        <sz val="14"/>
        <color theme="0"/>
        <rFont val="Calibri"/>
        <family val="2"/>
        <scheme val="minor"/>
      </rPr>
      <t>Período: Septiembre 2007 - Diciembre 2014</t>
    </r>
  </si>
  <si>
    <r>
      <rPr>
        <b/>
        <sz val="20"/>
        <color theme="0"/>
        <rFont val="Calibri"/>
        <family val="2"/>
        <scheme val="minor"/>
      </rPr>
      <t>Seguro Familiar de Salud (SFS) del Régimen Contributivo (RC)
Fondos Dispersados Mensualmente por Cuentas al SFS del RC</t>
    </r>
    <r>
      <rPr>
        <b/>
        <sz val="16"/>
        <color theme="0"/>
        <rFont val="Calibri"/>
        <family val="2"/>
        <scheme val="minor"/>
      </rPr>
      <t xml:space="preserve">
Período: Diciembre 2013 - Diciembre 2014</t>
    </r>
  </si>
  <si>
    <r>
      <rPr>
        <b/>
        <sz val="18"/>
        <color theme="0"/>
        <rFont val="Calibri"/>
        <family val="2"/>
        <scheme val="minor"/>
      </rPr>
      <t>Seguro Familiar de Salud (SFS) del Régimen Contributivo (RC)
Fondos Dispersados  a las ARS del SFS del RC</t>
    </r>
    <r>
      <rPr>
        <b/>
        <sz val="14"/>
        <color theme="0"/>
        <rFont val="Calibri"/>
        <family val="2"/>
        <scheme val="minor"/>
      </rPr>
      <t xml:space="preserve">
</t>
    </r>
    <r>
      <rPr>
        <b/>
        <sz val="12"/>
        <color theme="0"/>
        <rFont val="Calibri"/>
        <family val="2"/>
        <scheme val="minor"/>
      </rPr>
      <t>Período:  Septiembre 2007 -  Diciembre 2014</t>
    </r>
  </si>
  <si>
    <r>
      <t>Gestión de Fondos
Distribución de la Inversión Financiera de los Fondos del SFS del RC 
Diciembre</t>
    </r>
    <r>
      <rPr>
        <b/>
        <sz val="18"/>
        <color theme="0"/>
        <rFont val="Calibri"/>
        <family val="2"/>
        <scheme val="minor"/>
      </rPr>
      <t xml:space="preserve"> 2014</t>
    </r>
  </si>
  <si>
    <t>Gestión de Fondos
Distribución de la Inversión Financiera de los Fondos de la Cuenta Cuidado de la Salud  por Tipo de Instrumento
Diciembre 2014</t>
  </si>
  <si>
    <r>
      <rPr>
        <b/>
        <sz val="16"/>
        <color theme="0"/>
        <rFont val="Calibri"/>
        <family val="2"/>
        <scheme val="minor"/>
      </rPr>
      <t>Seguro Familiar de Salud (SFS) del Régimen Subsidiado (RS)
Afiliación  Mensual  y No. de Cápitas Pagadas por Afiliados al  SFS del  RS</t>
    </r>
    <r>
      <rPr>
        <b/>
        <sz val="12"/>
        <color theme="0"/>
        <rFont val="Calibri"/>
        <family val="2"/>
        <scheme val="minor"/>
      </rPr>
      <t xml:space="preserve">
</t>
    </r>
    <r>
      <rPr>
        <b/>
        <sz val="12"/>
        <color theme="0"/>
        <rFont val="Calibri"/>
        <family val="2"/>
      </rPr>
      <t>Período: Diciembre 2013 -  Diciembre 2014</t>
    </r>
  </si>
  <si>
    <r>
      <rPr>
        <b/>
        <sz val="20"/>
        <color theme="0"/>
        <rFont val="Calibri"/>
        <family val="2"/>
        <scheme val="minor"/>
      </rPr>
      <t>Seguro Familiar de Salud (SFS) del Régimen Subsidiado (RS)
Comportamiento de la Afiliación al SFS del RS con relación  a la Población Pobre del País (MEPYD)</t>
    </r>
    <r>
      <rPr>
        <b/>
        <sz val="18"/>
        <color theme="0"/>
        <rFont val="Calibri"/>
        <family val="2"/>
        <scheme val="minor"/>
      </rPr>
      <t xml:space="preserve">
Período: 2005 - 2014</t>
    </r>
  </si>
  <si>
    <r>
      <t xml:space="preserve">Seguro Familiar de Salud (SFS) del Régimen Subsidiado (RS)
Indice de Dependencia del RS 
</t>
    </r>
    <r>
      <rPr>
        <b/>
        <sz val="16"/>
        <color theme="0"/>
        <rFont val="Calibri"/>
        <family val="2"/>
      </rPr>
      <t>Período: 2006 -  2014</t>
    </r>
  </si>
  <si>
    <t>Al mes de diciembre 2014 el indice de dependencia es de 0.68 para la afiliación,  68 dependientes por cada 100 titulares respectivamente.</t>
  </si>
  <si>
    <r>
      <rPr>
        <b/>
        <sz val="18"/>
        <color theme="0"/>
        <rFont val="Calibri"/>
        <family val="2"/>
        <scheme val="minor"/>
      </rPr>
      <t>Seguro Familiar de Salud (SFS) del Régimen Subsidiado (RS)
Aporte  y Dispersión Anual del Gobierno Central al SFS del RS</t>
    </r>
    <r>
      <rPr>
        <b/>
        <sz val="14"/>
        <color theme="0"/>
        <rFont val="Calibri"/>
        <family val="2"/>
        <scheme val="minor"/>
      </rPr>
      <t xml:space="preserve">
</t>
    </r>
    <r>
      <rPr>
        <b/>
        <sz val="14"/>
        <color theme="0"/>
        <rFont val="Calibri"/>
        <family val="2"/>
      </rPr>
      <t>Período: 2005 - 2014</t>
    </r>
  </si>
  <si>
    <t>La Ley 87-01 establece en su artículo 7 que el Régimen Subsidiado debe ser financiado fundamentalmente por el Estado Dominicano.  Durante el período 2005 al mes de diciembre 2014 el gobierno  ha transferido al sistema la suma de RD$32 mil 903 millones (32,903,763,004.68) para cubrir la afiliación al Seguro Familiar de Salud (SFS) de los ciudadanos con menos ingresos del país, así como  las personas que viven con discapacidad, personas VIH positivas y  trabajadores por cuenta propia con ingresos inestables e inferiores al salario mínimo nacional. Desde  enero hasta diciembre 2014  se recibió el aporte del Estado Dominicano para apoyar el Regimen Subsidiado RD$6,839 millones (6,839,999,499.00).</t>
  </si>
  <si>
    <r>
      <t xml:space="preserve">Seguro Familiar de Salud (SFS) del Régimen Subsidiado (RS)
Aportes y Dispersión Mensual 
</t>
    </r>
    <r>
      <rPr>
        <b/>
        <sz val="14"/>
        <color theme="0"/>
        <rFont val="Calibri"/>
        <family val="2"/>
      </rPr>
      <t>Período: Diciembre  2013 - Diciembre 2014</t>
    </r>
  </si>
  <si>
    <r>
      <t xml:space="preserve">Régimen Especial Transitorio para la Salud de Pensionados Ley 1896-379
Afiliación de Pensionados al SFS
</t>
    </r>
    <r>
      <rPr>
        <b/>
        <sz val="12"/>
        <color theme="0"/>
        <rFont val="Calibri"/>
        <family val="2"/>
      </rPr>
      <t>Período:  Diciembre 2009 - Diciembre 2014</t>
    </r>
  </si>
  <si>
    <r>
      <rPr>
        <b/>
        <sz val="18"/>
        <color theme="0"/>
        <rFont val="Calibri"/>
        <family val="2"/>
      </rPr>
      <t>Régimen Especial Transitorio para la Salud de Pensionados Ley 1896 - 379
Afiliación de Pensionados al SFS</t>
    </r>
    <r>
      <rPr>
        <b/>
        <sz val="14"/>
        <color theme="0"/>
        <rFont val="Calibri"/>
        <family val="2"/>
      </rPr>
      <t xml:space="preserve">
</t>
    </r>
    <r>
      <rPr>
        <b/>
        <sz val="12"/>
        <color theme="0"/>
        <rFont val="Calibri"/>
        <family val="2"/>
      </rPr>
      <t>Período: Diciembre 2013 - Diciembre 2014</t>
    </r>
  </si>
  <si>
    <t>Ene-Dic. 2014</t>
  </si>
  <si>
    <r>
      <rPr>
        <b/>
        <sz val="16"/>
        <color theme="0"/>
        <rFont val="Calibri"/>
        <family val="2"/>
        <scheme val="minor"/>
      </rPr>
      <t>Régimen Especial Transitorio para la Salud de Pensionados Ley 1896 - 379
Dispersión SFSP por  ARS</t>
    </r>
    <r>
      <rPr>
        <b/>
        <sz val="12"/>
        <color theme="0"/>
        <rFont val="Calibri"/>
        <family val="2"/>
        <scheme val="minor"/>
      </rPr>
      <t xml:space="preserve">
Período:  Junio 2009 - Diciembre 2014</t>
    </r>
  </si>
  <si>
    <t>Total: 2009 - Dic. 2014</t>
  </si>
  <si>
    <r>
      <t xml:space="preserve">Estancias Infantiles (EI) del Régimen Contributivo (RC)
Dispersión a las Estancias Infantiles 
</t>
    </r>
    <r>
      <rPr>
        <b/>
        <sz val="16"/>
        <color theme="0"/>
        <rFont val="Calibri"/>
        <family val="2"/>
      </rPr>
      <t>Período: 2009 - 2014</t>
    </r>
  </si>
  <si>
    <r>
      <t xml:space="preserve"> Afiliados (as) Beneficiarios por Subsidio de Maternidad, Lactancia y Enfermedad Común
</t>
    </r>
    <r>
      <rPr>
        <b/>
        <sz val="12"/>
        <color theme="0"/>
        <rFont val="Calibri"/>
        <family val="2"/>
      </rPr>
      <t>Período: Septiembre 2008 - 2014</t>
    </r>
  </si>
  <si>
    <r>
      <t xml:space="preserve"> Montos Aprobados en Millones de RD$ por Concepto de Subsidios por 
Matenidad, Lactancia y Enfermedad Común
</t>
    </r>
    <r>
      <rPr>
        <b/>
        <sz val="20"/>
        <color theme="0"/>
        <rFont val="Calibri"/>
        <family val="2"/>
      </rPr>
      <t>Período: Septiembre 2008 - 2014</t>
    </r>
  </si>
  <si>
    <r>
      <t xml:space="preserve">Seguro de Vejez, Discapacidad y Sobrevivencia (SVDS)
Cantidad  de Afiliados  y Cotizantes  Anual al SVDS del RC
</t>
    </r>
    <r>
      <rPr>
        <b/>
        <sz val="14"/>
        <color theme="0"/>
        <rFont val="Calibri"/>
        <family val="2"/>
        <scheme val="minor"/>
      </rPr>
      <t>Período:</t>
    </r>
    <r>
      <rPr>
        <b/>
        <sz val="14"/>
        <color indexed="10"/>
        <rFont val="Calibri"/>
        <family val="2"/>
      </rPr>
      <t xml:space="preserve"> </t>
    </r>
    <r>
      <rPr>
        <b/>
        <sz val="14"/>
        <color indexed="9"/>
        <rFont val="Calibri"/>
        <family val="2"/>
      </rPr>
      <t>2005 -  2014</t>
    </r>
  </si>
  <si>
    <t xml:space="preserve">El proceso de afiliación al Seguro de Vejez, Discapacidad y Sobrevivencia (SVDS) inició en septiembre del 2003.  En el período 2005  hasta diciembre 2014,  la incorporación  de afiliados fue significativa con un total de 1,640,379 nuevos afiliados.   La relación afiliados cotizantes/afiliados totales al final del 2005 era de 43.8%, y ha diciembre 2014 fue de 49.1%.
Se observa en la densidad de cotizantes/afiliados un aumento en el mes de diciembre 2014 con relación al 2005 de un  de 5.30%.  Esta situación obedece a diferentes factores, uno de ellos es que el artículo 36 de la Ley 87-01 establece que la afiliación del trabajador asalariado y del empleador al régimen previsional es obligatoria, única y permanente, independientemente de que el beneficiario permanezca o no en actividad, significando que seguirá afiliado aunque no mantenga la ocupación que dio origen a su afiliación. </t>
  </si>
  <si>
    <r>
      <t xml:space="preserve">Seguro de Vejez, Discapacidad y Sobrevivencia (SVDS)
Comparación anual del número de Afiliados Cotizantes con la  Población Ocupada Formal
</t>
    </r>
    <r>
      <rPr>
        <b/>
        <sz val="12"/>
        <color indexed="9"/>
        <rFont val="Calibri"/>
        <family val="2"/>
      </rPr>
      <t>Período: 2005 -  2014</t>
    </r>
  </si>
  <si>
    <r>
      <rPr>
        <b/>
        <sz val="20"/>
        <color theme="0"/>
        <rFont val="Calibri"/>
        <family val="2"/>
        <scheme val="minor"/>
      </rPr>
      <t>Seguro de Vejez, Discapacidad y Sobrevivencia (SVDS)
Afiliación Mensual al SVDS del RC</t>
    </r>
    <r>
      <rPr>
        <b/>
        <sz val="14"/>
        <color theme="0"/>
        <rFont val="Calibri"/>
        <family val="2"/>
        <scheme val="minor"/>
      </rPr>
      <t xml:space="preserve">
</t>
    </r>
    <r>
      <rPr>
        <b/>
        <sz val="14"/>
        <color indexed="9"/>
        <rFont val="Calibri"/>
        <family val="2"/>
      </rPr>
      <t>Período: Diciembre 2013 - Diciembre 2014</t>
    </r>
  </si>
  <si>
    <r>
      <rPr>
        <b/>
        <sz val="22"/>
        <color theme="0"/>
        <rFont val="Calibri"/>
        <family val="2"/>
        <scheme val="minor"/>
      </rPr>
      <t>Seguro de Vejez, Discapacidad y Sobrevivencia (SVDS)</t>
    </r>
    <r>
      <rPr>
        <b/>
        <sz val="20"/>
        <color theme="0"/>
        <rFont val="Calibri"/>
        <family val="2"/>
        <scheme val="minor"/>
      </rPr>
      <t xml:space="preserve">
Porcentaje de Cotizantes por AFP
</t>
    </r>
    <r>
      <rPr>
        <b/>
        <sz val="14"/>
        <color theme="0"/>
        <rFont val="Calibri"/>
        <family val="2"/>
        <scheme val="minor"/>
      </rPr>
      <t>Diciembre 2014</t>
    </r>
  </si>
  <si>
    <r>
      <rPr>
        <b/>
        <sz val="18"/>
        <color theme="0"/>
        <rFont val="Calibri"/>
        <family val="2"/>
        <scheme val="minor"/>
      </rPr>
      <t xml:space="preserve">Seguro de Vejez, Discapacidad y Sobrevivencia (SVDS)
Porcentaje de Afiliación Total Anual del SVDS por Sexo </t>
    </r>
    <r>
      <rPr>
        <b/>
        <sz val="16"/>
        <color theme="0"/>
        <rFont val="Calibri"/>
        <family val="2"/>
        <scheme val="minor"/>
      </rPr>
      <t xml:space="preserve">
</t>
    </r>
    <r>
      <rPr>
        <b/>
        <sz val="12"/>
        <color theme="0"/>
        <rFont val="Calibri"/>
        <family val="2"/>
        <scheme val="minor"/>
      </rPr>
      <t>Período: Diciembre 2005 - Diciembre 2014</t>
    </r>
  </si>
  <si>
    <t xml:space="preserve"> Dic. 14</t>
  </si>
  <si>
    <r>
      <rPr>
        <b/>
        <sz val="16"/>
        <color theme="0"/>
        <rFont val="Calibri"/>
        <family val="2"/>
        <scheme val="minor"/>
      </rPr>
      <t>Seguro de Vejez, Discapacidad y Sobrevivencia (SVDS)
Cotizantes del SVDS por Rango de Edad</t>
    </r>
    <r>
      <rPr>
        <b/>
        <sz val="12"/>
        <color theme="0"/>
        <rFont val="Calibri"/>
        <family val="2"/>
        <scheme val="minor"/>
      </rPr>
      <t xml:space="preserve">
Período: Diciembre 2014</t>
    </r>
  </si>
  <si>
    <t>Se observa que al mes de  diciembre 2014  la mayor agrupación de cotizantes se encuentran entre las edades de 20 a 49 años (78.38%).  Un aspecto a destacar, es que el 7.14% de los cotizantes tiene más de 60 años.</t>
  </si>
  <si>
    <r>
      <rPr>
        <b/>
        <sz val="18"/>
        <color theme="0"/>
        <rFont val="Calibri"/>
        <family val="2"/>
        <scheme val="minor"/>
      </rPr>
      <t>Seguro de Vejez, Discapacidad y Sobrevivencia (SVDS)
Porcentaje de Cotizantes del SVDS por Rango de Edad Vs Poblacion Formal</t>
    </r>
    <r>
      <rPr>
        <b/>
        <sz val="12"/>
        <color theme="0"/>
        <rFont val="Calibri"/>
        <family val="2"/>
        <scheme val="minor"/>
      </rPr>
      <t xml:space="preserve">
Período: Diciembre 2014</t>
    </r>
  </si>
  <si>
    <r>
      <rPr>
        <b/>
        <sz val="20"/>
        <color theme="0"/>
        <rFont val="Calibri"/>
        <family val="2"/>
        <scheme val="minor"/>
      </rPr>
      <t>Seguro de Vejez, Discapacidad y Sobrevivencia (SVDS)
Porcentaje de Cotizantes del SVDS por Salario Mínimo Cotizable</t>
    </r>
    <r>
      <rPr>
        <b/>
        <sz val="14"/>
        <color theme="0"/>
        <rFont val="Calibri"/>
        <family val="2"/>
        <scheme val="minor"/>
      </rPr>
      <t xml:space="preserve">
</t>
    </r>
    <r>
      <rPr>
        <b/>
        <sz val="14"/>
        <color indexed="9"/>
        <rFont val="Calibri"/>
        <family val="2"/>
      </rPr>
      <t>Período: Diciembre 2014</t>
    </r>
  </si>
  <si>
    <r>
      <rPr>
        <b/>
        <sz val="18"/>
        <color theme="0"/>
        <rFont val="Calibri"/>
        <family val="2"/>
        <scheme val="minor"/>
      </rPr>
      <t>Seguro de Vejez, Discapacidad y Sobrevivencia (SVDS)
Distribución de los Afiliados Cotizantes por AFP's y Fondos de Reparto</t>
    </r>
    <r>
      <rPr>
        <b/>
        <sz val="16"/>
        <color theme="0"/>
        <rFont val="Calibri"/>
        <family val="2"/>
        <scheme val="minor"/>
      </rPr>
      <t xml:space="preserve">
Período: Diciembre 2014</t>
    </r>
  </si>
  <si>
    <t xml:space="preserve">Se observa que el 58.42% de los cotizantes están afiliados a dos AFP's;  Popular con un 29.7%  y  Scotia Crecer con un 28.7%.  En el  Sistema de Reparto cotizan  alrededor de un 8.41% (5.6% en Reparto Individualizado y 2.8% en el Ministerio de Hacienda). </t>
  </si>
  <si>
    <r>
      <rPr>
        <b/>
        <sz val="16"/>
        <color theme="0"/>
        <rFont val="Calibri"/>
        <family val="2"/>
        <scheme val="minor"/>
      </rPr>
      <t>Seguro de Vejez, Discapacidad y Sobrevivencia (SVDS)
Afiliados y Cotizantes del SVDS por Sexo</t>
    </r>
    <r>
      <rPr>
        <b/>
        <sz val="18"/>
        <color theme="0"/>
        <rFont val="Calibri"/>
        <family val="2"/>
        <scheme val="minor"/>
      </rPr>
      <t xml:space="preserve">
</t>
    </r>
    <r>
      <rPr>
        <b/>
        <sz val="12"/>
        <color theme="0"/>
        <rFont val="Calibri"/>
        <family val="2"/>
        <scheme val="minor"/>
      </rPr>
      <t>Periodo: Diciembre 2005 - Diciembre 2014</t>
    </r>
  </si>
  <si>
    <r>
      <t xml:space="preserve">Seguro de Vejez, Discapacidad y Sobrevivencia (SVDS)
Dispersión Histórica 
</t>
    </r>
    <r>
      <rPr>
        <b/>
        <sz val="16"/>
        <color indexed="9"/>
        <rFont val="Calibri"/>
        <family val="2"/>
      </rPr>
      <t>Período: 2005 - 2014</t>
    </r>
  </si>
  <si>
    <t>Seguro de Vejez, Discapacidad y Sobrevivencia (SVDS)
Traspasos totales por año
Período:  2005 - 2014</t>
  </si>
  <si>
    <r>
      <t xml:space="preserve">Seguro de Vejez, Discapacidad y Sobrevivencia (SVDS)
Traspasos Recibidos en Entidades de CCI/ Reparto
</t>
    </r>
    <r>
      <rPr>
        <b/>
        <sz val="18"/>
        <color indexed="9"/>
        <rFont val="Calibri"/>
        <family val="2"/>
      </rPr>
      <t>Período:  2005 - 2014</t>
    </r>
  </si>
  <si>
    <t xml:space="preserve">Se observa que en el período del 2005 hasta diciembre 2014 se efectuaron un total de 105,079  traspasos de afiliados, de los cuales 38,456 corresponden a  los traspasos de los docentes de la Secretaría de Estado de Educación afiliados a las AFP’s, al Instituto Nacional de Bienestar Magisterial (INABIMA). 
</t>
  </si>
  <si>
    <t>Seguro de Vejez, Discapacidad y Sobrevivencia (SVDS)
Traspasos Cedidos en  Entidades de  CCI / Reparto
Período: 2005 -  2014</t>
  </si>
  <si>
    <r>
      <rPr>
        <b/>
        <sz val="20"/>
        <rFont val="Calibri"/>
        <family val="2"/>
        <scheme val="minor"/>
      </rPr>
      <t>Seguro de Vejez, Discapacidad y Sobrevivencia (SVDS)
Traspasos Netos en  Entidades de CCI (Reparto)</t>
    </r>
    <r>
      <rPr>
        <b/>
        <sz val="16"/>
        <rFont val="Calibri"/>
        <family val="2"/>
        <scheme val="minor"/>
      </rPr>
      <t xml:space="preserve">
Período:  2005 -  2014</t>
    </r>
  </si>
  <si>
    <t>Seguro de Vejez, Discapacidad y Sobrevivencia (SVDS)
Pensiones Otorgadas por Año
Período: 2005 - 2014</t>
  </si>
  <si>
    <r>
      <rPr>
        <b/>
        <sz val="14"/>
        <color theme="0"/>
        <rFont val="Calibri"/>
        <family val="2"/>
        <scheme val="minor"/>
      </rPr>
      <t>Seguro de Vejez, Discapacidad y Sobrevivencia (SVDS)
Cobertura en Pensiones por Género en la PEA</t>
    </r>
    <r>
      <rPr>
        <b/>
        <sz val="16"/>
        <color theme="0"/>
        <rFont val="Calibri"/>
        <family val="2"/>
        <scheme val="minor"/>
      </rPr>
      <t xml:space="preserve">
</t>
    </r>
    <r>
      <rPr>
        <b/>
        <sz val="12"/>
        <color theme="0"/>
        <rFont val="Calibri"/>
        <family val="2"/>
        <scheme val="minor"/>
      </rPr>
      <t>Período: 2005 - 2014</t>
    </r>
  </si>
  <si>
    <t>Dic. 2014*</t>
  </si>
  <si>
    <t>A diciembre 2014 el patrimonio de los fondos de pensiones acumulados alcanzaron un monto de RD$305,297.32 millones lo que representa el 12.05% del Producto Interno Bruto nacional (PIB) del año 2013.</t>
  </si>
  <si>
    <t xml:space="preserve">Desde diciembre 2005 hasta diciembre 2014,  la rentabilidad nominal promedio de los fondos de pensiones tanto de la Cuenta de Capitalización Individual como  del sistema en general observan un comportamiento similar, acorde a los cambios de las tasas de interés en la economía.  
</t>
  </si>
  <si>
    <r>
      <t xml:space="preserve">Seguro de Vejez, Discapacidad y Sobrevivencia (SVDS)
Rentabilidad Promedio  de los Fondos de Pensiones
</t>
    </r>
    <r>
      <rPr>
        <b/>
        <sz val="18"/>
        <color theme="0"/>
        <rFont val="Calibri"/>
        <family val="2"/>
        <scheme val="minor"/>
      </rPr>
      <t>Período: 2005 - 2014</t>
    </r>
  </si>
  <si>
    <t>Seguro de Riesgos Laborales
Comparativo Afiliación al SRL en relación a la Población Ocupada en el Sector Formal 
Período: Diciembre 2008 -  Diciembre 2014</t>
  </si>
  <si>
    <t>Seguro de Riesgos Laborales
Afiliación al SRL por Grupo de Edad y sexo 
Diciembre 2014</t>
  </si>
  <si>
    <r>
      <rPr>
        <b/>
        <sz val="22"/>
        <color theme="0"/>
        <rFont val="Calibri"/>
        <family val="2"/>
        <scheme val="minor"/>
      </rPr>
      <t>Empleados Afiliados Activos al SDSS por Tipo de Riesgos Laborales de sus Empresas</t>
    </r>
    <r>
      <rPr>
        <b/>
        <sz val="20"/>
        <color theme="0"/>
        <rFont val="Calibri"/>
        <family val="2"/>
        <scheme val="minor"/>
      </rPr>
      <t xml:space="preserve">
</t>
    </r>
    <r>
      <rPr>
        <b/>
        <sz val="16"/>
        <color theme="0"/>
        <rFont val="Calibri"/>
        <family val="2"/>
        <scheme val="minor"/>
      </rPr>
      <t>Período: Diciembre 2013 - Diciembre 2014</t>
    </r>
  </si>
  <si>
    <r>
      <t xml:space="preserve">Seguro de Riesgos Laborales
Dispersión Anual al SRL por Cuentas
</t>
    </r>
    <r>
      <rPr>
        <b/>
        <sz val="14"/>
        <color theme="0"/>
        <rFont val="Calibri"/>
        <family val="2"/>
      </rPr>
      <t>Período: Diciembre 2005 - Diciembre 2014</t>
    </r>
  </si>
  <si>
    <t>Seguro de Riesgos Laborales
Dispersión Mensual por Cuentas al Seguro de Riesgos laborales
Período: Diciembre 2013 - Diciembre 2014</t>
  </si>
  <si>
    <r>
      <rPr>
        <b/>
        <sz val="20"/>
        <color theme="0"/>
        <rFont val="Calibri"/>
        <family val="2"/>
        <scheme val="minor"/>
      </rPr>
      <t>Seguro de Riesgos Laborales
Reporte de Accidentes Laborales y Enfermedades Profesionales</t>
    </r>
    <r>
      <rPr>
        <b/>
        <sz val="18"/>
        <color theme="0"/>
        <rFont val="Calibri"/>
        <family val="2"/>
        <scheme val="minor"/>
      </rPr>
      <t xml:space="preserve">
Período: 2005 -  2014</t>
    </r>
  </si>
  <si>
    <r>
      <t>El indicador de accidentabilidad:</t>
    </r>
    <r>
      <rPr>
        <sz val="14"/>
        <rFont val="Calibri"/>
        <family val="2"/>
      </rPr>
      <t xml:space="preserve">  expresa la cantidad de trabajadores afiliados al SRL, lesionados por accidentes de trabajo y/o enfermedad profesional en un período (un año), por cada 100,000 trabajadores cubiertos.   Un accidente de trabajo es el que sucede al trabajador durante su jornada laboral o bien en el trayecto al trabajo o desde este a su casa.  Este último caso el accidente recibe el nombre de </t>
    </r>
    <r>
      <rPr>
        <b/>
        <u val="singleAccounting"/>
        <sz val="14"/>
        <rFont val="Calibri"/>
        <family val="2"/>
      </rPr>
      <t xml:space="preserve">in itinere.  </t>
    </r>
    <r>
      <rPr>
        <u val="singleAccounting"/>
        <sz val="14"/>
        <rFont val="Calibri"/>
        <family val="2"/>
      </rPr>
      <t>Es también un accidente de trabajo aquel que se produce durante la ejecución de órdenes del empleador o durante la realización de una labor bajo su autoridad, incluso fuera del lugar y hora de trabajo.  En la serie estadística analizada  (2005 - 2014) de Accidentes Laborales y/o Enfermedad Profesional reportados a la ARL , se observa que que el nivel de accidentabilidad crece anualmente, esto se debe entre otros factores a que  las notificaciones de los accidentes ocurridos se han incrementados a medida que la población ha recibido más orientación y se ha hecho más consciente de sus derechos a accesar a los beneficios que brinda este seguro. disminuyendo así la falta de pago por prestaciones no reclamadas.</t>
    </r>
  </si>
  <si>
    <r>
      <rPr>
        <b/>
        <sz val="22"/>
        <color theme="0"/>
        <rFont val="Calibri"/>
        <family val="2"/>
        <scheme val="minor"/>
      </rPr>
      <t>Seguro de Riesgos Laborales
Accidentabilidad Laboral de los Afiliados al SRL</t>
    </r>
    <r>
      <rPr>
        <b/>
        <sz val="18"/>
        <color theme="0"/>
        <rFont val="Calibri"/>
        <family val="2"/>
        <scheme val="minor"/>
      </rPr>
      <t xml:space="preserve">
</t>
    </r>
    <r>
      <rPr>
        <b/>
        <sz val="14"/>
        <color theme="0"/>
        <rFont val="Calibri"/>
        <family val="2"/>
        <scheme val="minor"/>
      </rPr>
      <t>Período: 2005 -  2014</t>
    </r>
  </si>
  <si>
    <r>
      <rPr>
        <b/>
        <sz val="18"/>
        <rFont val="Calibri"/>
        <family val="2"/>
        <scheme val="minor"/>
      </rPr>
      <t>Seguro de Riesgos Laborales
Reporte de Accidentes Laborales y Enfermedades Profesionales por Región</t>
    </r>
    <r>
      <rPr>
        <b/>
        <sz val="14"/>
        <rFont val="Calibri"/>
        <family val="2"/>
        <scheme val="minor"/>
      </rPr>
      <t xml:space="preserve">
Período: 2005 - 2014</t>
    </r>
  </si>
  <si>
    <t>Seguro de Riesgos Laborales
Reporte de Accidentes Laborales y Enfermedades Profesionales por Provincia
Período: 2005 - 2014</t>
  </si>
  <si>
    <t>Seguro de Riesgos Laborales
Reporte de Accidentes Laborales y Enfermedades Profesionales por Zona de Procedencia
Período:  2005 - 2014</t>
  </si>
  <si>
    <r>
      <t xml:space="preserve">Seguro de Riesgos Laborales
Reporte de Accidentes Laborales y Enfermedades Profesionales por Tipo de Empresa
</t>
    </r>
    <r>
      <rPr>
        <b/>
        <sz val="14"/>
        <color theme="1"/>
        <rFont val="Calibri"/>
        <family val="2"/>
        <scheme val="minor"/>
      </rPr>
      <t>Período: Período: 2005 - 2014</t>
    </r>
  </si>
  <si>
    <t>Seguro de Riesgos Laborales
Reporte de Accidentes Laborales y Enfermedades Profesionales por Género
Período: 2005 - 2014</t>
  </si>
  <si>
    <t>Seguro de Riesgos Laborales
Reporte de Accidentes Laborales y Enfermedades Profesionales por Nivel de Escolaridad
Período: 2005 - 2014</t>
  </si>
  <si>
    <t>Seguro de Riesgos Laborales
Comparación Reporte de Accidentes Laborales y Enfermedades Profesionales y Afilación al SRL  por Sexo
Período: 2009 - 2014</t>
  </si>
  <si>
    <r>
      <t xml:space="preserve">Seguro de Riesgos Laborales
Cantidad de Expedientes Calificados  por la ARL Vs. Casos Reportados
</t>
    </r>
    <r>
      <rPr>
        <b/>
        <sz val="16"/>
        <color theme="0"/>
        <rFont val="Calibri"/>
        <family val="2"/>
        <scheme val="minor"/>
      </rPr>
      <t>Período: 2009 - 2014</t>
    </r>
  </si>
  <si>
    <t>Seguro de Riesgos Laborales
Cantidad de Expedientes de Accidentes Laborales Calificados por la ARL
Período: 2009 - 2014</t>
  </si>
  <si>
    <t>Seguro de Riesgos Laborales
Cantidad de Expedientes Calificados por la ARL por Tipo de Accidente
Período: 2009 - 2014</t>
  </si>
  <si>
    <t>Seguro de Riesgos Laborales
Cantidad de Expedientes Calificados  por la ARL por Grado de Lesión
Período: 2009 - 2014</t>
  </si>
  <si>
    <t>Seguro de Riesgos Laborales
Cantidad de Expedientes Calificados  por la ARL según Circunstancia del Suceso
Período: 2009 - 2014</t>
  </si>
  <si>
    <t>Seguro de Riesgos Laborales
Cantidad de Expedientes Calificados por la ARL Según Mecanismo de Producción del Accidente 
Período: 2009 - 2014</t>
  </si>
  <si>
    <t>Seguro de Riesgos Laborales
Cantidad de Expedientes Calificados  por la ARL Según Agente Dañino
Período: 2009 - 2014</t>
  </si>
  <si>
    <t>Seguro de Riesgos Laborales
Cantidad de Expedientes Calificados  por la ARL Según Lugar del Accidente
Período: 2009 - 2014</t>
  </si>
  <si>
    <t>Seguro de Riesgos Laborales
Accidentes Laborales con Lesiones Discapacitantes                                                                                                                                                                                                                                                         Período: 2009 - 2014</t>
  </si>
  <si>
    <t>Seguro de Riesgos Laborales
Cantidad de Expedientes de Enfermedades Profesionales Calificados en Proceso de Investigación
Período: 2009 - 2014</t>
  </si>
  <si>
    <t>Seguro de Riesgos Laborales
Cantidad de Expedientes de Accidentes Laborales Calificados en  Proceso de Reinvestigación
Período: 2009 - 2014</t>
  </si>
  <si>
    <t>Seguro de Riesgos Laborales
Casos Aprobados en Proceso de Reinvestigación por Tipo de Accidente 
Período: 2009 - 2014</t>
  </si>
  <si>
    <t>Seguro de Riesgos Laborales
Casos Aprobados en Proceso de Reinvestigación por Grado de Lesión
Período: 2009 -  2014</t>
  </si>
  <si>
    <r>
      <t xml:space="preserve">Seguro de Riesgos Laborales
Casos Aprobados en Proceso de Reinvestigación por Circunstancia del Suceso
</t>
    </r>
    <r>
      <rPr>
        <b/>
        <sz val="14"/>
        <color theme="0"/>
        <rFont val="Calibri"/>
        <family val="2"/>
        <scheme val="minor"/>
      </rPr>
      <t>Período: 2009 - 2014</t>
    </r>
  </si>
  <si>
    <t xml:space="preserve">La dispersión efectuada al Seguro de Riesgos Laborales (SRL), durante el período 2005 - diciembre 2014 fue de RD$20,595 millones (RD$20,595,617,879.51).  
Los fondos dispersados en el período enero - diciembre 2014 ascienden a RD$ 3,157 millones  (RD$3,157,624,711.70) distribuidos de la siguiente forma: el 95.17% a ARL Salud Segura, 4.16% Comisión SISALRIL y 0.67% al Fondo de Solidaridad Social del Seguro de Riesgos Laborales (SRL).  </t>
  </si>
  <si>
    <r>
      <t xml:space="preserve">Seguro de Vejez, Discapacidad y Sobrevivencia (SVDS)
Patrimonio de los Fondos de Pensiones por año
</t>
    </r>
    <r>
      <rPr>
        <b/>
        <sz val="14"/>
        <color theme="0"/>
        <rFont val="Calibri"/>
        <family val="2"/>
        <scheme val="minor"/>
      </rPr>
      <t>Período: 2005 - Diciembre 2014</t>
    </r>
  </si>
  <si>
    <r>
      <t>Seguro Familiar de Salud (SFS) del Régimen Contributivo (RC)
Fondos Dispersados del RC a las ARS del SFS</t>
    </r>
    <r>
      <rPr>
        <b/>
        <sz val="18"/>
        <color theme="0"/>
        <rFont val="Calibri"/>
        <family val="2"/>
        <scheme val="minor"/>
      </rPr>
      <t xml:space="preserve"> 
Diciembre 2014</t>
    </r>
  </si>
  <si>
    <t>Total 
Sep.07 - Dic. 2014</t>
  </si>
  <si>
    <t xml:space="preserve">Muestra los fondos desembolsados para cubrir las cápitas de los afiliados al SFS del RC, a las Administradoras de Riesgos de Salud (ARS) pertenecientes al Sistema Dominicano de Seguridad Social (SDSS) en el mes de diciembre 2014.  Los fondos dispersados en noviembre ascienden al monto de RD$2,717,982,294.42 distribuidos de la siguiente manera: el 77.96% del dinero se dispersa a cuatro ARS (Humano 34.91%, Palic Salud 15.61%, SENASA 14.89%, Universal 12.55%) las cuales concentran el mayor número de los afiliados.  El 22%  de los fondos se distribuye entre las 18 ARS  restantes.    </t>
  </si>
  <si>
    <t>La participación del género femenino  en el mes de  diciembre 2014 es de 42.7%.</t>
  </si>
  <si>
    <t xml:space="preserve">Entre el enero 2005  al mes de diciembre 2014, las AFP cedieron 46,327 traspasos de afiliados, observándose que  se distribuyeron en las siguientes entidades de reparto:  Ministerio de Hacienda con un total de 10,360 e INABIMA con 36,637 traspasos.  El Banco de Reservas y el Fondo de Pensiones del Banco Central tuvieron un saldo negativo de traspasos de 670 afiliados.
</t>
  </si>
  <si>
    <t>La dispersión al SFS del RC en el período septiembre - diciembre 2007 fue de RD$2 mil 827 millones (2,827,225,340.38)  de los cuales un 97.48% fue asignado para cuidado de la salud y 2.52% para FONAMAT (Fondo Nacional de Atenciones Médicas por Accidentes de Tránsito).  Los fondos dispersados en el año 2014 fueron superiores a los del 2013 en un 10.81%.  De enero hasta diciembre 2014 se ha dispersado un total de RD$33,462 millones  (RD$33,462,601,727.63),  de los cuales un 93.1%  (RD$31,167,111,771.20) corresponde a la Cuenta Cuidado de la Salud.  La Tesoreria de la Seguridad Social (TSS) dispersa la totalidad de la Cuenta Subsidios a la Superintendencia de Salud y Riesgos Laborales (SISALRIL) y esta a su vez realiza la dispersión a las diferentes subcuentas:  Maternidad, Lactancia y Enfermedad Común.</t>
  </si>
  <si>
    <t>Solicitudes Recibidas en las Comisiones Médicas por Estatus
Período: Octubre 2008 - Diciembre 2014</t>
  </si>
  <si>
    <t>Ene-Dic. 14</t>
  </si>
  <si>
    <r>
      <rPr>
        <b/>
        <sz val="28"/>
        <color theme="0"/>
        <rFont val="Calibri"/>
        <family val="2"/>
        <scheme val="minor"/>
      </rPr>
      <t>Apelaciones de dictámenes de la CMNR</t>
    </r>
    <r>
      <rPr>
        <b/>
        <sz val="24"/>
        <color theme="0"/>
        <rFont val="Calibri"/>
        <family val="2"/>
        <scheme val="minor"/>
      </rPr>
      <t xml:space="preserve">
</t>
    </r>
    <r>
      <rPr>
        <b/>
        <sz val="20"/>
        <color theme="0"/>
        <rFont val="Calibri"/>
        <family val="2"/>
        <scheme val="minor"/>
      </rPr>
      <t>Período: Octubre 2008 - Diciembre 2014</t>
    </r>
  </si>
  <si>
    <r>
      <t xml:space="preserve">Apelaciones por Entidad Receptora y Orígen
</t>
    </r>
    <r>
      <rPr>
        <b/>
        <sz val="14"/>
        <color theme="0"/>
        <rFont val="Calibri"/>
        <family val="2"/>
        <scheme val="minor"/>
      </rPr>
      <t xml:space="preserve"> Período: Octubre 2008 - Diciembre 2014</t>
    </r>
  </si>
  <si>
    <r>
      <rPr>
        <b/>
        <sz val="11"/>
        <color theme="1"/>
        <rFont val="Calibri"/>
        <family val="2"/>
        <scheme val="minor"/>
      </rPr>
      <t>Actividad conexa:</t>
    </r>
    <r>
      <rPr>
        <sz val="11"/>
        <color theme="1"/>
        <rFont val="Calibri"/>
        <family val="2"/>
        <scheme val="minor"/>
      </rPr>
      <t xml:space="preserve">  está relacionada con la activdad productiva pero no representa beneficios directos para la empresa o para la actividad en sí.</t>
    </r>
  </si>
  <si>
    <r>
      <t xml:space="preserve">Seguro Familiar de Salud (SFS) del Régimen Subsidiado (RS)
Afiliación  y Número de Cápitas Pagadas por Afiliados al  SFS del  RS
</t>
    </r>
    <r>
      <rPr>
        <b/>
        <sz val="14"/>
        <color theme="0"/>
        <rFont val="Calibri"/>
        <family val="2"/>
      </rPr>
      <t>Período:  2005 -  2014</t>
    </r>
  </si>
  <si>
    <t>Sep. 2007 - Dic. 2014</t>
  </si>
  <si>
    <r>
      <t xml:space="preserve">Seguro Familiar de Salud (SFS) del Régimen Contributivo (RC)
Comparativo Cápitas Pagadas por Afiliados Titulares con la  Población Ocupada Asalariada 76.3%
</t>
    </r>
    <r>
      <rPr>
        <b/>
        <sz val="12"/>
        <color theme="0"/>
        <rFont val="Calibri"/>
        <family val="2"/>
        <scheme val="minor"/>
      </rPr>
      <t>Período: Diciembre 2007 - Diciembre 2014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</si>
</sst>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quot;RD$&quot;#,##0.00_);[Red]\(&quot;RD$&quot;#,##0.00\)"/>
    <numFmt numFmtId="165" formatCode="_(&quot;RD$&quot;* #,##0.00_);_(&quot;RD$&quot;* \(#,##0.00\);_(&quot;RD$&quot;* &quot;-&quot;??_);_(@_)"/>
    <numFmt numFmtId="166" formatCode="_-* #,##0.00\ &quot;€&quot;_-;\-* #,##0.00\ &quot;€&quot;_-;_-* &quot;-&quot;??\ &quot;€&quot;_-;_-@_-"/>
    <numFmt numFmtId="167" formatCode="_-* #,##0.00\ _€_-;\-* #,##0.00\ _€_-;_-* &quot;-&quot;??\ _€_-;_-@_-"/>
    <numFmt numFmtId="168" formatCode="_(* #,##0_);_(* \(#,##0\);_(* &quot;-&quot;??_);_(@_)"/>
    <numFmt numFmtId="169" formatCode="&quot;RD$&quot;#,##0"/>
    <numFmt numFmtId="170" formatCode="&quot;RD$&quot;#,##0.00"/>
    <numFmt numFmtId="171" formatCode="#,##0.0_);[Red]\(#,##0.0\)"/>
    <numFmt numFmtId="172" formatCode="[&lt;=9999999]###\-####;\(###\)\ ###\-####"/>
    <numFmt numFmtId="173" formatCode="0.0%"/>
    <numFmt numFmtId="174" formatCode="_(* #,##0_);_(* \(#,##0\);_(* &quot;-&quot;????_);_(@_)"/>
    <numFmt numFmtId="175" formatCode="_(* #,##0.00_);_(* \(#,##0.00\);_(* &quot;-&quot;????_);_(@_)"/>
    <numFmt numFmtId="176" formatCode="_(* #,##0.0_);_(* \(#,##0.0\);_(* &quot;-&quot;??_);_(@_)"/>
    <numFmt numFmtId="177" formatCode="#,##0.00000_);[Red]\(#,##0.00000\)"/>
    <numFmt numFmtId="178" formatCode="_([$€-2]* #,##0_);_([$€-2]* \(#,##0\);_([$€-2]* &quot;-&quot;??_)"/>
    <numFmt numFmtId="179" formatCode="#,##0.0"/>
    <numFmt numFmtId="180" formatCode="0.000%"/>
    <numFmt numFmtId="181" formatCode="0.000"/>
    <numFmt numFmtId="182" formatCode="_-* #,##0.00\ _P_t_s_-;\-* #,##0.00\ _P_t_s_-;_-* &quot;-&quot;??\ _P_t_s_-;_-@_-"/>
    <numFmt numFmtId="183" formatCode="#,##0;[Red]#,##0"/>
    <numFmt numFmtId="184" formatCode="_([$€-2]* #,##0.00_);_([$€-2]* \(#,##0.00\);_([$€-2]* &quot;-&quot;??_)"/>
    <numFmt numFmtId="185" formatCode="_(* #,##0.00_);_(* \(#,##0.00\);_(* &quot;-&quot;_);_(@_)"/>
    <numFmt numFmtId="186" formatCode="_([$€-2]* #,##0.0000_);_([$€-2]* \(#,##0.0000\);_([$€-2]* &quot;-&quot;??_)"/>
    <numFmt numFmtId="187" formatCode="_([$€-2]* #,##0.0_);_([$€-2]* \(#,##0.0\);_([$€-2]* &quot;-&quot;??_)"/>
    <numFmt numFmtId="188" formatCode="0_);[Red]\(0\)"/>
    <numFmt numFmtId="189" formatCode="[$-1010409]#,##0.00;\-#,##0.00"/>
    <numFmt numFmtId="190" formatCode="[$-1010409]#,##0.000;\-#,##0.000"/>
    <numFmt numFmtId="191" formatCode="_([$€-2]\ * #,##0.00_);_([$€-2]\ * \(#,##0.00\);_([$€-2]\ * &quot;-&quot;??_);_(@_)"/>
    <numFmt numFmtId="192" formatCode="_-* #,##0.00\ [$€]_-;\-* #,##0.00\ [$€]_-;_-* &quot;-&quot;??\ [$€]_-;_-@_-"/>
    <numFmt numFmtId="193" formatCode="_([$€-2]* #,##0.000_);_([$€-2]* \(#,##0.000\);_([$€-2]* &quot;-&quot;??_)"/>
    <numFmt numFmtId="194" formatCode="[$-1010409]###,###,###"/>
    <numFmt numFmtId="195" formatCode="_-* #,##0.00\ &quot;Pts&quot;_-;\-* #,##0.00\ &quot;Pts&quot;_-;_-* &quot;-&quot;??\ &quot;Pts&quot;_-;_-@_-"/>
    <numFmt numFmtId="196" formatCode="0.00000"/>
    <numFmt numFmtId="197" formatCode="0.0"/>
    <numFmt numFmtId="198" formatCode="_(* #,##0.000_);_(* \(#,##0.000\);_(* &quot;-&quot;???_);_(@_)"/>
    <numFmt numFmtId="199" formatCode="0.00000%"/>
    <numFmt numFmtId="200" formatCode="General_)"/>
  </numFmts>
  <fonts count="23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b/>
      <sz val="18"/>
      <color indexed="9"/>
      <name val="Calibri"/>
      <family val="2"/>
    </font>
    <font>
      <sz val="10"/>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b/>
      <sz val="20"/>
      <color indexed="9"/>
      <name val="Calibri"/>
      <family val="2"/>
    </font>
    <font>
      <u/>
      <sz val="10"/>
      <color indexed="12"/>
      <name val="Arial"/>
      <family val="2"/>
    </font>
    <font>
      <sz val="14"/>
      <name val="Arial"/>
      <family val="2"/>
    </font>
    <font>
      <sz val="10"/>
      <name val="Arial"/>
      <family val="2"/>
    </font>
    <font>
      <b/>
      <sz val="12"/>
      <color indexed="9"/>
      <name val="Calibri"/>
      <family val="2"/>
    </font>
    <font>
      <sz val="16"/>
      <color indexed="8"/>
      <name val="Calibri"/>
      <family val="2"/>
    </font>
    <font>
      <sz val="10"/>
      <color indexed="56"/>
      <name val="Arial"/>
      <family val="2"/>
    </font>
    <font>
      <sz val="18"/>
      <color indexed="8"/>
      <name val="Calibri"/>
      <family val="2"/>
    </font>
    <font>
      <b/>
      <sz val="16"/>
      <color indexed="8"/>
      <name val="Calibri"/>
      <family val="2"/>
    </font>
    <font>
      <sz val="11"/>
      <color indexed="18"/>
      <name val="Arial"/>
      <family val="2"/>
    </font>
    <font>
      <b/>
      <sz val="10"/>
      <color indexed="18"/>
      <name val="Arial"/>
      <family val="2"/>
    </font>
    <font>
      <b/>
      <sz val="22"/>
      <color indexed="8"/>
      <name val="Calibri"/>
      <family val="2"/>
    </font>
    <font>
      <b/>
      <sz val="14"/>
      <color indexed="9"/>
      <name val="Calibri"/>
      <family val="2"/>
    </font>
    <font>
      <sz val="9"/>
      <name val="Arial"/>
      <family val="2"/>
    </font>
    <font>
      <sz val="8"/>
      <name val="Arial"/>
      <family val="2"/>
    </font>
    <font>
      <sz val="14"/>
      <name val="Calibri"/>
      <family val="2"/>
    </font>
    <font>
      <b/>
      <sz val="10"/>
      <color indexed="56"/>
      <name val="Arial"/>
      <family val="2"/>
    </font>
    <font>
      <sz val="9"/>
      <name val="Century Gothic"/>
      <family val="2"/>
    </font>
    <font>
      <b/>
      <sz val="10"/>
      <color indexed="56"/>
      <name val="Century Gothic"/>
      <family val="2"/>
    </font>
    <font>
      <b/>
      <sz val="11"/>
      <color indexed="18"/>
      <name val="Century Gothic"/>
      <family val="2"/>
    </font>
    <font>
      <sz val="10"/>
      <name val="Arial"/>
      <family val="2"/>
    </font>
    <font>
      <b/>
      <sz val="20"/>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b/>
      <sz val="12"/>
      <color theme="6" tint="-0.249977111117893"/>
      <name val="Calibri"/>
      <family val="2"/>
      <scheme val="minor"/>
    </font>
    <font>
      <b/>
      <sz val="11"/>
      <color rgb="FF365F91"/>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sz val="11"/>
      <color theme="10"/>
      <name val="Calibri"/>
      <family val="2"/>
    </font>
    <font>
      <b/>
      <sz val="11"/>
      <color theme="6" tint="-0.249977111117893"/>
      <name val="Calibri"/>
      <family val="2"/>
    </font>
    <font>
      <b/>
      <sz val="11"/>
      <color theme="10"/>
      <name val="Calibri"/>
      <family val="2"/>
    </font>
    <font>
      <sz val="9"/>
      <color theme="10"/>
      <name val="Calibri"/>
      <family val="2"/>
    </font>
    <font>
      <b/>
      <sz val="12"/>
      <color theme="1"/>
      <name val="Calibri"/>
      <family val="2"/>
      <scheme val="minor"/>
    </font>
    <font>
      <b/>
      <sz val="12"/>
      <name val="Calibri"/>
      <family val="2"/>
      <scheme val="minor"/>
    </font>
    <font>
      <b/>
      <sz val="12"/>
      <color rgb="FF000000"/>
      <name val="Calibri"/>
      <family val="2"/>
      <scheme val="minor"/>
    </font>
    <font>
      <b/>
      <sz val="14"/>
      <color theme="6" tint="-0.249977111117893"/>
      <name val="Calibri"/>
      <family val="2"/>
    </font>
    <font>
      <b/>
      <sz val="12"/>
      <color theme="10"/>
      <name val="Calibri"/>
      <family val="2"/>
    </font>
    <font>
      <b/>
      <sz val="11"/>
      <color theme="3" tint="-0.249977111117893"/>
      <name val="Calibri"/>
      <family val="2"/>
    </font>
    <font>
      <sz val="12"/>
      <color theme="0"/>
      <name val="Calibri"/>
      <family val="2"/>
      <scheme val="minor"/>
    </font>
    <font>
      <b/>
      <sz val="22"/>
      <color theme="0"/>
      <name val="Calibri"/>
      <family val="2"/>
      <scheme val="minor"/>
    </font>
    <font>
      <b/>
      <sz val="20"/>
      <name val="Calibri"/>
      <family val="2"/>
      <scheme val="minor"/>
    </font>
    <font>
      <b/>
      <sz val="11"/>
      <color rgb="FFFF000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8"/>
      <color theme="6" tint="-0.249977111117893"/>
      <name val="Calibri"/>
      <family val="2"/>
      <scheme val="minor"/>
    </font>
    <font>
      <b/>
      <sz val="11"/>
      <color theme="0"/>
      <name val="Arial"/>
      <family val="2"/>
    </font>
    <font>
      <b/>
      <sz val="16"/>
      <name val="Calibri"/>
      <family val="2"/>
      <scheme val="minor"/>
    </font>
    <font>
      <b/>
      <sz val="16"/>
      <color rgb="FFFF0000"/>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0.5"/>
      <color theme="1"/>
      <name val="Calibri"/>
      <family val="2"/>
      <scheme val="minor"/>
    </font>
    <font>
      <sz val="10.5"/>
      <color theme="1"/>
      <name val="Calibri"/>
      <family val="2"/>
      <scheme val="minor"/>
    </font>
    <font>
      <b/>
      <sz val="16"/>
      <color indexed="9"/>
      <name val="Calibri"/>
      <family val="2"/>
    </font>
    <font>
      <b/>
      <sz val="13"/>
      <color theme="1"/>
      <name val="Calibri"/>
      <family val="2"/>
      <scheme val="minor"/>
    </font>
    <font>
      <sz val="10.5"/>
      <name val="Calibri"/>
      <family val="2"/>
      <scheme val="minor"/>
    </font>
    <font>
      <b/>
      <sz val="10.5"/>
      <name val="Calibri"/>
      <family val="2"/>
      <scheme val="minor"/>
    </font>
    <font>
      <b/>
      <u val="singleAccounting"/>
      <sz val="14"/>
      <name val="Calibri"/>
      <family val="2"/>
    </font>
    <font>
      <u val="singleAccounting"/>
      <sz val="14"/>
      <name val="Calibri"/>
      <family val="2"/>
    </font>
    <font>
      <sz val="11"/>
      <color rgb="FFFFFFFF"/>
      <name val="Calibri"/>
      <family val="2"/>
      <scheme val="minor"/>
    </font>
    <font>
      <b/>
      <sz val="11"/>
      <name val="Century Gothic"/>
      <family val="2"/>
    </font>
    <font>
      <sz val="10"/>
      <name val="Arial"/>
      <family val="2"/>
    </font>
    <font>
      <sz val="13.2"/>
      <color theme="1"/>
      <name val="Arial"/>
      <family val="2"/>
    </font>
    <font>
      <b/>
      <sz val="10"/>
      <color theme="0"/>
      <name val="Calibri"/>
      <family val="2"/>
      <scheme val="minor"/>
    </font>
    <font>
      <b/>
      <sz val="12"/>
      <color theme="0"/>
      <name val="Calibri"/>
      <family val="2"/>
    </font>
    <font>
      <b/>
      <sz val="11"/>
      <color theme="0"/>
      <name val="Calibri"/>
      <family val="2"/>
    </font>
    <font>
      <b/>
      <sz val="14"/>
      <color theme="0"/>
      <name val="Calibri"/>
      <family val="2"/>
    </font>
    <font>
      <b/>
      <sz val="16"/>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b/>
      <sz val="24"/>
      <color indexed="9"/>
      <name val="Calibri"/>
      <family val="2"/>
    </font>
    <font>
      <b/>
      <sz val="11"/>
      <color indexed="18"/>
      <name val="Arial"/>
      <family val="2"/>
    </font>
    <font>
      <sz val="9"/>
      <color indexed="81"/>
      <name val="Tahoma"/>
      <family val="2"/>
    </font>
    <font>
      <b/>
      <sz val="9"/>
      <color indexed="81"/>
      <name val="Tahoma"/>
      <family val="2"/>
    </font>
    <font>
      <b/>
      <sz val="8"/>
      <color rgb="FFFFFFFF"/>
      <name val="Calibri"/>
      <family val="2"/>
      <scheme val="minor"/>
    </font>
    <font>
      <b/>
      <sz val="13"/>
      <color theme="0"/>
      <name val="Calibri"/>
      <family val="2"/>
      <scheme val="minor"/>
    </font>
    <font>
      <sz val="13"/>
      <color theme="1"/>
      <name val="Calibri"/>
      <family val="2"/>
      <scheme val="minor"/>
    </font>
    <font>
      <b/>
      <sz val="12"/>
      <color rgb="FFFF0000"/>
      <name val="Calibri"/>
      <family val="2"/>
      <scheme val="minor"/>
    </font>
    <font>
      <sz val="10"/>
      <name val="Arial"/>
      <family val="2"/>
    </font>
    <font>
      <sz val="8"/>
      <color theme="0"/>
      <name val="Calibri"/>
      <family val="2"/>
      <scheme val="minor"/>
    </font>
    <font>
      <sz val="8"/>
      <color theme="1"/>
      <name val="Calibri"/>
      <family val="2"/>
      <scheme val="minor"/>
    </font>
    <font>
      <sz val="8"/>
      <name val="Calibri"/>
      <family val="2"/>
      <scheme val="minor"/>
    </font>
    <font>
      <b/>
      <sz val="13"/>
      <color indexed="8"/>
      <name val="Calibri"/>
      <family val="2"/>
    </font>
    <font>
      <sz val="10"/>
      <color indexed="18"/>
      <name val="Century Gothic"/>
      <family val="2"/>
    </font>
    <font>
      <sz val="10"/>
      <color indexed="8"/>
      <name val="Arial"/>
      <family val="2"/>
    </font>
    <font>
      <b/>
      <sz val="28"/>
      <color theme="0"/>
      <name val="Calibri"/>
      <family val="2"/>
      <scheme val="minor"/>
    </font>
    <font>
      <b/>
      <sz val="13"/>
      <name val="Calibri"/>
      <family val="2"/>
      <scheme val="minor"/>
    </font>
    <font>
      <b/>
      <sz val="8"/>
      <name val="Calibri"/>
      <family val="2"/>
      <scheme val="minor"/>
    </font>
    <font>
      <b/>
      <sz val="9"/>
      <color theme="0"/>
      <name val="Calibri"/>
      <family val="2"/>
      <scheme val="minor"/>
    </font>
    <font>
      <sz val="9"/>
      <name val="Calibri"/>
      <family val="2"/>
      <scheme val="minor"/>
    </font>
    <font>
      <b/>
      <sz val="8"/>
      <color theme="0"/>
      <name val="Calibri"/>
      <family val="2"/>
      <scheme val="minor"/>
    </font>
    <font>
      <sz val="12"/>
      <color rgb="FFFF0000"/>
      <name val="Calibri"/>
      <family val="2"/>
      <scheme val="minor"/>
    </font>
    <font>
      <b/>
      <sz val="12"/>
      <color indexed="18"/>
      <name val="Century Gothic"/>
      <family val="2"/>
    </font>
    <font>
      <b/>
      <sz val="10"/>
      <color indexed="10"/>
      <name val="Century Gothic"/>
      <family val="2"/>
    </font>
    <font>
      <b/>
      <sz val="10"/>
      <color indexed="9"/>
      <name val="Century Gothic"/>
      <family val="2"/>
    </font>
    <font>
      <b/>
      <sz val="12"/>
      <name val="Century Gothic"/>
      <family val="2"/>
    </font>
    <font>
      <b/>
      <sz val="10"/>
      <color theme="0"/>
      <name val="Century Gothic"/>
      <family val="2"/>
    </font>
    <font>
      <b/>
      <sz val="10"/>
      <name val="Century Gothic"/>
      <family val="2"/>
    </font>
    <font>
      <b/>
      <sz val="28"/>
      <color indexed="9"/>
      <name val="Calibri"/>
      <family val="2"/>
    </font>
    <font>
      <b/>
      <sz val="16"/>
      <color theme="10"/>
      <name val="Calibri"/>
      <family val="2"/>
    </font>
    <font>
      <b/>
      <sz val="16"/>
      <color theme="3" tint="-0.249977111117893"/>
      <name val="Calibri"/>
      <family val="2"/>
    </font>
    <font>
      <sz val="16"/>
      <color theme="10"/>
      <name val="Calibri"/>
      <family val="2"/>
    </font>
    <font>
      <b/>
      <sz val="36"/>
      <color theme="0"/>
      <name val="Calibri"/>
      <family val="2"/>
      <scheme val="minor"/>
    </font>
    <font>
      <sz val="14"/>
      <color theme="9" tint="-0.499984740745262"/>
      <name val="Calibri"/>
      <family val="2"/>
      <scheme val="minor"/>
    </font>
    <font>
      <sz val="20"/>
      <color theme="1"/>
      <name val="Calibri"/>
      <family val="2"/>
      <scheme val="minor"/>
    </font>
    <font>
      <b/>
      <sz val="18"/>
      <color theme="0"/>
      <name val="Calibri"/>
      <family val="2"/>
    </font>
    <font>
      <b/>
      <sz val="20"/>
      <color theme="0"/>
      <name val="Calibri"/>
      <family val="2"/>
    </font>
    <font>
      <b/>
      <sz val="12"/>
      <color theme="0"/>
      <name val="Arial"/>
      <family val="2"/>
    </font>
    <font>
      <b/>
      <sz val="22"/>
      <color theme="0"/>
      <name val="Calibri"/>
      <family val="2"/>
    </font>
    <font>
      <b/>
      <sz val="14"/>
      <color indexed="10"/>
      <name val="Calibri"/>
      <family val="2"/>
    </font>
    <font>
      <b/>
      <sz val="14"/>
      <color indexed="81"/>
      <name val="Tahoma"/>
      <family val="2"/>
    </font>
    <font>
      <sz val="14"/>
      <color indexed="81"/>
      <name val="Tahoma"/>
      <family val="2"/>
    </font>
    <font>
      <b/>
      <sz val="48"/>
      <color theme="0"/>
      <name val="Calibri"/>
      <family val="2"/>
      <scheme val="minor"/>
    </font>
    <font>
      <b/>
      <sz val="28"/>
      <color rgb="FF002060"/>
      <name val="Baskerville Old Face"/>
      <family val="1"/>
    </font>
    <font>
      <sz val="10"/>
      <name val="Arial"/>
      <family val="2"/>
    </font>
    <font>
      <b/>
      <sz val="11"/>
      <color indexed="9"/>
      <name val="Calibri"/>
      <family val="2"/>
      <scheme val="minor"/>
    </font>
    <font>
      <sz val="14"/>
      <color theme="0"/>
      <name val="Calibri"/>
      <family val="2"/>
      <scheme val="minor"/>
    </font>
    <font>
      <b/>
      <sz val="16"/>
      <name val="Calibri"/>
      <family val="2"/>
    </font>
    <font>
      <sz val="16"/>
      <name val="Calibri"/>
      <family val="2"/>
    </font>
    <font>
      <sz val="14"/>
      <color theme="1"/>
      <name val="Times New Roman"/>
      <family val="1"/>
    </font>
    <font>
      <b/>
      <sz val="10"/>
      <color indexed="64"/>
      <name val="Arial"/>
      <family val="2"/>
    </font>
    <font>
      <b/>
      <sz val="12"/>
      <color indexed="9"/>
      <name val="Arial"/>
      <family val="2"/>
    </font>
    <font>
      <b/>
      <sz val="12"/>
      <name val="Book Antiqua"/>
      <family val="1"/>
    </font>
    <font>
      <sz val="10"/>
      <name val="Book Antiqua"/>
      <family val="1"/>
    </font>
    <font>
      <b/>
      <sz val="8"/>
      <color theme="0"/>
      <name val="Arial"/>
      <family val="2"/>
    </font>
    <font>
      <b/>
      <sz val="7"/>
      <color theme="0"/>
      <name val="Arial"/>
      <family val="2"/>
    </font>
    <font>
      <sz val="8"/>
      <color indexed="64"/>
      <name val="Arial"/>
      <family val="2"/>
    </font>
    <font>
      <b/>
      <sz val="8"/>
      <name val="Arial"/>
      <family val="2"/>
    </font>
    <font>
      <b/>
      <sz val="10"/>
      <name val="Book Antiqua"/>
      <family val="1"/>
    </font>
    <font>
      <b/>
      <sz val="35"/>
      <color theme="0"/>
      <name val="Calibri"/>
      <family val="2"/>
      <scheme val="minor"/>
    </font>
    <font>
      <sz val="18"/>
      <name val="Calibri"/>
      <family val="2"/>
      <scheme val="minor"/>
    </font>
    <font>
      <sz val="22"/>
      <name val="Calibri"/>
      <family val="2"/>
      <scheme val="minor"/>
    </font>
    <font>
      <b/>
      <sz val="22"/>
      <name val="Calibri"/>
      <family val="2"/>
      <scheme val="minor"/>
    </font>
    <font>
      <sz val="16"/>
      <color rgb="FFFF0000"/>
      <name val="Calibri"/>
      <family val="2"/>
      <scheme val="minor"/>
    </font>
    <font>
      <sz val="12"/>
      <color theme="8" tint="-0.499984740745262"/>
      <name val="Calibri"/>
      <family val="2"/>
      <scheme val="minor"/>
    </font>
    <font>
      <b/>
      <sz val="10"/>
      <color indexed="62"/>
      <name val="Century Gothic"/>
      <family val="2"/>
    </font>
    <font>
      <b/>
      <sz val="12"/>
      <color indexed="62"/>
      <name val="Century Gothic"/>
      <family val="2"/>
    </font>
    <font>
      <b/>
      <sz val="10"/>
      <color indexed="10"/>
      <name val="Tahoma"/>
      <family val="2"/>
    </font>
    <font>
      <b/>
      <vertAlign val="superscript"/>
      <sz val="10"/>
      <color indexed="9"/>
      <name val="Calibri"/>
      <family val="2"/>
    </font>
    <font>
      <sz val="10"/>
      <color indexed="62"/>
      <name val="Century Gothic"/>
      <family val="2"/>
    </font>
    <font>
      <vertAlign val="superscript"/>
      <sz val="10"/>
      <color indexed="62"/>
      <name val="Century Gothic"/>
      <family val="2"/>
    </font>
    <font>
      <i/>
      <sz val="10"/>
      <name val="Century Gothic"/>
      <family val="2"/>
    </font>
    <font>
      <i/>
      <sz val="10"/>
      <color indexed="62"/>
      <name val="Century Gothic"/>
      <family val="2"/>
    </font>
    <font>
      <b/>
      <vertAlign val="superscript"/>
      <sz val="9"/>
      <color indexed="8"/>
      <name val="Calibri"/>
      <family val="2"/>
    </font>
    <font>
      <sz val="10"/>
      <name val="Calibri"/>
      <family val="2"/>
    </font>
    <font>
      <vertAlign val="superscript"/>
      <sz val="10"/>
      <name val="Calibri"/>
      <family val="2"/>
    </font>
    <font>
      <sz val="30"/>
      <color theme="1"/>
      <name val="Calibri"/>
      <family val="2"/>
      <scheme val="minor"/>
    </font>
    <font>
      <b/>
      <sz val="9"/>
      <color rgb="FFFF0000"/>
      <name val="Calibri"/>
      <family val="2"/>
      <scheme val="minor"/>
    </font>
    <font>
      <sz val="10"/>
      <color theme="0"/>
      <name val="Calibri"/>
      <family val="2"/>
      <scheme val="minor"/>
    </font>
    <font>
      <sz val="12"/>
      <color theme="10"/>
      <name val="Calibri"/>
      <family val="2"/>
    </font>
    <font>
      <b/>
      <sz val="12"/>
      <color theme="3" tint="-0.249977111117893"/>
      <name val="Calibri"/>
      <family val="2"/>
    </font>
    <font>
      <b/>
      <sz val="7"/>
      <name val="Arial"/>
      <family val="2"/>
    </font>
    <font>
      <b/>
      <sz val="10"/>
      <color theme="0"/>
      <name val="Arial"/>
      <family val="2"/>
    </font>
    <font>
      <u/>
      <sz val="12"/>
      <color indexed="36"/>
      <name val="Times New Roman"/>
      <family val="1"/>
    </font>
    <font>
      <u/>
      <sz val="12"/>
      <color indexed="12"/>
      <name val="Times New Roman"/>
      <family val="1"/>
    </font>
    <font>
      <b/>
      <sz val="9"/>
      <color theme="0"/>
      <name val="Arial"/>
      <family val="2"/>
    </font>
    <font>
      <sz val="9"/>
      <color indexed="64"/>
      <name val="Arial"/>
      <family val="2"/>
    </font>
    <font>
      <sz val="9"/>
      <color theme="0"/>
      <name val="Arial"/>
      <family val="2"/>
    </font>
    <font>
      <b/>
      <sz val="12"/>
      <color theme="0"/>
      <name val="Book Antiqua"/>
      <family val="1"/>
    </font>
    <font>
      <sz val="10"/>
      <color theme="0"/>
      <name val="Book Antiqua"/>
      <family val="1"/>
    </font>
    <font>
      <sz val="8"/>
      <color theme="0"/>
      <name val="Arial"/>
      <family val="2"/>
    </font>
    <font>
      <sz val="10"/>
      <color theme="0"/>
      <name val="Arial"/>
      <family val="2"/>
    </font>
    <font>
      <sz val="10"/>
      <name val="Arial"/>
      <family val="2"/>
    </font>
    <font>
      <sz val="11"/>
      <color rgb="FF34495E"/>
      <name val="Arial"/>
      <family val="2"/>
    </font>
    <font>
      <sz val="14"/>
      <name val="Times New Roman"/>
      <family val="1"/>
    </font>
    <font>
      <b/>
      <sz val="20"/>
      <color theme="1"/>
      <name val="Calibri"/>
      <family val="2"/>
      <scheme val="minor"/>
    </font>
    <font>
      <sz val="10"/>
      <name val="Arial"/>
      <family val="2"/>
    </font>
    <font>
      <b/>
      <sz val="28"/>
      <color theme="0"/>
      <name val="Baskerville Old Face"/>
      <family val="1"/>
    </font>
    <font>
      <sz val="12"/>
      <name val="Arial"/>
      <family val="2"/>
    </font>
    <font>
      <b/>
      <u val="singleAccounting"/>
      <sz val="24"/>
      <color theme="0"/>
      <name val="Calibri"/>
      <family val="2"/>
      <scheme val="minor"/>
    </font>
    <font>
      <sz val="24"/>
      <color theme="1"/>
      <name val="Calibri"/>
      <family val="2"/>
      <scheme val="minor"/>
    </font>
    <font>
      <sz val="10"/>
      <name val="Arial"/>
      <family val="2"/>
    </font>
    <font>
      <b/>
      <sz val="14"/>
      <color theme="0"/>
      <name val="Arial"/>
      <family val="2"/>
    </font>
    <font>
      <sz val="10"/>
      <name val="Tahoma"/>
      <family val="2"/>
    </font>
    <font>
      <sz val="12"/>
      <name val="Arial MT"/>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rgb="FFFFFFFF"/>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rgb="FF424242"/>
        <bgColor indexed="64"/>
      </patternFill>
    </fill>
    <fill>
      <patternFill patternType="solid">
        <fgColor theme="8" tint="0.59999389629810485"/>
        <bgColor indexed="64"/>
      </patternFill>
    </fill>
    <fill>
      <patternFill patternType="solid">
        <fgColor theme="3" tint="-0.249977111117893"/>
        <bgColor indexed="64"/>
      </patternFill>
    </fill>
    <fill>
      <patternFill patternType="solid">
        <fgColor indexed="18"/>
        <bgColor indexed="64"/>
      </patternFill>
    </fill>
    <fill>
      <patternFill patternType="solid">
        <fgColor rgb="FF249AA6"/>
        <bgColor indexed="64"/>
      </patternFill>
    </fill>
    <fill>
      <patternFill patternType="solid">
        <fgColor theme="5" tint="-0.249977111117893"/>
        <bgColor indexed="64"/>
      </patternFill>
    </fill>
    <fill>
      <patternFill patternType="solid">
        <fgColor indexed="44"/>
        <bgColor indexed="64"/>
      </patternFill>
    </fill>
    <fill>
      <patternFill patternType="solid">
        <fgColor theme="8" tint="-0.499984740745262"/>
        <bgColor theme="4" tint="0.79998168889431442"/>
      </patternFill>
    </fill>
    <fill>
      <patternFill patternType="solid">
        <fgColor theme="8" tint="-0.249977111117893"/>
        <bgColor theme="4" tint="0.79998168889431442"/>
      </patternFill>
    </fill>
    <fill>
      <patternFill patternType="solid">
        <fgColor theme="6" tint="-0.499984740745262"/>
        <bgColor theme="4" tint="0.79998168889431442"/>
      </patternFill>
    </fill>
    <fill>
      <patternFill patternType="solid">
        <fgColor theme="6" tint="-0.249977111117893"/>
        <bgColor theme="4" tint="0.79998168889431442"/>
      </patternFill>
    </fill>
    <fill>
      <patternFill patternType="solid">
        <fgColor theme="0" tint="-0.34998626667073579"/>
        <bgColor indexed="64"/>
      </patternFill>
    </fill>
    <fill>
      <patternFill patternType="solid">
        <fgColor theme="0"/>
        <bgColor theme="6" tint="0.79998168889431442"/>
      </patternFill>
    </fill>
    <fill>
      <patternFill patternType="solid">
        <fgColor theme="0" tint="-0.249977111117893"/>
        <bgColor theme="6" tint="0.79998168889431442"/>
      </patternFill>
    </fill>
    <fill>
      <patternFill patternType="solid">
        <fgColor theme="0" tint="-0.249977111117893"/>
        <bgColor theme="4" tint="0.79998168889431442"/>
      </patternFill>
    </fill>
    <fill>
      <patternFill patternType="solid">
        <fgColor theme="0"/>
        <bgColor theme="4" tint="0.79998168889431442"/>
      </patternFill>
    </fill>
    <fill>
      <patternFill patternType="solid">
        <fgColor theme="2" tint="-0.749992370372631"/>
        <bgColor indexed="64"/>
      </patternFill>
    </fill>
    <fill>
      <patternFill patternType="solid">
        <fgColor theme="2" tint="-0.89999084444715716"/>
        <bgColor indexed="64"/>
      </patternFill>
    </fill>
    <fill>
      <patternFill patternType="solid">
        <fgColor theme="3" tint="-0.499984740745262"/>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9"/>
      </left>
      <right style="thick">
        <color indexed="9"/>
      </right>
      <top style="thick">
        <color indexed="9"/>
      </top>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rgb="FF525252"/>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ck">
        <color indexed="9"/>
      </left>
      <right/>
      <top/>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style="thin">
        <color indexed="8"/>
      </right>
      <top style="thin">
        <color indexed="8"/>
      </top>
      <bottom style="thin">
        <color indexed="22"/>
      </bottom>
      <diagonal/>
    </border>
    <border>
      <left/>
      <right style="thin">
        <color indexed="8"/>
      </right>
      <top style="thin">
        <color indexed="8"/>
      </top>
      <bottom style="thin">
        <color indexed="22"/>
      </bottom>
      <diagonal/>
    </border>
    <border>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right style="thin">
        <color indexed="8"/>
      </right>
      <top style="thin">
        <color indexed="22"/>
      </top>
      <bottom style="thin">
        <color indexed="8"/>
      </bottom>
      <diagonal/>
    </border>
    <border>
      <left/>
      <right style="thick">
        <color indexed="9"/>
      </right>
      <top style="thick">
        <color indexed="9"/>
      </top>
      <bottom/>
      <diagonal/>
    </border>
    <border>
      <left/>
      <right style="thick">
        <color indexed="9"/>
      </right>
      <top/>
      <bottom/>
      <diagonal/>
    </border>
    <border>
      <left style="thick">
        <color indexed="9"/>
      </left>
      <right style="thin">
        <color theme="0"/>
      </right>
      <top style="thick">
        <color indexed="9"/>
      </top>
      <bottom/>
      <diagonal/>
    </border>
    <border>
      <left/>
      <right/>
      <top style="thin">
        <color theme="0"/>
      </top>
      <bottom style="thin">
        <color indexed="64"/>
      </bottom>
      <diagonal/>
    </border>
    <border>
      <left/>
      <right/>
      <top style="thin">
        <color theme="0"/>
      </top>
      <bottom style="thin">
        <color theme="3" tint="-0.249977111117893"/>
      </bottom>
      <diagonal/>
    </border>
    <border>
      <left/>
      <right/>
      <top style="thin">
        <color theme="3" tint="-0.249977111117893"/>
      </top>
      <bottom/>
      <diagonal/>
    </border>
    <border>
      <left/>
      <right/>
      <top style="thin">
        <color indexed="64"/>
      </top>
      <bottom style="thin">
        <color theme="3" tint="-0.249977111117893"/>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ck">
        <color indexed="9"/>
      </top>
      <bottom style="thin">
        <color theme="3" tint="-0.249977111117893"/>
      </bottom>
      <diagonal/>
    </border>
    <border>
      <left/>
      <right/>
      <top style="thick">
        <color theme="0"/>
      </top>
      <bottom/>
      <diagonal/>
    </border>
    <border>
      <left/>
      <right/>
      <top style="thin">
        <color theme="3" tint="-0.249977111117893"/>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1090">
    <xf numFmtId="178" fontId="0" fillId="0" borderId="0"/>
    <xf numFmtId="178" fontId="12" fillId="2" borderId="0" applyNumberFormat="0" applyBorder="0" applyAlignment="0" applyProtection="0"/>
    <xf numFmtId="0" fontId="12" fillId="2" borderId="0" applyNumberFormat="0" applyBorder="0" applyAlignment="0" applyProtection="0"/>
    <xf numFmtId="178" fontId="12" fillId="3" borderId="0" applyNumberFormat="0" applyBorder="0" applyAlignment="0" applyProtection="0"/>
    <xf numFmtId="0" fontId="12" fillId="3" borderId="0" applyNumberFormat="0" applyBorder="0" applyAlignment="0" applyProtection="0"/>
    <xf numFmtId="178" fontId="12" fillId="4" borderId="0" applyNumberFormat="0" applyBorder="0" applyAlignment="0" applyProtection="0"/>
    <xf numFmtId="0" fontId="12" fillId="4" borderId="0" applyNumberFormat="0" applyBorder="0" applyAlignment="0" applyProtection="0"/>
    <xf numFmtId="178" fontId="12" fillId="5" borderId="0" applyNumberFormat="0" applyBorder="0" applyAlignment="0" applyProtection="0"/>
    <xf numFmtId="0" fontId="12" fillId="5" borderId="0" applyNumberFormat="0" applyBorder="0" applyAlignment="0" applyProtection="0"/>
    <xf numFmtId="178" fontId="12" fillId="6" borderId="0" applyNumberFormat="0" applyBorder="0" applyAlignment="0" applyProtection="0"/>
    <xf numFmtId="0" fontId="12" fillId="6" borderId="0" applyNumberFormat="0" applyBorder="0" applyAlignment="0" applyProtection="0"/>
    <xf numFmtId="178" fontId="12" fillId="7" borderId="0" applyNumberFormat="0" applyBorder="0" applyAlignment="0" applyProtection="0"/>
    <xf numFmtId="0" fontId="12" fillId="7" borderId="0" applyNumberFormat="0" applyBorder="0" applyAlignment="0" applyProtection="0"/>
    <xf numFmtId="178" fontId="12" fillId="2" borderId="0" applyNumberFormat="0" applyBorder="0" applyAlignment="0" applyProtection="0"/>
    <xf numFmtId="0" fontId="12" fillId="2" borderId="0" applyNumberFormat="0" applyBorder="0" applyAlignment="0" applyProtection="0"/>
    <xf numFmtId="178" fontId="12" fillId="3" borderId="0" applyNumberFormat="0" applyBorder="0" applyAlignment="0" applyProtection="0"/>
    <xf numFmtId="0" fontId="12" fillId="3" borderId="0" applyNumberFormat="0" applyBorder="0" applyAlignment="0" applyProtection="0"/>
    <xf numFmtId="178" fontId="12" fillId="4" borderId="0" applyNumberFormat="0" applyBorder="0" applyAlignment="0" applyProtection="0"/>
    <xf numFmtId="0" fontId="12" fillId="4" borderId="0" applyNumberFormat="0" applyBorder="0" applyAlignment="0" applyProtection="0"/>
    <xf numFmtId="178" fontId="12" fillId="5" borderId="0" applyNumberFormat="0" applyBorder="0" applyAlignment="0" applyProtection="0"/>
    <xf numFmtId="0" fontId="12" fillId="5" borderId="0" applyNumberFormat="0" applyBorder="0" applyAlignment="0" applyProtection="0"/>
    <xf numFmtId="178" fontId="12" fillId="6" borderId="0" applyNumberFormat="0" applyBorder="0" applyAlignment="0" applyProtection="0"/>
    <xf numFmtId="0" fontId="12" fillId="6" borderId="0" applyNumberFormat="0" applyBorder="0" applyAlignment="0" applyProtection="0"/>
    <xf numFmtId="178" fontId="12" fillId="7" borderId="0" applyNumberFormat="0" applyBorder="0" applyAlignment="0" applyProtection="0"/>
    <xf numFmtId="0" fontId="12" fillId="7" borderId="0" applyNumberFormat="0" applyBorder="0" applyAlignment="0" applyProtection="0"/>
    <xf numFmtId="178" fontId="12" fillId="8" borderId="0" applyNumberFormat="0" applyBorder="0" applyAlignment="0" applyProtection="0"/>
    <xf numFmtId="0" fontId="12" fillId="8" borderId="0" applyNumberFormat="0" applyBorder="0" applyAlignment="0" applyProtection="0"/>
    <xf numFmtId="178" fontId="12" fillId="9" borderId="0" applyNumberFormat="0" applyBorder="0" applyAlignment="0" applyProtection="0"/>
    <xf numFmtId="0" fontId="12" fillId="9" borderId="0" applyNumberFormat="0" applyBorder="0" applyAlignment="0" applyProtection="0"/>
    <xf numFmtId="178" fontId="12" fillId="10" borderId="0" applyNumberFormat="0" applyBorder="0" applyAlignment="0" applyProtection="0"/>
    <xf numFmtId="0" fontId="12" fillId="10" borderId="0" applyNumberFormat="0" applyBorder="0" applyAlignment="0" applyProtection="0"/>
    <xf numFmtId="178" fontId="12" fillId="5" borderId="0" applyNumberFormat="0" applyBorder="0" applyAlignment="0" applyProtection="0"/>
    <xf numFmtId="0" fontId="12" fillId="5" borderId="0" applyNumberFormat="0" applyBorder="0" applyAlignment="0" applyProtection="0"/>
    <xf numFmtId="178" fontId="12" fillId="8" borderId="0" applyNumberFormat="0" applyBorder="0" applyAlignment="0" applyProtection="0"/>
    <xf numFmtId="0" fontId="12" fillId="8" borderId="0" applyNumberFormat="0" applyBorder="0" applyAlignment="0" applyProtection="0"/>
    <xf numFmtId="178" fontId="12" fillId="11" borderId="0" applyNumberFormat="0" applyBorder="0" applyAlignment="0" applyProtection="0"/>
    <xf numFmtId="0" fontId="12" fillId="11" borderId="0" applyNumberFormat="0" applyBorder="0" applyAlignment="0" applyProtection="0"/>
    <xf numFmtId="178" fontId="12" fillId="8" borderId="0" applyNumberFormat="0" applyBorder="0" applyAlignment="0" applyProtection="0"/>
    <xf numFmtId="0" fontId="12" fillId="8" borderId="0" applyNumberFormat="0" applyBorder="0" applyAlignment="0" applyProtection="0"/>
    <xf numFmtId="178" fontId="12" fillId="9" borderId="0" applyNumberFormat="0" applyBorder="0" applyAlignment="0" applyProtection="0"/>
    <xf numFmtId="0" fontId="12" fillId="9" borderId="0" applyNumberFormat="0" applyBorder="0" applyAlignment="0" applyProtection="0"/>
    <xf numFmtId="178" fontId="12" fillId="10" borderId="0" applyNumberFormat="0" applyBorder="0" applyAlignment="0" applyProtection="0"/>
    <xf numFmtId="0" fontId="12" fillId="10" borderId="0" applyNumberFormat="0" applyBorder="0" applyAlignment="0" applyProtection="0"/>
    <xf numFmtId="178" fontId="12" fillId="5" borderId="0" applyNumberFormat="0" applyBorder="0" applyAlignment="0" applyProtection="0"/>
    <xf numFmtId="0" fontId="12" fillId="5" borderId="0" applyNumberFormat="0" applyBorder="0" applyAlignment="0" applyProtection="0"/>
    <xf numFmtId="178" fontId="12" fillId="8" borderId="0" applyNumberFormat="0" applyBorder="0" applyAlignment="0" applyProtection="0"/>
    <xf numFmtId="0" fontId="12" fillId="8" borderId="0" applyNumberFormat="0" applyBorder="0" applyAlignment="0" applyProtection="0"/>
    <xf numFmtId="178" fontId="12" fillId="11" borderId="0" applyNumberFormat="0" applyBorder="0" applyAlignment="0" applyProtection="0"/>
    <xf numFmtId="0" fontId="12" fillId="11" borderId="0" applyNumberFormat="0" applyBorder="0" applyAlignment="0" applyProtection="0"/>
    <xf numFmtId="178" fontId="13" fillId="12" borderId="0" applyNumberFormat="0" applyBorder="0" applyAlignment="0" applyProtection="0"/>
    <xf numFmtId="0" fontId="13" fillId="12" borderId="0" applyNumberFormat="0" applyBorder="0" applyAlignment="0" applyProtection="0"/>
    <xf numFmtId="178" fontId="13" fillId="9" borderId="0" applyNumberFormat="0" applyBorder="0" applyAlignment="0" applyProtection="0"/>
    <xf numFmtId="0" fontId="13" fillId="9" borderId="0" applyNumberFormat="0" applyBorder="0" applyAlignment="0" applyProtection="0"/>
    <xf numFmtId="178" fontId="13" fillId="10" borderId="0" applyNumberFormat="0" applyBorder="0" applyAlignment="0" applyProtection="0"/>
    <xf numFmtId="0" fontId="13" fillId="10" borderId="0" applyNumberFormat="0" applyBorder="0" applyAlignment="0" applyProtection="0"/>
    <xf numFmtId="178" fontId="13" fillId="13" borderId="0" applyNumberFormat="0" applyBorder="0" applyAlignment="0" applyProtection="0"/>
    <xf numFmtId="0" fontId="13" fillId="13" borderId="0" applyNumberFormat="0" applyBorder="0" applyAlignment="0" applyProtection="0"/>
    <xf numFmtId="178" fontId="13" fillId="14" borderId="0" applyNumberFormat="0" applyBorder="0" applyAlignment="0" applyProtection="0"/>
    <xf numFmtId="0" fontId="13" fillId="14" borderId="0" applyNumberFormat="0" applyBorder="0" applyAlignment="0" applyProtection="0"/>
    <xf numFmtId="178" fontId="13" fillId="15" borderId="0" applyNumberFormat="0" applyBorder="0" applyAlignment="0" applyProtection="0"/>
    <xf numFmtId="0" fontId="13" fillId="15" borderId="0" applyNumberFormat="0" applyBorder="0" applyAlignment="0" applyProtection="0"/>
    <xf numFmtId="178" fontId="13" fillId="12" borderId="0" applyNumberFormat="0" applyBorder="0" applyAlignment="0" applyProtection="0"/>
    <xf numFmtId="0" fontId="13" fillId="12" borderId="0" applyNumberFormat="0" applyBorder="0" applyAlignment="0" applyProtection="0"/>
    <xf numFmtId="178" fontId="13" fillId="9" borderId="0" applyNumberFormat="0" applyBorder="0" applyAlignment="0" applyProtection="0"/>
    <xf numFmtId="0" fontId="13" fillId="9" borderId="0" applyNumberFormat="0" applyBorder="0" applyAlignment="0" applyProtection="0"/>
    <xf numFmtId="178" fontId="13" fillId="10" borderId="0" applyNumberFormat="0" applyBorder="0" applyAlignment="0" applyProtection="0"/>
    <xf numFmtId="0" fontId="13" fillId="10" borderId="0" applyNumberFormat="0" applyBorder="0" applyAlignment="0" applyProtection="0"/>
    <xf numFmtId="178" fontId="13" fillId="13" borderId="0" applyNumberFormat="0" applyBorder="0" applyAlignment="0" applyProtection="0"/>
    <xf numFmtId="0" fontId="13" fillId="13" borderId="0" applyNumberFormat="0" applyBorder="0" applyAlignment="0" applyProtection="0"/>
    <xf numFmtId="178" fontId="13" fillId="14" borderId="0" applyNumberFormat="0" applyBorder="0" applyAlignment="0" applyProtection="0"/>
    <xf numFmtId="0" fontId="13" fillId="14" borderId="0" applyNumberFormat="0" applyBorder="0" applyAlignment="0" applyProtection="0"/>
    <xf numFmtId="178" fontId="13" fillId="15" borderId="0" applyNumberFormat="0" applyBorder="0" applyAlignment="0" applyProtection="0"/>
    <xf numFmtId="0" fontId="13" fillId="15" borderId="0" applyNumberFormat="0" applyBorder="0" applyAlignment="0" applyProtection="0"/>
    <xf numFmtId="178" fontId="13" fillId="16" borderId="0" applyNumberFormat="0" applyBorder="0" applyAlignment="0" applyProtection="0"/>
    <xf numFmtId="0" fontId="13" fillId="16" borderId="0" applyNumberFormat="0" applyBorder="0" applyAlignment="0" applyProtection="0"/>
    <xf numFmtId="178" fontId="13" fillId="17" borderId="0" applyNumberFormat="0" applyBorder="0" applyAlignment="0" applyProtection="0"/>
    <xf numFmtId="0" fontId="13" fillId="17" borderId="0" applyNumberFormat="0" applyBorder="0" applyAlignment="0" applyProtection="0"/>
    <xf numFmtId="178" fontId="13" fillId="18" borderId="0" applyNumberFormat="0" applyBorder="0" applyAlignment="0" applyProtection="0"/>
    <xf numFmtId="0" fontId="13" fillId="18" borderId="0" applyNumberFormat="0" applyBorder="0" applyAlignment="0" applyProtection="0"/>
    <xf numFmtId="178" fontId="13" fillId="13" borderId="0" applyNumberFormat="0" applyBorder="0" applyAlignment="0" applyProtection="0"/>
    <xf numFmtId="0" fontId="13" fillId="13" borderId="0" applyNumberFormat="0" applyBorder="0" applyAlignment="0" applyProtection="0"/>
    <xf numFmtId="178" fontId="13" fillId="14" borderId="0" applyNumberFormat="0" applyBorder="0" applyAlignment="0" applyProtection="0"/>
    <xf numFmtId="0" fontId="13" fillId="14" borderId="0" applyNumberFormat="0" applyBorder="0" applyAlignment="0" applyProtection="0"/>
    <xf numFmtId="178" fontId="13" fillId="19" borderId="0" applyNumberFormat="0" applyBorder="0" applyAlignment="0" applyProtection="0"/>
    <xf numFmtId="0" fontId="13" fillId="19" borderId="0" applyNumberFormat="0" applyBorder="0" applyAlignment="0" applyProtection="0"/>
    <xf numFmtId="178" fontId="20" fillId="3" borderId="0" applyNumberFormat="0" applyBorder="0" applyAlignment="0" applyProtection="0"/>
    <xf numFmtId="0" fontId="20" fillId="3" borderId="0" applyNumberFormat="0" applyBorder="0" applyAlignment="0" applyProtection="0"/>
    <xf numFmtId="178" fontId="14" fillId="4" borderId="0" applyNumberFormat="0" applyBorder="0" applyAlignment="0" applyProtection="0"/>
    <xf numFmtId="0" fontId="14" fillId="4" borderId="0" applyNumberFormat="0" applyBorder="0" applyAlignment="0" applyProtection="0"/>
    <xf numFmtId="178" fontId="15" fillId="20" borderId="1" applyNumberFormat="0" applyAlignment="0" applyProtection="0"/>
    <xf numFmtId="0" fontId="15" fillId="20" borderId="1" applyNumberFormat="0" applyAlignment="0" applyProtection="0"/>
    <xf numFmtId="178" fontId="15" fillId="20" borderId="1" applyNumberFormat="0" applyAlignment="0" applyProtection="0"/>
    <xf numFmtId="0" fontId="15" fillId="20" borderId="1" applyNumberFormat="0" applyAlignment="0" applyProtection="0"/>
    <xf numFmtId="178" fontId="16" fillId="21" borderId="2" applyNumberFormat="0" applyAlignment="0" applyProtection="0"/>
    <xf numFmtId="0" fontId="16" fillId="21" borderId="2" applyNumberFormat="0" applyAlignment="0" applyProtection="0"/>
    <xf numFmtId="178" fontId="17" fillId="0" borderId="3" applyNumberFormat="0" applyFill="0" applyAlignment="0" applyProtection="0"/>
    <xf numFmtId="0" fontId="17" fillId="0" borderId="3" applyNumberFormat="0" applyFill="0" applyAlignment="0" applyProtection="0"/>
    <xf numFmtId="178"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4"/>
    <xf numFmtId="178" fontId="18" fillId="0" borderId="0" applyNumberFormat="0" applyFill="0" applyBorder="0" applyAlignment="0" applyProtection="0"/>
    <xf numFmtId="0" fontId="18" fillId="0" borderId="0" applyNumberFormat="0" applyFill="0" applyBorder="0" applyAlignment="0" applyProtection="0"/>
    <xf numFmtId="178" fontId="13" fillId="16" borderId="0" applyNumberFormat="0" applyBorder="0" applyAlignment="0" applyProtection="0"/>
    <xf numFmtId="0" fontId="13" fillId="16" borderId="0" applyNumberFormat="0" applyBorder="0" applyAlignment="0" applyProtection="0"/>
    <xf numFmtId="178" fontId="13" fillId="17" borderId="0" applyNumberFormat="0" applyBorder="0" applyAlignment="0" applyProtection="0"/>
    <xf numFmtId="0" fontId="13" fillId="17" borderId="0" applyNumberFormat="0" applyBorder="0" applyAlignment="0" applyProtection="0"/>
    <xf numFmtId="178" fontId="13" fillId="18" borderId="0" applyNumberFormat="0" applyBorder="0" applyAlignment="0" applyProtection="0"/>
    <xf numFmtId="0" fontId="13" fillId="18" borderId="0" applyNumberFormat="0" applyBorder="0" applyAlignment="0" applyProtection="0"/>
    <xf numFmtId="178" fontId="13" fillId="13" borderId="0" applyNumberFormat="0" applyBorder="0" applyAlignment="0" applyProtection="0"/>
    <xf numFmtId="0" fontId="13" fillId="13" borderId="0" applyNumberFormat="0" applyBorder="0" applyAlignment="0" applyProtection="0"/>
    <xf numFmtId="178" fontId="13" fillId="14" borderId="0" applyNumberFormat="0" applyBorder="0" applyAlignment="0" applyProtection="0"/>
    <xf numFmtId="0" fontId="13" fillId="14" borderId="0" applyNumberFormat="0" applyBorder="0" applyAlignment="0" applyProtection="0"/>
    <xf numFmtId="178" fontId="13" fillId="19" borderId="0" applyNumberFormat="0" applyBorder="0" applyAlignment="0" applyProtection="0"/>
    <xf numFmtId="0" fontId="13" fillId="19" borderId="0" applyNumberFormat="0" applyBorder="0" applyAlignment="0" applyProtection="0"/>
    <xf numFmtId="178" fontId="19" fillId="7" borderId="1" applyNumberFormat="0" applyAlignment="0" applyProtection="0"/>
    <xf numFmtId="0" fontId="19" fillId="7" borderId="1" applyNumberFormat="0" applyAlignment="0" applyProtection="0"/>
    <xf numFmtId="178" fontId="2" fillId="0" borderId="0" applyFont="0" applyFill="0" applyBorder="0" applyAlignment="0" applyProtection="0"/>
    <xf numFmtId="178" fontId="24" fillId="0" borderId="0" applyNumberFormat="0" applyFill="0" applyBorder="0" applyAlignment="0" applyProtection="0"/>
    <xf numFmtId="0" fontId="24" fillId="0" borderId="0" applyNumberFormat="0" applyFill="0" applyBorder="0" applyAlignment="0" applyProtection="0"/>
    <xf numFmtId="178" fontId="14" fillId="4" borderId="0" applyNumberFormat="0" applyBorder="0" applyAlignment="0" applyProtection="0"/>
    <xf numFmtId="0" fontId="14" fillId="4" borderId="0" applyNumberFormat="0" applyBorder="0" applyAlignment="0" applyProtection="0"/>
    <xf numFmtId="178" fontId="25" fillId="0" borderId="5" applyNumberFormat="0" applyFill="0" applyAlignment="0" applyProtection="0"/>
    <xf numFmtId="0" fontId="25" fillId="0" borderId="5" applyNumberFormat="0" applyFill="0" applyAlignment="0" applyProtection="0"/>
    <xf numFmtId="178" fontId="26" fillId="0" borderId="6" applyNumberFormat="0" applyFill="0" applyAlignment="0" applyProtection="0"/>
    <xf numFmtId="0" fontId="26" fillId="0" borderId="6" applyNumberFormat="0" applyFill="0" applyAlignment="0" applyProtection="0"/>
    <xf numFmtId="178" fontId="18" fillId="0" borderId="7" applyNumberFormat="0" applyFill="0" applyAlignment="0" applyProtection="0"/>
    <xf numFmtId="0" fontId="18" fillId="0" borderId="7" applyNumberFormat="0" applyFill="0" applyAlignment="0" applyProtection="0"/>
    <xf numFmtId="178" fontId="18" fillId="0" borderId="0" applyNumberFormat="0" applyFill="0" applyBorder="0" applyAlignment="0" applyProtection="0"/>
    <xf numFmtId="0" fontId="18" fillId="0" borderId="0" applyNumberFormat="0" applyFill="0" applyBorder="0" applyAlignment="0" applyProtection="0"/>
    <xf numFmtId="178" fontId="58" fillId="0" borderId="0" applyNumberFormat="0" applyFill="0" applyBorder="0" applyAlignment="0" applyProtection="0">
      <alignment vertical="top"/>
      <protection locked="0"/>
    </xf>
    <xf numFmtId="178" fontId="34" fillId="0" borderId="0" applyNumberFormat="0" applyFill="0" applyBorder="0" applyAlignment="0" applyProtection="0">
      <alignment vertical="top"/>
      <protection locked="0"/>
    </xf>
    <xf numFmtId="178" fontId="20" fillId="3" borderId="0" applyNumberFormat="0" applyBorder="0" applyAlignment="0" applyProtection="0"/>
    <xf numFmtId="0" fontId="20" fillId="3" borderId="0" applyNumberFormat="0" applyBorder="0" applyAlignment="0" applyProtection="0"/>
    <xf numFmtId="178" fontId="19" fillId="7" borderId="1" applyNumberFormat="0" applyAlignment="0" applyProtection="0"/>
    <xf numFmtId="0" fontId="19" fillId="7" borderId="1" applyNumberFormat="0" applyAlignment="0" applyProtection="0"/>
    <xf numFmtId="178" fontId="17" fillId="0" borderId="3" applyNumberFormat="0" applyFill="0" applyAlignment="0" applyProtection="0"/>
    <xf numFmtId="0" fontId="17" fillId="0" borderId="3" applyNumberFormat="0" applyFill="0" applyAlignment="0" applyProtection="0"/>
    <xf numFmtId="43" fontId="55" fillId="0" borderId="0" applyFont="0" applyFill="0" applyBorder="0" applyAlignment="0" applyProtection="0"/>
    <xf numFmtId="43" fontId="2" fillId="0" borderId="0" applyFont="0" applyFill="0" applyBorder="0" applyAlignment="0" applyProtection="0"/>
    <xf numFmtId="167" fontId="5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82" fontId="2" fillId="0" borderId="0" applyFont="0" applyFill="0" applyBorder="0" applyAlignment="0" applyProtection="0"/>
    <xf numFmtId="166" fontId="2" fillId="0" borderId="0" applyFont="0" applyFill="0" applyBorder="0" applyAlignment="0" applyProtection="0"/>
    <xf numFmtId="178" fontId="21" fillId="22" borderId="0" applyNumberFormat="0" applyBorder="0" applyAlignment="0" applyProtection="0"/>
    <xf numFmtId="0" fontId="21" fillId="22" borderId="0" applyNumberFormat="0" applyBorder="0" applyAlignment="0" applyProtection="0"/>
    <xf numFmtId="178" fontId="12" fillId="0" borderId="0"/>
    <xf numFmtId="178" fontId="2" fillId="0" borderId="0"/>
    <xf numFmtId="0" fontId="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12" fillId="0" borderId="0"/>
    <xf numFmtId="178" fontId="2" fillId="0" borderId="0"/>
    <xf numFmtId="0" fontId="2" fillId="0" borderId="0"/>
    <xf numFmtId="0" fontId="12" fillId="0" borderId="0"/>
    <xf numFmtId="178" fontId="55" fillId="0" borderId="0"/>
    <xf numFmtId="178" fontId="2" fillId="0" borderId="0"/>
    <xf numFmtId="178" fontId="2" fillId="0" borderId="0"/>
    <xf numFmtId="178" fontId="55" fillId="0" borderId="0"/>
    <xf numFmtId="0" fontId="2" fillId="0" borderId="0"/>
    <xf numFmtId="186" fontId="55" fillId="0" borderId="0"/>
    <xf numFmtId="178" fontId="2" fillId="0" borderId="0"/>
    <xf numFmtId="178" fontId="2" fillId="0" borderId="0"/>
    <xf numFmtId="0" fontId="2" fillId="0" borderId="0"/>
    <xf numFmtId="178" fontId="2" fillId="0" borderId="0"/>
    <xf numFmtId="178" fontId="2" fillId="0" borderId="0"/>
    <xf numFmtId="0" fontId="2" fillId="0" borderId="0"/>
    <xf numFmtId="178" fontId="2" fillId="0" borderId="0"/>
    <xf numFmtId="0" fontId="2" fillId="0" borderId="0"/>
    <xf numFmtId="178" fontId="2" fillId="0" borderId="0"/>
    <xf numFmtId="0"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178" fontId="2" fillId="0" borderId="0"/>
    <xf numFmtId="178" fontId="2" fillId="0" borderId="0"/>
    <xf numFmtId="178"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0" fontId="55" fillId="0" borderId="0"/>
    <xf numFmtId="178" fontId="36" fillId="0" borderId="0"/>
    <xf numFmtId="178" fontId="2" fillId="0" borderId="0"/>
    <xf numFmtId="0" fontId="2" fillId="0" borderId="0"/>
    <xf numFmtId="0" fontId="2" fillId="0" borderId="0"/>
    <xf numFmtId="178" fontId="55" fillId="0" borderId="0"/>
    <xf numFmtId="0" fontId="55" fillId="0" borderId="0"/>
    <xf numFmtId="178" fontId="55" fillId="0" borderId="0"/>
    <xf numFmtId="0" fontId="55" fillId="0" borderId="0"/>
    <xf numFmtId="178" fontId="55" fillId="0" borderId="0"/>
    <xf numFmtId="0" fontId="55" fillId="0" borderId="0"/>
    <xf numFmtId="178" fontId="55" fillId="0" borderId="0"/>
    <xf numFmtId="0" fontId="55" fillId="0" borderId="0"/>
    <xf numFmtId="178" fontId="55" fillId="0" borderId="0"/>
    <xf numFmtId="0" fontId="55" fillId="0" borderId="0"/>
    <xf numFmtId="0" fontId="55" fillId="0" borderId="0"/>
    <xf numFmtId="0" fontId="55" fillId="0" borderId="0"/>
    <xf numFmtId="0" fontId="55" fillId="0" borderId="0"/>
    <xf numFmtId="178" fontId="2" fillId="0" borderId="0"/>
    <xf numFmtId="178" fontId="2" fillId="0" borderId="0"/>
    <xf numFmtId="0" fontId="2" fillId="0" borderId="0"/>
    <xf numFmtId="178" fontId="12" fillId="0" borderId="0"/>
    <xf numFmtId="178" fontId="30" fillId="0" borderId="0"/>
    <xf numFmtId="0" fontId="30" fillId="0" borderId="0"/>
    <xf numFmtId="0" fontId="12" fillId="0" borderId="0"/>
    <xf numFmtId="178" fontId="2" fillId="0" borderId="0"/>
    <xf numFmtId="0" fontId="2" fillId="0" borderId="0"/>
    <xf numFmtId="178" fontId="2" fillId="0" borderId="0"/>
    <xf numFmtId="178" fontId="2" fillId="0" borderId="0"/>
    <xf numFmtId="178" fontId="2" fillId="0" borderId="0"/>
    <xf numFmtId="0" fontId="2" fillId="0" borderId="0"/>
    <xf numFmtId="17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178" fontId="2" fillId="0" borderId="0"/>
    <xf numFmtId="178" fontId="12" fillId="0" borderId="0"/>
    <xf numFmtId="178" fontId="2" fillId="0" borderId="0"/>
    <xf numFmtId="0" fontId="2" fillId="0" borderId="0"/>
    <xf numFmtId="0" fontId="12" fillId="0" borderId="0"/>
    <xf numFmtId="178" fontId="2" fillId="0" borderId="0"/>
    <xf numFmtId="178" fontId="2" fillId="0" borderId="0"/>
    <xf numFmtId="178" fontId="2" fillId="0" borderId="0"/>
    <xf numFmtId="0" fontId="2" fillId="0" borderId="0"/>
    <xf numFmtId="0" fontId="55" fillId="0" borderId="0"/>
    <xf numFmtId="186" fontId="55" fillId="0" borderId="0"/>
    <xf numFmtId="0" fontId="55" fillId="0" borderId="0"/>
    <xf numFmtId="186" fontId="55" fillId="0" borderId="0"/>
    <xf numFmtId="178" fontId="2" fillId="0" borderId="0"/>
    <xf numFmtId="0" fontId="2" fillId="0" borderId="0"/>
    <xf numFmtId="178" fontId="30" fillId="0" borderId="0"/>
    <xf numFmtId="178" fontId="2" fillId="0" borderId="0"/>
    <xf numFmtId="0" fontId="2" fillId="0" borderId="0"/>
    <xf numFmtId="0" fontId="30" fillId="0" borderId="0"/>
    <xf numFmtId="178" fontId="30" fillId="0" borderId="0"/>
    <xf numFmtId="0" fontId="30" fillId="0" borderId="0"/>
    <xf numFmtId="178"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178" fontId="30" fillId="0" borderId="0"/>
    <xf numFmtId="0" fontId="30" fillId="0" borderId="0"/>
    <xf numFmtId="178" fontId="2" fillId="0" borderId="0"/>
    <xf numFmtId="178" fontId="2" fillId="0" borderId="0"/>
    <xf numFmtId="178" fontId="2" fillId="0" borderId="0"/>
    <xf numFmtId="0" fontId="55" fillId="0" borderId="0"/>
    <xf numFmtId="178" fontId="30" fillId="0" borderId="0"/>
    <xf numFmtId="178" fontId="2" fillId="0" borderId="0"/>
    <xf numFmtId="0" fontId="2" fillId="0" borderId="0"/>
    <xf numFmtId="178" fontId="30" fillId="0" borderId="0"/>
    <xf numFmtId="0" fontId="30" fillId="0" borderId="0"/>
    <xf numFmtId="178" fontId="2" fillId="0" borderId="0"/>
    <xf numFmtId="0" fontId="2" fillId="0" borderId="0"/>
    <xf numFmtId="178" fontId="2" fillId="0" borderId="0"/>
    <xf numFmtId="178" fontId="2" fillId="0" borderId="0"/>
    <xf numFmtId="178" fontId="2" fillId="0" borderId="0"/>
    <xf numFmtId="0" fontId="30" fillId="0" borderId="0"/>
    <xf numFmtId="178" fontId="30" fillId="0" borderId="0"/>
    <xf numFmtId="178" fontId="2" fillId="0" borderId="0"/>
    <xf numFmtId="0" fontId="2" fillId="0" borderId="0"/>
    <xf numFmtId="178" fontId="30" fillId="0" borderId="0"/>
    <xf numFmtId="0" fontId="30" fillId="0" borderId="0"/>
    <xf numFmtId="178" fontId="2" fillId="0" borderId="0"/>
    <xf numFmtId="178" fontId="2" fillId="0" borderId="0"/>
    <xf numFmtId="178" fontId="2" fillId="0" borderId="0"/>
    <xf numFmtId="0" fontId="30" fillId="0" borderId="0"/>
    <xf numFmtId="178" fontId="12" fillId="0" borderId="0"/>
    <xf numFmtId="178" fontId="2" fillId="0" borderId="0"/>
    <xf numFmtId="0" fontId="2" fillId="0" borderId="0"/>
    <xf numFmtId="178" fontId="2" fillId="0" borderId="0"/>
    <xf numFmtId="0" fontId="2" fillId="0" borderId="0"/>
    <xf numFmtId="178" fontId="2" fillId="0" borderId="0"/>
    <xf numFmtId="178" fontId="2" fillId="0" borderId="0"/>
    <xf numFmtId="178" fontId="2" fillId="0" borderId="0"/>
    <xf numFmtId="0" fontId="12" fillId="0" borderId="0"/>
    <xf numFmtId="178" fontId="12" fillId="23" borderId="8" applyNumberFormat="0" applyFont="0" applyAlignment="0" applyProtection="0"/>
    <xf numFmtId="0" fontId="12" fillId="23" borderId="8" applyNumberFormat="0" applyFont="0" applyAlignment="0" applyProtection="0"/>
    <xf numFmtId="178" fontId="2" fillId="23" borderId="8" applyNumberFormat="0" applyFont="0" applyAlignment="0" applyProtection="0"/>
    <xf numFmtId="0" fontId="2" fillId="23" borderId="8" applyNumberFormat="0" applyFont="0" applyAlignment="0" applyProtection="0"/>
    <xf numFmtId="178" fontId="22" fillId="20" borderId="9" applyNumberFormat="0" applyAlignment="0" applyProtection="0"/>
    <xf numFmtId="0" fontId="22" fillId="20" borderId="9" applyNumberFormat="0" applyAlignment="0" applyProtection="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8" fontId="22" fillId="20" borderId="9" applyNumberFormat="0" applyAlignment="0" applyProtection="0"/>
    <xf numFmtId="0" fontId="22" fillId="20" borderId="9" applyNumberFormat="0" applyAlignment="0" applyProtection="0"/>
    <xf numFmtId="178" fontId="23" fillId="0" borderId="0" applyNumberFormat="0" applyFill="0" applyBorder="0" applyAlignment="0" applyProtection="0"/>
    <xf numFmtId="0" fontId="23" fillId="0" borderId="0" applyNumberFormat="0" applyFill="0" applyBorder="0" applyAlignment="0" applyProtection="0"/>
    <xf numFmtId="178" fontId="24" fillId="0" borderId="0" applyNumberFormat="0" applyFill="0" applyBorder="0" applyAlignment="0" applyProtection="0"/>
    <xf numFmtId="0" fontId="24" fillId="0" borderId="0" applyNumberFormat="0" applyFill="0" applyBorder="0" applyAlignment="0" applyProtection="0"/>
    <xf numFmtId="178" fontId="27" fillId="0" borderId="0" applyNumberFormat="0" applyFill="0" applyBorder="0" applyAlignment="0" applyProtection="0"/>
    <xf numFmtId="0" fontId="27" fillId="0" borderId="0" applyNumberFormat="0" applyFill="0" applyBorder="0" applyAlignment="0" applyProtection="0"/>
    <xf numFmtId="178" fontId="25" fillId="0" borderId="5" applyNumberFormat="0" applyFill="0" applyAlignment="0" applyProtection="0"/>
    <xf numFmtId="0" fontId="25" fillId="0" borderId="5" applyNumberFormat="0" applyFill="0" applyAlignment="0" applyProtection="0"/>
    <xf numFmtId="178" fontId="26" fillId="0" borderId="6" applyNumberFormat="0" applyFill="0" applyAlignment="0" applyProtection="0"/>
    <xf numFmtId="0" fontId="26" fillId="0" borderId="6" applyNumberFormat="0" applyFill="0" applyAlignment="0" applyProtection="0"/>
    <xf numFmtId="178" fontId="18" fillId="0" borderId="7" applyNumberFormat="0" applyFill="0" applyAlignment="0" applyProtection="0"/>
    <xf numFmtId="0" fontId="18" fillId="0" borderId="7" applyNumberFormat="0" applyFill="0" applyAlignment="0" applyProtection="0"/>
    <xf numFmtId="178" fontId="27" fillId="0" borderId="0" applyNumberFormat="0" applyFill="0" applyBorder="0" applyAlignment="0" applyProtection="0"/>
    <xf numFmtId="0" fontId="27" fillId="0" borderId="0" applyNumberFormat="0" applyFill="0" applyBorder="0" applyAlignment="0" applyProtection="0"/>
    <xf numFmtId="178" fontId="28" fillId="0" borderId="10" applyNumberFormat="0" applyFill="0" applyAlignment="0" applyProtection="0"/>
    <xf numFmtId="0" fontId="28" fillId="0" borderId="10" applyNumberFormat="0" applyFill="0" applyAlignment="0" applyProtection="0"/>
    <xf numFmtId="178" fontId="23" fillId="0" borderId="0" applyNumberFormat="0" applyFill="0" applyBorder="0" applyAlignment="0" applyProtection="0"/>
    <xf numFmtId="0" fontId="23" fillId="0" borderId="0" applyNumberFormat="0" applyFill="0" applyBorder="0" applyAlignment="0" applyProtection="0"/>
    <xf numFmtId="0" fontId="55" fillId="0" borderId="0"/>
    <xf numFmtId="0" fontId="1" fillId="0" borderId="10" applyNumberFormat="0" applyFill="0" applyAlignment="0" applyProtection="0"/>
    <xf numFmtId="0" fontId="55" fillId="0" borderId="0"/>
    <xf numFmtId="166" fontId="2"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8" fontId="55" fillId="0" borderId="0"/>
    <xf numFmtId="178" fontId="55" fillId="0" borderId="0"/>
    <xf numFmtId="178" fontId="2" fillId="0" borderId="0"/>
    <xf numFmtId="178" fontId="55" fillId="0" borderId="0"/>
    <xf numFmtId="0" fontId="55" fillId="0" borderId="0"/>
    <xf numFmtId="0" fontId="1" fillId="0" borderId="10" applyNumberFormat="0" applyFill="0" applyAlignment="0" applyProtection="0"/>
    <xf numFmtId="0" fontId="55" fillId="0" borderId="0"/>
    <xf numFmtId="0" fontId="55" fillId="0" borderId="0"/>
    <xf numFmtId="0" fontId="55" fillId="0" borderId="0"/>
    <xf numFmtId="43" fontId="2" fillId="0" borderId="0" applyFont="0" applyFill="0" applyBorder="0" applyAlignment="0" applyProtection="0"/>
    <xf numFmtId="0" fontId="2" fillId="0" borderId="0">
      <alignment wrapText="1"/>
    </xf>
    <xf numFmtId="0" fontId="2" fillId="0" borderId="0">
      <alignment wrapText="1"/>
    </xf>
    <xf numFmtId="0" fontId="55" fillId="0" borderId="0"/>
    <xf numFmtId="0" fontId="122" fillId="0" borderId="0">
      <alignment wrapText="1"/>
    </xf>
    <xf numFmtId="0" fontId="55" fillId="0" borderId="0"/>
    <xf numFmtId="0" fontId="55" fillId="0" borderId="0"/>
    <xf numFmtId="0" fontId="2" fillId="0" borderId="0">
      <alignment wrapText="1"/>
    </xf>
    <xf numFmtId="0" fontId="55" fillId="0" borderId="0"/>
    <xf numFmtId="0" fontId="55" fillId="0" borderId="0"/>
    <xf numFmtId="0" fontId="55" fillId="0" borderId="0"/>
    <xf numFmtId="0" fontId="141" fillId="0" borderId="0">
      <alignment wrapText="1"/>
    </xf>
    <xf numFmtId="0" fontId="141" fillId="0" borderId="0">
      <alignment wrapText="1"/>
    </xf>
    <xf numFmtId="0" fontId="141" fillId="0" borderId="0">
      <alignment wrapText="1"/>
    </xf>
    <xf numFmtId="0" fontId="141" fillId="0" borderId="0">
      <alignment wrapText="1"/>
    </xf>
    <xf numFmtId="0" fontId="141" fillId="0" borderId="0">
      <alignment wrapText="1"/>
    </xf>
    <xf numFmtId="0" fontId="141" fillId="0" borderId="0">
      <alignment wrapText="1"/>
    </xf>
    <xf numFmtId="0" fontId="141" fillId="0" borderId="0">
      <alignment wrapText="1"/>
    </xf>
    <xf numFmtId="0" fontId="141" fillId="0" borderId="0">
      <alignment wrapText="1"/>
    </xf>
    <xf numFmtId="0" fontId="55" fillId="0" borderId="0"/>
    <xf numFmtId="43" fontId="2" fillId="0" borderId="0" applyFont="0" applyFill="0" applyBorder="0" applyAlignment="0" applyProtection="0"/>
    <xf numFmtId="0" fontId="2" fillId="0" borderId="0"/>
    <xf numFmtId="0" fontId="2" fillId="0" borderId="0"/>
    <xf numFmtId="192" fontId="2" fillId="0" borderId="0" applyFont="0" applyFill="0" applyBorder="0" applyAlignment="0" applyProtection="0"/>
    <xf numFmtId="178" fontId="2" fillId="0" borderId="0"/>
    <xf numFmtId="178" fontId="55" fillId="0" borderId="0"/>
    <xf numFmtId="178" fontId="55" fillId="0" borderId="0"/>
    <xf numFmtId="0"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0" fontId="177" fillId="0" borderId="0"/>
    <xf numFmtId="0" fontId="30" fillId="0" borderId="0"/>
    <xf numFmtId="43" fontId="30" fillId="0" borderId="0" applyFont="0" applyFill="0" applyBorder="0" applyAlignment="0" applyProtection="0"/>
    <xf numFmtId="0" fontId="30" fillId="0" borderId="0"/>
    <xf numFmtId="0" fontId="55" fillId="0" borderId="0"/>
    <xf numFmtId="43" fontId="55" fillId="0" borderId="0" applyFont="0" applyFill="0" applyBorder="0" applyAlignment="0" applyProtection="0"/>
    <xf numFmtId="43" fontId="2" fillId="0" borderId="0" applyFont="0" applyFill="0" applyBorder="0" applyAlignment="0" applyProtection="0"/>
    <xf numFmtId="178" fontId="55" fillId="0" borderId="0"/>
    <xf numFmtId="0" fontId="55" fillId="0" borderId="0"/>
    <xf numFmtId="0" fontId="55" fillId="0" borderId="0"/>
    <xf numFmtId="0" fontId="55" fillId="0" borderId="0"/>
    <xf numFmtId="178" fontId="55" fillId="0" borderId="0"/>
    <xf numFmtId="178" fontId="55" fillId="0" borderId="0"/>
    <xf numFmtId="0" fontId="55" fillId="0" borderId="0"/>
    <xf numFmtId="0"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0" fontId="55" fillId="0" borderId="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55" fillId="0" borderId="0"/>
    <xf numFmtId="0" fontId="55" fillId="0" borderId="0"/>
    <xf numFmtId="178" fontId="55" fillId="0" borderId="0"/>
    <xf numFmtId="0" fontId="55"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55" fillId="0" borderId="0"/>
    <xf numFmtId="0" fontId="55" fillId="0" borderId="0"/>
    <xf numFmtId="0" fontId="2" fillId="0" borderId="0"/>
    <xf numFmtId="43" fontId="2" fillId="0" borderId="0" applyFont="0" applyFill="0" applyBorder="0" applyAlignment="0" applyProtection="0"/>
    <xf numFmtId="43" fontId="55" fillId="0" borderId="0" applyFont="0" applyFill="0" applyBorder="0" applyAlignment="0" applyProtection="0"/>
    <xf numFmtId="195" fontId="2" fillId="0" borderId="0" applyFont="0" applyFill="0" applyBorder="0" applyAlignment="0" applyProtection="0"/>
    <xf numFmtId="184"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0" fontId="55" fillId="0" borderId="0"/>
    <xf numFmtId="0" fontId="216"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55" fillId="0" borderId="0"/>
    <xf numFmtId="0" fontId="225" fillId="0" borderId="0"/>
    <xf numFmtId="182" fontId="225" fillId="0" borderId="0" applyFont="0" applyFill="0" applyBorder="0" applyAlignment="0" applyProtection="0"/>
    <xf numFmtId="0" fontId="2" fillId="0" borderId="0"/>
    <xf numFmtId="9" fontId="225" fillId="0" borderId="0" applyFont="0" applyFill="0" applyBorder="0" applyAlignment="0" applyProtection="0"/>
    <xf numFmtId="0" fontId="55" fillId="0" borderId="0"/>
    <xf numFmtId="0" fontId="55" fillId="0" borderId="0"/>
    <xf numFmtId="0" fontId="55" fillId="0" borderId="0"/>
    <xf numFmtId="0" fontId="229" fillId="0" borderId="0"/>
    <xf numFmtId="192" fontId="229" fillId="0" borderId="0" applyFont="0" applyFill="0" applyBorder="0" applyAlignment="0" applyProtection="0"/>
    <xf numFmtId="182" fontId="229" fillId="0" borderId="0" applyFont="0" applyFill="0" applyBorder="0" applyAlignment="0" applyProtection="0"/>
    <xf numFmtId="9" fontId="229" fillId="0" borderId="0" applyFont="0" applyFill="0" applyBorder="0" applyAlignment="0" applyProtection="0"/>
    <xf numFmtId="43" fontId="2" fillId="0" borderId="0" applyFont="0" applyFill="0" applyBorder="0" applyAlignment="0" applyProtection="0">
      <alignment wrapText="1"/>
    </xf>
    <xf numFmtId="0" fontId="234" fillId="0" borderId="0"/>
    <xf numFmtId="0" fontId="30" fillId="0" borderId="0"/>
    <xf numFmtId="0" fontId="30" fillId="0" borderId="0"/>
    <xf numFmtId="182"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5" fillId="0" borderId="0"/>
    <xf numFmtId="0" fontId="2" fillId="0" borderId="0"/>
    <xf numFmtId="192" fontId="2" fillId="0" borderId="0" applyFont="0" applyFill="0" applyBorder="0" applyAlignment="0" applyProtection="0"/>
    <xf numFmtId="182" fontId="2" fillId="0" borderId="0" applyFont="0" applyFill="0" applyBorder="0" applyAlignment="0" applyProtection="0"/>
    <xf numFmtId="178" fontId="55" fillId="0" borderId="0"/>
    <xf numFmtId="178" fontId="55" fillId="0" borderId="0"/>
    <xf numFmtId="178" fontId="55" fillId="0" borderId="0"/>
    <xf numFmtId="178" fontId="55" fillId="0" borderId="0"/>
    <xf numFmtId="0" fontId="2"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178" fontId="55" fillId="0" borderId="0"/>
    <xf numFmtId="9" fontId="2" fillId="0" borderId="0" applyFont="0" applyFill="0" applyBorder="0" applyAlignment="0" applyProtection="0"/>
    <xf numFmtId="0" fontId="55" fillId="0" borderId="0"/>
    <xf numFmtId="0" fontId="2" fillId="0" borderId="0">
      <alignment wrapText="1"/>
    </xf>
    <xf numFmtId="0" fontId="55" fillId="0" borderId="0"/>
    <xf numFmtId="0" fontId="55" fillId="0" borderId="0"/>
    <xf numFmtId="0" fontId="2" fillId="0" borderId="0"/>
    <xf numFmtId="43" fontId="2" fillId="0" borderId="0" applyFont="0" applyFill="0" applyBorder="0" applyAlignment="0" applyProtection="0"/>
    <xf numFmtId="182"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30" fillId="0" borderId="0"/>
    <xf numFmtId="0" fontId="236" fillId="0" borderId="0"/>
    <xf numFmtId="200" fontId="237" fillId="0" borderId="0"/>
  </cellStyleXfs>
  <cellXfs count="2610">
    <xf numFmtId="178" fontId="0" fillId="0" borderId="0" xfId="0"/>
    <xf numFmtId="178" fontId="55" fillId="0" borderId="0" xfId="389" applyFont="1"/>
    <xf numFmtId="10" fontId="61" fillId="0" borderId="0" xfId="389" applyNumberFormat="1" applyFont="1"/>
    <xf numFmtId="10" fontId="60" fillId="0" borderId="0" xfId="389" applyNumberFormat="1" applyFont="1"/>
    <xf numFmtId="10" fontId="55" fillId="0" borderId="0" xfId="389" applyNumberFormat="1" applyFont="1"/>
    <xf numFmtId="178" fontId="55" fillId="0" borderId="0" xfId="389" applyFont="1" applyFill="1" applyBorder="1"/>
    <xf numFmtId="173" fontId="55" fillId="0" borderId="0" xfId="389" applyNumberFormat="1" applyFont="1"/>
    <xf numFmtId="38" fontId="55" fillId="0" borderId="0" xfId="389" applyNumberFormat="1" applyFont="1" applyBorder="1"/>
    <xf numFmtId="178" fontId="55" fillId="0" borderId="0" xfId="389" applyNumberFormat="1" applyFont="1"/>
    <xf numFmtId="10" fontId="55" fillId="0" borderId="0" xfId="389" applyNumberFormat="1" applyFont="1" applyBorder="1"/>
    <xf numFmtId="178" fontId="55"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8" fontId="62" fillId="0" borderId="0" xfId="348" applyFont="1"/>
    <xf numFmtId="168" fontId="6" fillId="0" borderId="0" xfId="337" applyNumberFormat="1" applyFont="1" applyFill="1" applyBorder="1"/>
    <xf numFmtId="168" fontId="6" fillId="0" borderId="0" xfId="337" applyNumberFormat="1" applyFont="1" applyFill="1" applyBorder="1" applyAlignment="1">
      <alignment horizontal="right"/>
    </xf>
    <xf numFmtId="168" fontId="6" fillId="0" borderId="0" xfId="337" applyNumberFormat="1" applyFont="1" applyFill="1" applyBorder="1" applyAlignment="1">
      <alignment horizontal="right" vertical="center" wrapText="1"/>
    </xf>
    <xf numFmtId="43" fontId="6" fillId="0" borderId="0" xfId="337" applyFont="1" applyFill="1" applyBorder="1"/>
    <xf numFmtId="43" fontId="55" fillId="0" borderId="13" xfId="324" applyNumberFormat="1" applyFont="1" applyBorder="1"/>
    <xf numFmtId="168" fontId="0" fillId="0" borderId="0" xfId="0" applyNumberFormat="1"/>
    <xf numFmtId="178" fontId="61" fillId="0" borderId="0" xfId="0" applyNumberFormat="1" applyFont="1"/>
    <xf numFmtId="178"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8" fontId="63" fillId="0" borderId="0" xfId="0" applyFont="1" applyFill="1" applyBorder="1" applyAlignment="1">
      <alignment horizontal="center" wrapText="1"/>
    </xf>
    <xf numFmtId="178" fontId="0" fillId="0" borderId="0" xfId="0" applyNumberFormat="1" applyFill="1" applyBorder="1"/>
    <xf numFmtId="178" fontId="0" fillId="0" borderId="0" xfId="0" applyBorder="1"/>
    <xf numFmtId="43" fontId="0" fillId="0" borderId="0" xfId="0" applyNumberFormat="1"/>
    <xf numFmtId="10" fontId="0" fillId="0" borderId="0" xfId="0" applyNumberFormat="1" applyFill="1" applyBorder="1"/>
    <xf numFmtId="178" fontId="64" fillId="0" borderId="0" xfId="0" applyNumberFormat="1" applyFont="1" applyFill="1" applyBorder="1" applyAlignment="1" applyProtection="1"/>
    <xf numFmtId="3" fontId="64" fillId="0" borderId="0" xfId="0" applyNumberFormat="1" applyFont="1" applyFill="1" applyBorder="1" applyAlignment="1" applyProtection="1"/>
    <xf numFmtId="1" fontId="0" fillId="0" borderId="0" xfId="0" applyNumberFormat="1" applyFill="1"/>
    <xf numFmtId="1" fontId="64" fillId="0" borderId="0" xfId="0" applyNumberFormat="1" applyFont="1" applyFill="1" applyBorder="1" applyAlignment="1" applyProtection="1"/>
    <xf numFmtId="1" fontId="0" fillId="0" borderId="0" xfId="0" applyNumberFormat="1"/>
    <xf numFmtId="4" fontId="0" fillId="0" borderId="0" xfId="0" applyNumberFormat="1"/>
    <xf numFmtId="178" fontId="64" fillId="0" borderId="0" xfId="0" applyNumberFormat="1" applyFont="1" applyFill="1"/>
    <xf numFmtId="178" fontId="65" fillId="0" borderId="0" xfId="0" applyNumberFormat="1" applyFont="1" applyFill="1" applyBorder="1" applyAlignment="1">
      <alignment horizontal="center"/>
    </xf>
    <xf numFmtId="178" fontId="66" fillId="0" borderId="0" xfId="0" applyNumberFormat="1" applyFont="1"/>
    <xf numFmtId="178" fontId="0" fillId="0" borderId="0" xfId="0" applyNumberFormat="1" applyBorder="1" applyAlignment="1">
      <alignment horizontal="left"/>
    </xf>
    <xf numFmtId="178" fontId="67" fillId="0" borderId="0" xfId="0" applyNumberFormat="1" applyFont="1" applyBorder="1" applyAlignment="1">
      <alignment horizontal="left"/>
    </xf>
    <xf numFmtId="169" fontId="0" fillId="0" borderId="0" xfId="0" applyNumberFormat="1" applyBorder="1" applyAlignment="1">
      <alignment horizontal="left"/>
    </xf>
    <xf numFmtId="43" fontId="68"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68" fontId="0" fillId="0" borderId="0" xfId="0" applyNumberFormat="1" applyBorder="1"/>
    <xf numFmtId="43" fontId="60" fillId="0" borderId="0" xfId="0" applyNumberFormat="1" applyFont="1" applyBorder="1" applyAlignment="1">
      <alignment horizontal="center"/>
    </xf>
    <xf numFmtId="43" fontId="60" fillId="0" borderId="0" xfId="0" applyNumberFormat="1" applyFont="1" applyFill="1" applyBorder="1"/>
    <xf numFmtId="43" fontId="2" fillId="0" borderId="0" xfId="0" applyNumberFormat="1" applyFont="1" applyBorder="1"/>
    <xf numFmtId="43" fontId="2" fillId="0" borderId="0" xfId="0" applyNumberFormat="1" applyFont="1" applyAlignment="1">
      <alignment horizontal="right"/>
    </xf>
    <xf numFmtId="43" fontId="2" fillId="0" borderId="0" xfId="324" applyNumberFormat="1" applyFont="1" applyAlignment="1">
      <alignment horizontal="right"/>
    </xf>
    <xf numFmtId="43" fontId="2" fillId="0" borderId="0" xfId="0" applyNumberFormat="1" applyFont="1"/>
    <xf numFmtId="178" fontId="69" fillId="0" borderId="0" xfId="0" applyNumberFormat="1" applyFont="1" applyFill="1" applyBorder="1" applyAlignment="1">
      <alignment horizontal="center"/>
    </xf>
    <xf numFmtId="43" fontId="65" fillId="0" borderId="0" xfId="0" applyNumberFormat="1" applyFont="1" applyFill="1" applyBorder="1" applyAlignment="1">
      <alignment horizontal="center"/>
    </xf>
    <xf numFmtId="170" fontId="0" fillId="0" borderId="0" xfId="0" applyNumberFormat="1" applyFill="1" applyBorder="1"/>
    <xf numFmtId="43" fontId="60" fillId="27" borderId="13" xfId="324" applyNumberFormat="1" applyFont="1" applyFill="1" applyBorder="1"/>
    <xf numFmtId="178" fontId="0" fillId="0" borderId="0" xfId="0" applyNumberFormat="1"/>
    <xf numFmtId="178" fontId="58" fillId="0" borderId="0" xfId="316" applyAlignment="1" applyProtection="1">
      <alignment horizontal="left" indent="1"/>
    </xf>
    <xf numFmtId="178" fontId="0" fillId="0" borderId="0" xfId="0" applyFill="1"/>
    <xf numFmtId="178" fontId="0" fillId="0" borderId="0" xfId="0" applyFill="1" applyBorder="1"/>
    <xf numFmtId="43" fontId="35" fillId="0" borderId="0" xfId="329" applyFont="1"/>
    <xf numFmtId="43" fontId="35" fillId="0" borderId="0" xfId="329" applyFont="1" applyAlignment="1">
      <alignment horizontal="right"/>
    </xf>
    <xf numFmtId="178" fontId="0" fillId="0" borderId="0" xfId="0" applyNumberFormat="1" applyAlignment="1">
      <alignment horizontal="right"/>
    </xf>
    <xf numFmtId="178" fontId="0" fillId="0" borderId="0" xfId="0" applyAlignment="1">
      <alignment horizontal="right"/>
    </xf>
    <xf numFmtId="178" fontId="70" fillId="0" borderId="0" xfId="0" applyFont="1"/>
    <xf numFmtId="178" fontId="0" fillId="0" borderId="0" xfId="0" applyNumberFormat="1" applyAlignment="1">
      <alignment horizontal="center"/>
    </xf>
    <xf numFmtId="178" fontId="71" fillId="0" borderId="0" xfId="0" applyNumberFormat="1" applyFont="1" applyAlignment="1">
      <alignment horizontal="center" vertical="center"/>
    </xf>
    <xf numFmtId="178" fontId="58" fillId="0" borderId="0" xfId="316" applyNumberFormat="1" applyAlignment="1" applyProtection="1">
      <alignment horizontal="center"/>
    </xf>
    <xf numFmtId="178" fontId="0" fillId="0" borderId="0" xfId="0" applyNumberFormat="1"/>
    <xf numFmtId="178" fontId="72" fillId="0" borderId="0" xfId="0" applyNumberFormat="1" applyFont="1"/>
    <xf numFmtId="178" fontId="0" fillId="0" borderId="0" xfId="0" applyNumberFormat="1" applyFill="1"/>
    <xf numFmtId="178" fontId="0" fillId="0" borderId="0" xfId="0" applyFont="1"/>
    <xf numFmtId="43" fontId="55" fillId="0" borderId="0" xfId="324" applyFont="1"/>
    <xf numFmtId="17" fontId="60" fillId="27" borderId="13" xfId="0" applyNumberFormat="1" applyFont="1" applyFill="1" applyBorder="1" applyAlignment="1">
      <alignment horizontal="center"/>
    </xf>
    <xf numFmtId="178" fontId="64" fillId="0" borderId="0" xfId="0" applyFont="1"/>
    <xf numFmtId="168" fontId="73" fillId="0" borderId="0" xfId="0" applyNumberFormat="1" applyFont="1" applyFill="1" applyBorder="1" applyAlignment="1">
      <alignment horizontal="center"/>
    </xf>
    <xf numFmtId="178" fontId="0" fillId="0" borderId="0" xfId="0" applyNumberFormat="1" applyBorder="1"/>
    <xf numFmtId="10" fontId="55" fillId="0" borderId="0" xfId="552" applyNumberFormat="1" applyFont="1"/>
    <xf numFmtId="168" fontId="55" fillId="0" borderId="0" xfId="324" applyNumberFormat="1" applyFont="1"/>
    <xf numFmtId="178" fontId="60" fillId="0" borderId="0" xfId="0" applyFont="1"/>
    <xf numFmtId="178" fontId="74" fillId="0" borderId="0" xfId="0" applyNumberFormat="1" applyFont="1" applyAlignment="1">
      <alignment horizontal="left" wrapText="1"/>
    </xf>
    <xf numFmtId="178" fontId="59" fillId="0" borderId="0" xfId="0" applyNumberFormat="1" applyFont="1" applyFill="1" applyBorder="1"/>
    <xf numFmtId="178" fontId="59" fillId="0" borderId="0" xfId="0" applyFont="1" applyFill="1" applyBorder="1"/>
    <xf numFmtId="178" fontId="56" fillId="0" borderId="0" xfId="0" applyFont="1"/>
    <xf numFmtId="178" fontId="56" fillId="0" borderId="0" xfId="0" applyFont="1" applyFill="1" applyBorder="1"/>
    <xf numFmtId="43" fontId="56" fillId="0" borderId="0" xfId="0" applyNumberFormat="1" applyFont="1" applyFill="1" applyBorder="1"/>
    <xf numFmtId="178" fontId="56" fillId="0" borderId="0" xfId="0" applyFont="1" applyFill="1" applyBorder="1" applyAlignment="1"/>
    <xf numFmtId="178" fontId="0" fillId="0" borderId="0" xfId="0" applyFill="1" applyBorder="1" applyAlignment="1"/>
    <xf numFmtId="176" fontId="55" fillId="0" borderId="0" xfId="324" applyNumberFormat="1" applyFont="1" applyFill="1"/>
    <xf numFmtId="43" fontId="55" fillId="0" borderId="0" xfId="324" applyFont="1" applyFill="1"/>
    <xf numFmtId="178" fontId="64" fillId="0" borderId="0" xfId="0" applyNumberFormat="1" applyFont="1" applyFill="1" applyBorder="1" applyAlignment="1" applyProtection="1"/>
    <xf numFmtId="3" fontId="75" fillId="0" borderId="0" xfId="0" applyNumberFormat="1" applyFont="1" applyFill="1" applyBorder="1" applyAlignment="1" applyProtection="1"/>
    <xf numFmtId="178" fontId="76" fillId="0" borderId="0" xfId="0" applyFont="1"/>
    <xf numFmtId="178" fontId="62" fillId="0" borderId="0" xfId="348" applyFont="1" applyFill="1" applyBorder="1"/>
    <xf numFmtId="43" fontId="64" fillId="0" borderId="13" xfId="333" applyNumberFormat="1" applyFont="1" applyBorder="1" applyAlignment="1">
      <alignment horizontal="right" vertical="top"/>
    </xf>
    <xf numFmtId="43" fontId="64" fillId="0" borderId="13" xfId="337" applyNumberFormat="1" applyFont="1" applyFill="1" applyBorder="1"/>
    <xf numFmtId="3" fontId="64" fillId="0" borderId="13" xfId="0" applyNumberFormat="1" applyFont="1" applyFill="1" applyBorder="1" applyAlignment="1" applyProtection="1"/>
    <xf numFmtId="168" fontId="60" fillId="27" borderId="13" xfId="0" applyNumberFormat="1" applyFont="1" applyFill="1" applyBorder="1"/>
    <xf numFmtId="43" fontId="64" fillId="0" borderId="13" xfId="395" applyNumberFormat="1" applyFont="1" applyFill="1" applyBorder="1" applyAlignment="1">
      <alignment horizontal="right"/>
    </xf>
    <xf numFmtId="43" fontId="55" fillId="0" borderId="0" xfId="324" applyFont="1" applyBorder="1"/>
    <xf numFmtId="168" fontId="55" fillId="0" borderId="0" xfId="324" applyNumberFormat="1" applyFont="1" applyBorder="1"/>
    <xf numFmtId="49" fontId="0" fillId="0" borderId="0" xfId="0" applyNumberFormat="1" applyBorder="1"/>
    <xf numFmtId="178" fontId="78" fillId="0" borderId="0" xfId="0" applyFont="1" applyBorder="1" applyAlignment="1">
      <alignment vertical="top" wrapText="1"/>
    </xf>
    <xf numFmtId="178" fontId="78" fillId="0" borderId="0" xfId="0" applyFont="1" applyBorder="1" applyAlignment="1">
      <alignment vertical="top"/>
    </xf>
    <xf numFmtId="176" fontId="55" fillId="0" borderId="13" xfId="324" applyNumberFormat="1" applyFont="1" applyBorder="1"/>
    <xf numFmtId="2" fontId="60" fillId="27" borderId="13" xfId="0" applyNumberFormat="1" applyFont="1" applyFill="1" applyBorder="1" applyAlignment="1">
      <alignment horizontal="center"/>
    </xf>
    <xf numFmtId="14" fontId="0" fillId="0" borderId="0" xfId="0" applyNumberFormat="1" applyBorder="1"/>
    <xf numFmtId="174" fontId="0" fillId="0" borderId="0" xfId="0" applyNumberFormat="1" applyBorder="1"/>
    <xf numFmtId="178" fontId="62" fillId="0" borderId="0" xfId="348" applyFont="1" applyBorder="1"/>
    <xf numFmtId="43" fontId="0" fillId="28" borderId="0" xfId="0" applyNumberFormat="1" applyFill="1"/>
    <xf numFmtId="178" fontId="0" fillId="28" borderId="0" xfId="0" applyFill="1" applyBorder="1" applyAlignment="1"/>
    <xf numFmtId="178" fontId="0" fillId="28" borderId="0" xfId="0" applyFill="1"/>
    <xf numFmtId="178" fontId="0" fillId="28" borderId="0" xfId="0" applyNumberFormat="1" applyFill="1" applyBorder="1"/>
    <xf numFmtId="178" fontId="0" fillId="28" borderId="0" xfId="0" applyNumberFormat="1" applyFill="1"/>
    <xf numFmtId="43" fontId="2" fillId="28" borderId="0" xfId="0" applyNumberFormat="1" applyFont="1" applyFill="1" applyBorder="1"/>
    <xf numFmtId="178" fontId="64" fillId="28" borderId="0" xfId="0" applyNumberFormat="1" applyFont="1" applyFill="1" applyBorder="1" applyAlignment="1" applyProtection="1"/>
    <xf numFmtId="178" fontId="74" fillId="28" borderId="0" xfId="0" applyFont="1" applyFill="1"/>
    <xf numFmtId="178" fontId="0" fillId="28" borderId="0" xfId="0" applyFill="1" applyBorder="1"/>
    <xf numFmtId="43" fontId="0" fillId="28" borderId="0" xfId="0" applyNumberFormat="1" applyFill="1" applyBorder="1"/>
    <xf numFmtId="178" fontId="56" fillId="28" borderId="0" xfId="0" applyFont="1" applyFill="1" applyBorder="1"/>
    <xf numFmtId="3" fontId="0" fillId="0" borderId="0" xfId="0" applyNumberFormat="1" applyBorder="1"/>
    <xf numFmtId="178" fontId="79" fillId="0" borderId="0" xfId="316" applyNumberFormat="1" applyFont="1" applyAlignment="1" applyProtection="1">
      <alignment horizontal="center"/>
    </xf>
    <xf numFmtId="178" fontId="80" fillId="0" borderId="0" xfId="316" applyNumberFormat="1" applyFont="1" applyAlignment="1" applyProtection="1">
      <alignment horizontal="left" indent="1"/>
    </xf>
    <xf numFmtId="178" fontId="81" fillId="0" borderId="0" xfId="316" applyFont="1" applyAlignment="1" applyProtection="1">
      <alignment horizontal="left" indent="1"/>
    </xf>
    <xf numFmtId="178" fontId="82" fillId="0" borderId="0" xfId="316" applyFont="1" applyAlignment="1" applyProtection="1">
      <alignment horizontal="left" vertical="top" wrapText="1" indent="1"/>
    </xf>
    <xf numFmtId="178" fontId="55" fillId="0" borderId="0" xfId="443" applyFont="1"/>
    <xf numFmtId="178" fontId="55" fillId="0" borderId="0" xfId="443" applyFont="1" applyFill="1"/>
    <xf numFmtId="178" fontId="55" fillId="0" borderId="0" xfId="443" applyFont="1" applyBorder="1"/>
    <xf numFmtId="178" fontId="0" fillId="0" borderId="0" xfId="0"/>
    <xf numFmtId="178" fontId="0" fillId="0" borderId="0" xfId="0" applyNumberFormat="1" applyBorder="1" applyAlignment="1">
      <alignment horizontal="right"/>
    </xf>
    <xf numFmtId="178" fontId="66" fillId="0" borderId="0" xfId="0" applyNumberFormat="1" applyFont="1" applyBorder="1"/>
    <xf numFmtId="178" fontId="0" fillId="0" borderId="0" xfId="0" applyNumberFormat="1" applyBorder="1" applyAlignment="1">
      <alignment horizontal="center"/>
    </xf>
    <xf numFmtId="43" fontId="35" fillId="0" borderId="0" xfId="329" applyFont="1" applyBorder="1"/>
    <xf numFmtId="178" fontId="64" fillId="0" borderId="0" xfId="0" applyFont="1" applyBorder="1"/>
    <xf numFmtId="178" fontId="59" fillId="0" borderId="0" xfId="0" applyFont="1" applyBorder="1"/>
    <xf numFmtId="178" fontId="55" fillId="0" borderId="0" xfId="447" applyFont="1"/>
    <xf numFmtId="178" fontId="55" fillId="0" borderId="0" xfId="447" applyFont="1" applyAlignment="1"/>
    <xf numFmtId="10" fontId="55" fillId="0" borderId="0" xfId="447" applyNumberFormat="1" applyFont="1" applyBorder="1"/>
    <xf numFmtId="176" fontId="3" fillId="0" borderId="0" xfId="324" applyNumberFormat="1" applyFont="1" applyBorder="1"/>
    <xf numFmtId="178" fontId="55" fillId="0" borderId="0" xfId="447" applyFont="1" applyBorder="1"/>
    <xf numFmtId="178" fontId="55" fillId="0" borderId="0" xfId="451" applyFont="1"/>
    <xf numFmtId="43" fontId="55" fillId="0" borderId="0" xfId="324" applyFont="1" applyFill="1" applyBorder="1"/>
    <xf numFmtId="178" fontId="58" fillId="0" borderId="0" xfId="316" applyAlignment="1" applyProtection="1">
      <alignment horizontal="left" vertical="top" wrapText="1" indent="7"/>
    </xf>
    <xf numFmtId="178" fontId="58" fillId="0" borderId="0" xfId="316" applyFill="1" applyAlignment="1" applyProtection="1">
      <alignment horizontal="left" indent="4"/>
    </xf>
    <xf numFmtId="175" fontId="0" fillId="0" borderId="0" xfId="0" applyNumberFormat="1" applyFill="1" applyBorder="1"/>
    <xf numFmtId="175" fontId="74" fillId="0" borderId="0" xfId="0" applyNumberFormat="1" applyFont="1" applyFill="1" applyBorder="1" applyAlignment="1">
      <alignment horizontal="left" indent="1"/>
    </xf>
    <xf numFmtId="173" fontId="0" fillId="0" borderId="0" xfId="0" applyNumberFormat="1"/>
    <xf numFmtId="49" fontId="31" fillId="0" borderId="0" xfId="362" applyNumberFormat="1" applyFont="1" applyFill="1" applyBorder="1" applyAlignment="1">
      <alignment vertical="center" wrapText="1"/>
    </xf>
    <xf numFmtId="178" fontId="0" fillId="0" borderId="0" xfId="0" applyBorder="1"/>
    <xf numFmtId="178" fontId="0" fillId="0" borderId="0" xfId="0" applyNumberFormat="1" applyBorder="1"/>
    <xf numFmtId="168" fontId="2" fillId="0" borderId="0" xfId="337" applyNumberFormat="1" applyFont="1" applyBorder="1"/>
    <xf numFmtId="178" fontId="0" fillId="0" borderId="0" xfId="0" applyNumberFormat="1"/>
    <xf numFmtId="178" fontId="64" fillId="28" borderId="0" xfId="0" applyFont="1" applyFill="1" applyBorder="1"/>
    <xf numFmtId="43" fontId="64" fillId="28" borderId="0" xfId="0" applyNumberFormat="1" applyFont="1" applyFill="1" applyBorder="1"/>
    <xf numFmtId="43" fontId="64" fillId="28" borderId="0" xfId="0" applyNumberFormat="1" applyFont="1" applyFill="1"/>
    <xf numFmtId="178" fontId="0" fillId="28" borderId="0" xfId="0" applyNumberFormat="1" applyFill="1"/>
    <xf numFmtId="176" fontId="55" fillId="0" borderId="13" xfId="324" applyNumberFormat="1" applyFont="1" applyBorder="1" applyAlignment="1">
      <alignment horizontal="center"/>
    </xf>
    <xf numFmtId="176" fontId="60" fillId="27" borderId="13" xfId="324" applyNumberFormat="1" applyFont="1" applyFill="1" applyBorder="1"/>
    <xf numFmtId="3" fontId="62" fillId="0" borderId="13" xfId="0" applyNumberFormat="1" applyFont="1" applyFill="1" applyBorder="1" applyAlignment="1" applyProtection="1"/>
    <xf numFmtId="40" fontId="72" fillId="0" borderId="13" xfId="0" applyNumberFormat="1" applyFont="1" applyFill="1" applyBorder="1"/>
    <xf numFmtId="49" fontId="83" fillId="27" borderId="13" xfId="0" applyNumberFormat="1" applyFont="1" applyFill="1" applyBorder="1" applyAlignment="1">
      <alignment horizontal="center"/>
    </xf>
    <xf numFmtId="41" fontId="72" fillId="0" borderId="13" xfId="0" applyNumberFormat="1" applyFont="1" applyBorder="1"/>
    <xf numFmtId="41" fontId="72" fillId="0" borderId="13" xfId="0" applyNumberFormat="1" applyFont="1" applyBorder="1" applyAlignment="1">
      <alignment horizontal="center"/>
    </xf>
    <xf numFmtId="173" fontId="72" fillId="0" borderId="13" xfId="0" applyNumberFormat="1" applyFont="1" applyBorder="1" applyAlignment="1">
      <alignment horizontal="center"/>
    </xf>
    <xf numFmtId="2" fontId="83" fillId="0" borderId="13" xfId="0" applyNumberFormat="1" applyFont="1" applyBorder="1" applyAlignment="1">
      <alignment horizontal="center"/>
    </xf>
    <xf numFmtId="43" fontId="62" fillId="0" borderId="13" xfId="337" applyNumberFormat="1" applyFont="1" applyFill="1" applyBorder="1"/>
    <xf numFmtId="178" fontId="83" fillId="27" borderId="13" xfId="0" applyNumberFormat="1" applyFont="1" applyFill="1" applyBorder="1" applyAlignment="1">
      <alignment horizontal="center" vertical="center" wrapText="1"/>
    </xf>
    <xf numFmtId="43" fontId="72" fillId="0" borderId="13" xfId="0" applyNumberFormat="1" applyFont="1" applyBorder="1"/>
    <xf numFmtId="168" fontId="62" fillId="28" borderId="13" xfId="395" applyNumberFormat="1" applyFont="1" applyFill="1" applyBorder="1" applyAlignment="1">
      <alignment horizontal="center" vertical="center"/>
    </xf>
    <xf numFmtId="173" fontId="62" fillId="28" borderId="13" xfId="395" applyNumberFormat="1" applyFont="1" applyFill="1" applyBorder="1" applyAlignment="1">
      <alignment horizontal="center" vertical="center"/>
    </xf>
    <xf numFmtId="168" fontId="72" fillId="0" borderId="13" xfId="324" applyNumberFormat="1" applyFont="1" applyBorder="1"/>
    <xf numFmtId="43" fontId="64" fillId="28" borderId="13" xfId="333" applyNumberFormat="1" applyFont="1" applyFill="1" applyBorder="1" applyAlignment="1">
      <alignment horizontal="right" vertical="top"/>
    </xf>
    <xf numFmtId="43" fontId="60" fillId="27" borderId="13" xfId="0" applyNumberFormat="1" applyFont="1" applyFill="1" applyBorder="1" applyAlignment="1">
      <alignment horizontal="center" vertical="center" wrapText="1"/>
    </xf>
    <xf numFmtId="43" fontId="60" fillId="27" borderId="13" xfId="0" applyNumberFormat="1" applyFont="1" applyFill="1" applyBorder="1" applyAlignment="1">
      <alignment horizontal="center"/>
    </xf>
    <xf numFmtId="168" fontId="72" fillId="0" borderId="13" xfId="0" applyNumberFormat="1" applyFont="1" applyBorder="1" applyAlignment="1">
      <alignment horizontal="center"/>
    </xf>
    <xf numFmtId="43" fontId="72" fillId="0" borderId="13" xfId="324" applyNumberFormat="1" applyFont="1" applyBorder="1" applyAlignment="1">
      <alignment horizontal="center"/>
    </xf>
    <xf numFmtId="178" fontId="86" fillId="0" borderId="0" xfId="316" applyFont="1" applyAlignment="1" applyProtection="1">
      <alignment vertical="center"/>
    </xf>
    <xf numFmtId="178" fontId="87" fillId="0" borderId="0" xfId="316" applyFont="1" applyAlignment="1" applyProtection="1">
      <alignment horizontal="left" indent="1"/>
    </xf>
    <xf numFmtId="178" fontId="88" fillId="0" borderId="0" xfId="316" applyFont="1" applyFill="1" applyAlignment="1" applyProtection="1">
      <alignment horizontal="left" indent="1"/>
    </xf>
    <xf numFmtId="178" fontId="88" fillId="0" borderId="0" xfId="316" applyFont="1" applyFill="1" applyAlignment="1" applyProtection="1">
      <alignment horizontal="left" indent="2"/>
    </xf>
    <xf numFmtId="178" fontId="58" fillId="0" borderId="0" xfId="316" quotePrefix="1" applyNumberFormat="1" applyAlignment="1" applyProtection="1"/>
    <xf numFmtId="178" fontId="58" fillId="0" borderId="0" xfId="316" applyAlignment="1" applyProtection="1"/>
    <xf numFmtId="178" fontId="60" fillId="27" borderId="13" xfId="0" applyNumberFormat="1" applyFont="1" applyFill="1" applyBorder="1" applyAlignment="1">
      <alignment horizontal="center"/>
    </xf>
    <xf numFmtId="49" fontId="83" fillId="27" borderId="13" xfId="0" applyNumberFormat="1" applyFont="1" applyFill="1" applyBorder="1" applyAlignment="1">
      <alignment horizontal="center" vertical="center"/>
    </xf>
    <xf numFmtId="40" fontId="62" fillId="0" borderId="13" xfId="336" applyNumberFormat="1" applyFont="1" applyFill="1" applyBorder="1"/>
    <xf numFmtId="40" fontId="62" fillId="0" borderId="13" xfId="0" applyNumberFormat="1" applyFont="1" applyFill="1" applyBorder="1"/>
    <xf numFmtId="40" fontId="62" fillId="0" borderId="13" xfId="336" applyNumberFormat="1" applyFont="1" applyFill="1" applyBorder="1" applyAlignment="1">
      <alignment horizontal="right"/>
    </xf>
    <xf numFmtId="40" fontId="62" fillId="0" borderId="13" xfId="0" applyNumberFormat="1" applyFont="1" applyFill="1" applyBorder="1" applyAlignment="1">
      <alignment vertical="center"/>
    </xf>
    <xf numFmtId="43" fontId="62" fillId="0" borderId="13" xfId="337" applyNumberFormat="1" applyFont="1" applyBorder="1"/>
    <xf numFmtId="3" fontId="62" fillId="0" borderId="13" xfId="389" applyNumberFormat="1" applyFont="1" applyFill="1" applyBorder="1" applyAlignment="1" applyProtection="1">
      <alignment horizontal="right"/>
    </xf>
    <xf numFmtId="178" fontId="84" fillId="27" borderId="13" xfId="0" applyNumberFormat="1" applyFont="1" applyFill="1" applyBorder="1" applyAlignment="1">
      <alignment horizontal="center" vertical="center" wrapText="1"/>
    </xf>
    <xf numFmtId="38" fontId="72" fillId="0" borderId="13" xfId="324" applyNumberFormat="1" applyFont="1" applyBorder="1" applyAlignment="1">
      <alignment horizontal="center"/>
    </xf>
    <xf numFmtId="43" fontId="62" fillId="28" borderId="13" xfId="0" applyNumberFormat="1" applyFont="1" applyFill="1" applyBorder="1" applyAlignment="1">
      <alignment horizontal="right"/>
    </xf>
    <xf numFmtId="10" fontId="72" fillId="0" borderId="13" xfId="0" applyNumberFormat="1" applyFont="1" applyFill="1" applyBorder="1"/>
    <xf numFmtId="43" fontId="62" fillId="28" borderId="13" xfId="324" applyNumberFormat="1" applyFont="1" applyFill="1" applyBorder="1" applyAlignment="1">
      <alignment horizontal="right"/>
    </xf>
    <xf numFmtId="43" fontId="62" fillId="0" borderId="13" xfId="0" applyNumberFormat="1" applyFont="1" applyFill="1" applyBorder="1" applyAlignment="1">
      <alignment horizontal="right"/>
    </xf>
    <xf numFmtId="43" fontId="62" fillId="0" borderId="13" xfId="324" applyNumberFormat="1" applyFont="1" applyFill="1" applyBorder="1" applyAlignment="1">
      <alignment horizontal="right"/>
    </xf>
    <xf numFmtId="43" fontId="72" fillId="0" borderId="13" xfId="443" applyNumberFormat="1" applyFont="1" applyBorder="1" applyAlignment="1"/>
    <xf numFmtId="178" fontId="90" fillId="31" borderId="0" xfId="0" applyFont="1" applyFill="1" applyBorder="1" applyAlignment="1">
      <alignment vertical="center" wrapText="1"/>
    </xf>
    <xf numFmtId="10" fontId="78" fillId="0" borderId="0" xfId="0" applyNumberFormat="1" applyFont="1" applyBorder="1" applyAlignment="1">
      <alignment vertical="top" wrapText="1"/>
    </xf>
    <xf numFmtId="168" fontId="78" fillId="0" borderId="0" xfId="324" applyNumberFormat="1" applyFont="1" applyBorder="1" applyAlignment="1">
      <alignment vertical="top" wrapText="1"/>
    </xf>
    <xf numFmtId="1" fontId="78" fillId="0" borderId="0" xfId="0" applyNumberFormat="1" applyFont="1" applyBorder="1" applyAlignment="1">
      <alignment vertical="top" wrapText="1"/>
    </xf>
    <xf numFmtId="17" fontId="83" fillId="27" borderId="13" xfId="0" applyNumberFormat="1" applyFont="1" applyFill="1" applyBorder="1" applyAlignment="1">
      <alignment horizontal="center" vertical="center"/>
    </xf>
    <xf numFmtId="178" fontId="62" fillId="0" borderId="0" xfId="348" applyNumberFormat="1" applyFont="1" applyBorder="1"/>
    <xf numFmtId="3" fontId="39" fillId="25" borderId="0" xfId="0" applyNumberFormat="1" applyFont="1" applyFill="1" applyBorder="1" applyAlignment="1">
      <alignment horizontal="center"/>
    </xf>
    <xf numFmtId="3" fontId="39" fillId="0" borderId="0" xfId="0" applyNumberFormat="1" applyFont="1" applyFill="1" applyBorder="1" applyAlignment="1">
      <alignment horizontal="center"/>
    </xf>
    <xf numFmtId="2" fontId="0" fillId="0" borderId="0" xfId="0" applyNumberFormat="1" applyBorder="1"/>
    <xf numFmtId="17" fontId="83" fillId="27" borderId="13" xfId="0" applyNumberFormat="1" applyFont="1" applyFill="1" applyBorder="1" applyAlignment="1">
      <alignment horizontal="center"/>
    </xf>
    <xf numFmtId="178" fontId="55" fillId="0" borderId="0" xfId="451" applyFont="1" applyBorder="1"/>
    <xf numFmtId="178" fontId="55" fillId="0" borderId="0" xfId="451" applyFont="1" applyBorder="1" applyAlignment="1"/>
    <xf numFmtId="168" fontId="72" fillId="0" borderId="13" xfId="324" applyNumberFormat="1" applyFont="1" applyBorder="1" applyAlignment="1">
      <alignment horizontal="center"/>
    </xf>
    <xf numFmtId="168" fontId="0" fillId="0" borderId="13" xfId="0" applyNumberFormat="1" applyBorder="1"/>
    <xf numFmtId="43" fontId="2" fillId="0" borderId="0" xfId="0" applyNumberFormat="1" applyFont="1" applyBorder="1" applyAlignment="1">
      <alignment horizontal="right"/>
    </xf>
    <xf numFmtId="43" fontId="2" fillId="0" borderId="0" xfId="324" applyNumberFormat="1" applyFont="1" applyBorder="1" applyAlignment="1">
      <alignment horizontal="right"/>
    </xf>
    <xf numFmtId="178" fontId="0" fillId="0" borderId="0" xfId="0" applyBorder="1" applyAlignment="1">
      <alignment horizontal="center"/>
    </xf>
    <xf numFmtId="168" fontId="62" fillId="0" borderId="13" xfId="337" applyNumberFormat="1" applyFont="1" applyBorder="1" applyAlignment="1"/>
    <xf numFmtId="40" fontId="62" fillId="28" borderId="13" xfId="329" applyNumberFormat="1" applyFont="1" applyFill="1" applyBorder="1" applyAlignment="1"/>
    <xf numFmtId="40" fontId="72" fillId="28" borderId="13" xfId="389" applyNumberFormat="1" applyFont="1" applyFill="1" applyBorder="1"/>
    <xf numFmtId="17" fontId="84" fillId="27" borderId="13" xfId="348" applyNumberFormat="1" applyFont="1" applyFill="1" applyBorder="1" applyAlignment="1">
      <alignment horizontal="center" vertical="center"/>
    </xf>
    <xf numFmtId="3" fontId="72" fillId="28" borderId="13" xfId="0" applyNumberFormat="1" applyFont="1" applyFill="1" applyBorder="1" applyAlignment="1">
      <alignment horizontal="right"/>
    </xf>
    <xf numFmtId="178" fontId="0" fillId="0" borderId="0" xfId="0" applyNumberFormat="1" applyFont="1"/>
    <xf numFmtId="49" fontId="84" fillId="27" borderId="13" xfId="0" applyNumberFormat="1" applyFont="1" applyFill="1" applyBorder="1" applyAlignment="1">
      <alignment horizontal="center" vertical="center"/>
    </xf>
    <xf numFmtId="10" fontId="72" fillId="0" borderId="13" xfId="451" applyNumberFormat="1" applyFont="1" applyBorder="1"/>
    <xf numFmtId="43" fontId="72" fillId="28" borderId="0" xfId="0" applyNumberFormat="1" applyFont="1" applyFill="1"/>
    <xf numFmtId="173" fontId="72" fillId="0" borderId="13" xfId="0" applyNumberFormat="1" applyFont="1" applyFill="1" applyBorder="1" applyAlignment="1"/>
    <xf numFmtId="10" fontId="72" fillId="0" borderId="13" xfId="0" applyNumberFormat="1" applyFont="1" applyFill="1" applyBorder="1" applyAlignment="1"/>
    <xf numFmtId="178" fontId="91" fillId="28" borderId="0" xfId="0" applyFont="1" applyFill="1" applyBorder="1" applyAlignment="1">
      <alignment vertical="center" wrapText="1"/>
    </xf>
    <xf numFmtId="178" fontId="92" fillId="0" borderId="0" xfId="0" applyFont="1"/>
    <xf numFmtId="168" fontId="95" fillId="0" borderId="0" xfId="324" applyNumberFormat="1" applyFont="1"/>
    <xf numFmtId="178" fontId="96" fillId="0" borderId="0" xfId="0" applyNumberFormat="1" applyFont="1" applyBorder="1"/>
    <xf numFmtId="171" fontId="0" fillId="0" borderId="0" xfId="0" applyNumberFormat="1" applyFill="1" applyBorder="1"/>
    <xf numFmtId="3" fontId="75" fillId="0" borderId="13" xfId="329" applyNumberFormat="1" applyFont="1" applyBorder="1" applyAlignment="1">
      <alignment horizontal="right"/>
    </xf>
    <xf numFmtId="3" fontId="75" fillId="0" borderId="13" xfId="395" applyNumberFormat="1" applyFont="1" applyFill="1" applyBorder="1"/>
    <xf numFmtId="3" fontId="75" fillId="0" borderId="13" xfId="337" applyNumberFormat="1" applyFont="1" applyBorder="1" applyAlignment="1"/>
    <xf numFmtId="43" fontId="55" fillId="32" borderId="13" xfId="324" applyNumberFormat="1" applyFont="1" applyFill="1" applyBorder="1"/>
    <xf numFmtId="3" fontId="42" fillId="25" borderId="0" xfId="0" applyNumberFormat="1" applyFont="1" applyFill="1" applyBorder="1" applyAlignment="1">
      <alignment horizontal="center"/>
    </xf>
    <xf numFmtId="178" fontId="0" fillId="0" borderId="0" xfId="0" applyNumberFormat="1" applyFill="1" applyBorder="1"/>
    <xf numFmtId="3" fontId="42" fillId="0" borderId="0" xfId="0" applyNumberFormat="1" applyFont="1" applyFill="1" applyBorder="1" applyAlignment="1">
      <alignment horizontal="center"/>
    </xf>
    <xf numFmtId="178" fontId="97" fillId="0" borderId="0" xfId="0" applyFont="1"/>
    <xf numFmtId="173" fontId="55" fillId="0" borderId="13" xfId="389" applyNumberFormat="1" applyFont="1" applyBorder="1"/>
    <xf numFmtId="3" fontId="43" fillId="0" borderId="0" xfId="0" applyNumberFormat="1" applyFont="1" applyFill="1" applyBorder="1" applyAlignment="1">
      <alignment horizontal="center" vertical="top"/>
    </xf>
    <xf numFmtId="3" fontId="43" fillId="0" borderId="0" xfId="0" applyNumberFormat="1" applyFont="1" applyFill="1" applyBorder="1" applyAlignment="1">
      <alignment horizontal="center"/>
    </xf>
    <xf numFmtId="178" fontId="55" fillId="0" borderId="0" xfId="392" applyFont="1"/>
    <xf numFmtId="178" fontId="98" fillId="0" borderId="0" xfId="392" applyFont="1" applyAlignment="1">
      <alignment horizontal="center"/>
    </xf>
    <xf numFmtId="43" fontId="55" fillId="0" borderId="0" xfId="392" applyNumberFormat="1" applyFont="1"/>
    <xf numFmtId="43" fontId="55" fillId="0" borderId="0" xfId="443" applyNumberFormat="1" applyFont="1"/>
    <xf numFmtId="43" fontId="72" fillId="0" borderId="0" xfId="0" applyNumberFormat="1" applyFont="1" applyFill="1" applyBorder="1" applyAlignment="1">
      <alignment horizontal="left"/>
    </xf>
    <xf numFmtId="2" fontId="0" fillId="0" borderId="0" xfId="0" applyNumberFormat="1"/>
    <xf numFmtId="181" fontId="55" fillId="0" borderId="0" xfId="389" applyNumberFormat="1" applyFont="1"/>
    <xf numFmtId="168" fontId="64" fillId="0" borderId="13" xfId="395" applyNumberFormat="1" applyFont="1" applyBorder="1" applyAlignment="1">
      <alignment horizontal="right"/>
    </xf>
    <xf numFmtId="10" fontId="64" fillId="0" borderId="13" xfId="395" applyNumberFormat="1" applyFont="1" applyBorder="1" applyAlignment="1">
      <alignment horizontal="right"/>
    </xf>
    <xf numFmtId="41" fontId="64" fillId="0" borderId="13" xfId="395" applyNumberFormat="1" applyFont="1" applyBorder="1" applyAlignment="1">
      <alignment horizontal="right"/>
    </xf>
    <xf numFmtId="173" fontId="64" fillId="0" borderId="13" xfId="395" applyNumberFormat="1" applyFont="1" applyBorder="1" applyAlignment="1">
      <alignment horizontal="right"/>
    </xf>
    <xf numFmtId="168" fontId="64" fillId="0" borderId="13" xfId="395" applyNumberFormat="1" applyFont="1" applyBorder="1" applyAlignment="1">
      <alignment horizontal="right" indent="2"/>
    </xf>
    <xf numFmtId="173" fontId="0" fillId="0" borderId="13" xfId="0" applyNumberFormat="1" applyFont="1" applyBorder="1"/>
    <xf numFmtId="43" fontId="0" fillId="0" borderId="13" xfId="0" applyNumberFormat="1" applyFont="1" applyBorder="1"/>
    <xf numFmtId="178" fontId="88" fillId="28" borderId="0" xfId="316" applyFont="1" applyFill="1" applyAlignment="1" applyProtection="1">
      <alignment horizontal="left" indent="1"/>
    </xf>
    <xf numFmtId="178" fontId="58" fillId="28" borderId="0" xfId="316" applyFill="1" applyAlignment="1" applyProtection="1">
      <alignment horizontal="left" vertical="top" wrapText="1" indent="7"/>
    </xf>
    <xf numFmtId="178" fontId="58" fillId="0" borderId="0" xfId="316" applyFill="1" applyAlignment="1" applyProtection="1">
      <alignment horizontal="left" indent="7"/>
    </xf>
    <xf numFmtId="10" fontId="55" fillId="0" borderId="0" xfId="324" applyNumberFormat="1" applyFont="1" applyBorder="1"/>
    <xf numFmtId="178" fontId="99" fillId="33" borderId="0" xfId="0" applyFont="1" applyFill="1" applyBorder="1" applyAlignment="1">
      <alignment horizontal="center" vertical="top" wrapText="1"/>
    </xf>
    <xf numFmtId="10" fontId="55" fillId="0" borderId="0" xfId="447" applyNumberFormat="1" applyFont="1"/>
    <xf numFmtId="178" fontId="83" fillId="27" borderId="13" xfId="0" applyNumberFormat="1" applyFont="1" applyFill="1" applyBorder="1" applyAlignment="1">
      <alignment horizontal="center" vertical="center"/>
    </xf>
    <xf numFmtId="10" fontId="62" fillId="0" borderId="13" xfId="337" applyNumberFormat="1" applyFont="1" applyBorder="1" applyAlignment="1"/>
    <xf numFmtId="178" fontId="99" fillId="31" borderId="15" xfId="0" applyFont="1" applyFill="1" applyBorder="1" applyAlignment="1">
      <alignment vertical="center" wrapText="1"/>
    </xf>
    <xf numFmtId="178" fontId="74" fillId="0" borderId="0" xfId="0" applyFont="1"/>
    <xf numFmtId="178" fontId="83" fillId="27" borderId="13" xfId="0" applyNumberFormat="1" applyFont="1" applyFill="1" applyBorder="1" applyAlignment="1">
      <alignment horizontal="center" vertical="center"/>
    </xf>
    <xf numFmtId="178" fontId="83" fillId="27" borderId="13" xfId="0" applyNumberFormat="1" applyFont="1" applyFill="1" applyBorder="1" applyAlignment="1">
      <alignment horizontal="center" vertical="center"/>
    </xf>
    <xf numFmtId="168" fontId="6" fillId="0" borderId="0" xfId="329" applyNumberFormat="1" applyFont="1" applyFill="1" applyBorder="1" applyAlignment="1">
      <alignment horizontal="center"/>
    </xf>
    <xf numFmtId="178" fontId="100" fillId="0" borderId="0" xfId="0" applyFont="1" applyBorder="1"/>
    <xf numFmtId="168" fontId="46" fillId="0" borderId="0" xfId="329" applyNumberFormat="1" applyFont="1" applyFill="1" applyBorder="1" applyAlignment="1">
      <alignment horizontal="center"/>
    </xf>
    <xf numFmtId="168" fontId="47" fillId="0" borderId="0" xfId="337" applyNumberFormat="1" applyFont="1" applyBorder="1"/>
    <xf numFmtId="3" fontId="47" fillId="0" borderId="0" xfId="504" applyNumberFormat="1" applyFont="1" applyBorder="1" applyAlignment="1">
      <alignment horizontal="right"/>
    </xf>
    <xf numFmtId="2" fontId="47" fillId="0" borderId="0" xfId="504" applyNumberFormat="1" applyFont="1" applyBorder="1" applyAlignment="1">
      <alignment horizontal="center"/>
    </xf>
    <xf numFmtId="168" fontId="101" fillId="0" borderId="0" xfId="395" applyNumberFormat="1" applyFont="1" applyBorder="1" applyAlignment="1">
      <alignment horizontal="right" indent="2"/>
    </xf>
    <xf numFmtId="168" fontId="62" fillId="28" borderId="0" xfId="395" applyNumberFormat="1" applyFont="1" applyFill="1" applyBorder="1" applyAlignment="1">
      <alignment horizontal="center" vertical="center"/>
    </xf>
    <xf numFmtId="43" fontId="64" fillId="0" borderId="0" xfId="0" applyNumberFormat="1" applyFont="1" applyBorder="1"/>
    <xf numFmtId="178" fontId="61" fillId="27" borderId="13" xfId="0" applyNumberFormat="1" applyFont="1" applyFill="1" applyBorder="1" applyAlignment="1">
      <alignment horizontal="center" vertical="center" wrapText="1"/>
    </xf>
    <xf numFmtId="38" fontId="78" fillId="0" borderId="13" xfId="0" applyNumberFormat="1" applyFont="1" applyBorder="1" applyAlignment="1">
      <alignment vertical="top"/>
    </xf>
    <xf numFmtId="38" fontId="78" fillId="0" borderId="13" xfId="0" applyNumberFormat="1" applyFont="1" applyBorder="1" applyAlignment="1">
      <alignment horizontal="center" vertical="top"/>
    </xf>
    <xf numFmtId="10" fontId="78" fillId="0" borderId="13" xfId="0" applyNumberFormat="1" applyFont="1" applyBorder="1" applyAlignment="1">
      <alignment horizontal="center" vertical="top"/>
    </xf>
    <xf numFmtId="173" fontId="78" fillId="0" borderId="13" xfId="0" applyNumberFormat="1" applyFont="1" applyBorder="1" applyAlignment="1">
      <alignment horizontal="center" vertical="top"/>
    </xf>
    <xf numFmtId="168" fontId="78" fillId="0" borderId="13" xfId="0" applyNumberFormat="1" applyFont="1" applyBorder="1"/>
    <xf numFmtId="17" fontId="61" fillId="27" borderId="13" xfId="0" applyNumberFormat="1" applyFont="1" applyFill="1" applyBorder="1" applyAlignment="1">
      <alignment horizontal="center" vertical="center"/>
    </xf>
    <xf numFmtId="173" fontId="61" fillId="27" borderId="13" xfId="0" applyNumberFormat="1" applyFont="1" applyFill="1" applyBorder="1" applyAlignment="1">
      <alignment horizontal="center" vertical="center"/>
    </xf>
    <xf numFmtId="178" fontId="61" fillId="27" borderId="13" xfId="0" applyNumberFormat="1" applyFont="1" applyFill="1" applyBorder="1" applyAlignment="1">
      <alignment horizontal="center" vertical="center"/>
    </xf>
    <xf numFmtId="177" fontId="61" fillId="27" borderId="13" xfId="0" applyNumberFormat="1" applyFont="1" applyFill="1" applyBorder="1" applyAlignment="1">
      <alignment horizontal="center" vertical="center"/>
    </xf>
    <xf numFmtId="171" fontId="61" fillId="27" borderId="13" xfId="0" applyNumberFormat="1" applyFont="1" applyFill="1" applyBorder="1" applyAlignment="1">
      <alignment horizontal="center" vertical="center"/>
    </xf>
    <xf numFmtId="38" fontId="72" fillId="0" borderId="13" xfId="0" applyNumberFormat="1" applyFont="1" applyBorder="1" applyAlignment="1">
      <alignment vertical="top"/>
    </xf>
    <xf numFmtId="3" fontId="62" fillId="0" borderId="13" xfId="329" applyNumberFormat="1" applyFont="1" applyBorder="1" applyAlignment="1">
      <alignment horizontal="right"/>
    </xf>
    <xf numFmtId="10" fontId="72" fillId="0" borderId="13" xfId="0" applyNumberFormat="1" applyFont="1" applyBorder="1" applyAlignment="1">
      <alignment horizontal="center" vertical="top"/>
    </xf>
    <xf numFmtId="173" fontId="72" fillId="0" borderId="13" xfId="0" applyNumberFormat="1" applyFont="1" applyBorder="1" applyAlignment="1">
      <alignment horizontal="center" vertical="top"/>
    </xf>
    <xf numFmtId="10" fontId="62" fillId="0" borderId="13" xfId="329" applyNumberFormat="1" applyFont="1" applyBorder="1" applyAlignment="1">
      <alignment horizontal="right"/>
    </xf>
    <xf numFmtId="10" fontId="62" fillId="0" borderId="13" xfId="0" applyNumberFormat="1" applyFont="1" applyBorder="1" applyAlignment="1">
      <alignment horizontal="center" vertical="top"/>
    </xf>
    <xf numFmtId="168" fontId="72" fillId="0" borderId="13" xfId="0" applyNumberFormat="1" applyFont="1" applyBorder="1"/>
    <xf numFmtId="178" fontId="83" fillId="27" borderId="16" xfId="0" applyNumberFormat="1" applyFont="1" applyFill="1" applyBorder="1" applyAlignment="1">
      <alignment horizontal="center" vertical="center" wrapText="1"/>
    </xf>
    <xf numFmtId="178" fontId="83" fillId="27" borderId="17" xfId="0" applyNumberFormat="1" applyFont="1" applyFill="1" applyBorder="1" applyAlignment="1">
      <alignment horizontal="center" vertical="center" wrapText="1"/>
    </xf>
    <xf numFmtId="173" fontId="83" fillId="27" borderId="13" xfId="0" applyNumberFormat="1" applyFont="1" applyFill="1" applyBorder="1" applyAlignment="1">
      <alignment horizontal="center" vertical="center"/>
    </xf>
    <xf numFmtId="177" fontId="83" fillId="27" borderId="13" xfId="0" applyNumberFormat="1" applyFont="1" applyFill="1" applyBorder="1" applyAlignment="1">
      <alignment horizontal="center" vertical="center"/>
    </xf>
    <xf numFmtId="171" fontId="83" fillId="27" borderId="13" xfId="0" applyNumberFormat="1" applyFont="1" applyFill="1" applyBorder="1" applyAlignment="1">
      <alignment horizontal="center" vertical="center"/>
    </xf>
    <xf numFmtId="177" fontId="103" fillId="0" borderId="13" xfId="0" applyNumberFormat="1" applyFont="1" applyBorder="1" applyAlignment="1">
      <alignment horizontal="center" vertical="top"/>
    </xf>
    <xf numFmtId="178" fontId="83" fillId="27" borderId="14" xfId="0" applyNumberFormat="1" applyFont="1" applyFill="1" applyBorder="1" applyAlignment="1">
      <alignment horizontal="center" vertical="center"/>
    </xf>
    <xf numFmtId="178" fontId="83" fillId="34" borderId="14" xfId="0" applyNumberFormat="1" applyFont="1" applyFill="1" applyBorder="1" applyAlignment="1">
      <alignment horizontal="center" vertical="center" wrapText="1"/>
    </xf>
    <xf numFmtId="178" fontId="83" fillId="34" borderId="14" xfId="0" applyNumberFormat="1" applyFont="1" applyFill="1" applyBorder="1" applyAlignment="1">
      <alignment horizontal="center" vertical="center"/>
    </xf>
    <xf numFmtId="40" fontId="84" fillId="27" borderId="14" xfId="395" applyNumberFormat="1" applyFont="1" applyFill="1" applyBorder="1" applyAlignment="1">
      <alignment horizontal="center" vertical="center" wrapText="1"/>
    </xf>
    <xf numFmtId="178" fontId="74" fillId="0" borderId="0" xfId="0" applyFont="1" applyBorder="1" applyAlignment="1">
      <alignment vertical="top"/>
    </xf>
    <xf numFmtId="178" fontId="60" fillId="0" borderId="0" xfId="389" applyNumberFormat="1" applyFont="1" applyFill="1" applyBorder="1" applyAlignment="1">
      <alignment horizontal="center" vertical="center" wrapText="1"/>
    </xf>
    <xf numFmtId="40" fontId="64" fillId="0" borderId="0" xfId="329" applyNumberFormat="1" applyFont="1" applyFill="1" applyBorder="1" applyAlignment="1">
      <alignment horizontal="center"/>
    </xf>
    <xf numFmtId="40" fontId="55" fillId="0" borderId="0" xfId="389" applyNumberFormat="1" applyFont="1" applyFill="1" applyBorder="1" applyAlignment="1">
      <alignment horizontal="center"/>
    </xf>
    <xf numFmtId="40" fontId="77" fillId="0" borderId="0" xfId="329" applyNumberFormat="1" applyFont="1" applyFill="1" applyBorder="1" applyAlignment="1">
      <alignment horizontal="center"/>
    </xf>
    <xf numFmtId="173" fontId="77" fillId="0" borderId="0" xfId="552" applyNumberFormat="1" applyFont="1" applyFill="1" applyBorder="1" applyAlignment="1">
      <alignment horizontal="center" vertical="top" wrapText="1"/>
    </xf>
    <xf numFmtId="40" fontId="60" fillId="0" borderId="0" xfId="389" applyNumberFormat="1" applyFont="1" applyFill="1" applyBorder="1" applyAlignment="1">
      <alignment horizontal="center"/>
    </xf>
    <xf numFmtId="43" fontId="77" fillId="27" borderId="13" xfId="395" applyNumberFormat="1" applyFont="1" applyFill="1" applyBorder="1" applyAlignment="1">
      <alignment horizontal="center" vertical="center" wrapText="1"/>
    </xf>
    <xf numFmtId="43" fontId="77" fillId="27" borderId="13" xfId="395" applyNumberFormat="1" applyFont="1" applyFill="1" applyBorder="1" applyAlignment="1">
      <alignment horizontal="center" vertical="center"/>
    </xf>
    <xf numFmtId="168" fontId="103" fillId="28" borderId="13" xfId="395" applyNumberFormat="1" applyFont="1" applyFill="1" applyBorder="1" applyAlignment="1">
      <alignment horizontal="center" vertical="center"/>
    </xf>
    <xf numFmtId="173" fontId="103" fillId="28" borderId="13" xfId="395" applyNumberFormat="1" applyFont="1" applyFill="1" applyBorder="1" applyAlignment="1">
      <alignment horizontal="center" vertical="center"/>
    </xf>
    <xf numFmtId="43" fontId="64" fillId="28" borderId="13" xfId="395" applyNumberFormat="1" applyFont="1" applyFill="1" applyBorder="1" applyAlignment="1">
      <alignment horizontal="right"/>
    </xf>
    <xf numFmtId="43" fontId="0" fillId="28" borderId="13" xfId="0" applyNumberFormat="1" applyFont="1" applyFill="1" applyBorder="1"/>
    <xf numFmtId="10" fontId="83" fillId="34" borderId="13" xfId="0" applyNumberFormat="1" applyFont="1" applyFill="1" applyBorder="1"/>
    <xf numFmtId="17" fontId="29" fillId="0" borderId="0" xfId="0" applyNumberFormat="1" applyFont="1" applyFill="1" applyBorder="1" applyAlignment="1">
      <alignment horizontal="center"/>
    </xf>
    <xf numFmtId="3" fontId="49" fillId="25" borderId="0" xfId="0" applyNumberFormat="1" applyFont="1" applyFill="1" applyBorder="1" applyAlignment="1">
      <alignment horizontal="center"/>
    </xf>
    <xf numFmtId="3" fontId="49" fillId="0" borderId="0" xfId="0" applyNumberFormat="1" applyFont="1" applyFill="1" applyBorder="1" applyAlignment="1">
      <alignment horizontal="center"/>
    </xf>
    <xf numFmtId="178" fontId="64" fillId="28" borderId="0" xfId="0" applyNumberFormat="1" applyFont="1" applyFill="1" applyBorder="1"/>
    <xf numFmtId="49" fontId="50" fillId="0" borderId="0" xfId="362" applyNumberFormat="1" applyFont="1" applyFill="1" applyBorder="1" applyAlignment="1">
      <alignment vertical="center" wrapText="1"/>
    </xf>
    <xf numFmtId="178" fontId="99" fillId="33" borderId="0" xfId="0" applyFont="1" applyFill="1" applyBorder="1" applyAlignment="1">
      <alignment horizontal="center" vertical="center" wrapText="1"/>
    </xf>
    <xf numFmtId="17" fontId="51" fillId="0" borderId="0" xfId="0" applyNumberFormat="1" applyFont="1" applyFill="1" applyBorder="1" applyAlignment="1">
      <alignment horizontal="center"/>
    </xf>
    <xf numFmtId="178" fontId="0" fillId="0" borderId="0" xfId="0" applyAlignment="1">
      <alignment horizontal="left" vertical="top"/>
    </xf>
    <xf numFmtId="0" fontId="84" fillId="27" borderId="13" xfId="395" applyNumberFormat="1" applyFont="1" applyFill="1" applyBorder="1" applyAlignment="1">
      <alignment horizontal="center"/>
    </xf>
    <xf numFmtId="168" fontId="62" fillId="35" borderId="0" xfId="395" applyNumberFormat="1" applyFont="1" applyFill="1" applyBorder="1" applyAlignment="1">
      <alignment horizontal="center" vertical="center"/>
    </xf>
    <xf numFmtId="168" fontId="64" fillId="35" borderId="0" xfId="395" applyNumberFormat="1" applyFont="1" applyFill="1" applyBorder="1" applyAlignment="1">
      <alignment horizontal="center" vertical="center"/>
    </xf>
    <xf numFmtId="178" fontId="0" fillId="35" borderId="0" xfId="0" applyFont="1" applyFill="1"/>
    <xf numFmtId="168" fontId="62" fillId="35" borderId="13" xfId="337" applyNumberFormat="1" applyFont="1" applyFill="1" applyBorder="1" applyAlignment="1"/>
    <xf numFmtId="168" fontId="2" fillId="0" borderId="0" xfId="329" applyNumberFormat="1" applyFont="1" applyFill="1" applyBorder="1"/>
    <xf numFmtId="178" fontId="83" fillId="36" borderId="13" xfId="0" applyNumberFormat="1" applyFont="1" applyFill="1" applyBorder="1" applyAlignment="1">
      <alignment horizontal="center" vertical="center" wrapText="1"/>
    </xf>
    <xf numFmtId="178" fontId="83" fillId="37" borderId="13" xfId="0" applyNumberFormat="1" applyFont="1" applyFill="1" applyBorder="1" applyAlignment="1">
      <alignment horizontal="center" vertical="center" wrapText="1"/>
    </xf>
    <xf numFmtId="178" fontId="104" fillId="0" borderId="0" xfId="0" applyFont="1" applyBorder="1" applyAlignment="1">
      <alignment wrapText="1"/>
    </xf>
    <xf numFmtId="3" fontId="105" fillId="0" borderId="0" xfId="0" applyNumberFormat="1" applyFont="1" applyFill="1" applyBorder="1" applyAlignment="1">
      <alignment horizontal="center"/>
    </xf>
    <xf numFmtId="178" fontId="64" fillId="0" borderId="0" xfId="0" applyNumberFormat="1" applyFont="1" applyBorder="1"/>
    <xf numFmtId="3" fontId="62" fillId="28" borderId="13" xfId="324" applyNumberFormat="1" applyFont="1" applyFill="1" applyBorder="1" applyAlignment="1">
      <alignment horizontal="center"/>
    </xf>
    <xf numFmtId="3" fontId="62" fillId="28" borderId="13" xfId="324" applyNumberFormat="1" applyFont="1" applyFill="1" applyBorder="1" applyAlignment="1">
      <alignment horizontal="center" vertical="center"/>
    </xf>
    <xf numFmtId="40" fontId="62" fillId="28" borderId="13" xfId="389" applyNumberFormat="1" applyFont="1" applyFill="1" applyBorder="1" applyAlignment="1">
      <alignment horizontal="right" vertical="top" wrapText="1"/>
    </xf>
    <xf numFmtId="173" fontId="62" fillId="28" borderId="13" xfId="552" applyNumberFormat="1" applyFont="1" applyFill="1" applyBorder="1" applyAlignment="1">
      <alignment horizontal="right" vertical="top" wrapText="1"/>
    </xf>
    <xf numFmtId="43" fontId="83" fillId="27" borderId="13" xfId="0" applyNumberFormat="1" applyFont="1" applyFill="1" applyBorder="1" applyAlignment="1">
      <alignment horizontal="center" vertical="center" wrapText="1"/>
    </xf>
    <xf numFmtId="3" fontId="72" fillId="0" borderId="13" xfId="0" applyNumberFormat="1" applyFont="1" applyFill="1" applyBorder="1" applyAlignment="1">
      <alignment horizontal="right"/>
    </xf>
    <xf numFmtId="3" fontId="62" fillId="28" borderId="13" xfId="0" applyNumberFormat="1" applyFont="1" applyFill="1" applyBorder="1" applyAlignment="1" applyProtection="1"/>
    <xf numFmtId="10" fontId="0" fillId="28" borderId="0" xfId="0" applyNumberFormat="1" applyFill="1"/>
    <xf numFmtId="183" fontId="62" fillId="28" borderId="13" xfId="0" applyNumberFormat="1" applyFont="1" applyFill="1" applyBorder="1" applyAlignment="1" applyProtection="1"/>
    <xf numFmtId="178" fontId="0" fillId="0" borderId="0" xfId="0" applyAlignment="1">
      <alignment vertical="center"/>
    </xf>
    <xf numFmtId="40" fontId="72" fillId="28" borderId="13" xfId="389" applyNumberFormat="1" applyFont="1" applyFill="1" applyBorder="1" applyAlignment="1"/>
    <xf numFmtId="178" fontId="0" fillId="0" borderId="0" xfId="0" applyAlignment="1">
      <alignment horizontal="left" vertical="top" wrapText="1"/>
    </xf>
    <xf numFmtId="178" fontId="84" fillId="39" borderId="15" xfId="0" applyFont="1" applyFill="1" applyBorder="1" applyAlignment="1">
      <alignment vertical="center" wrapText="1"/>
    </xf>
    <xf numFmtId="178" fontId="84" fillId="39" borderId="20" xfId="0" applyFont="1" applyFill="1" applyBorder="1" applyAlignment="1">
      <alignment vertical="center" wrapText="1"/>
    </xf>
    <xf numFmtId="185" fontId="55" fillId="0" borderId="13" xfId="489" applyNumberFormat="1" applyBorder="1"/>
    <xf numFmtId="178" fontId="72" fillId="0" borderId="0" xfId="0" applyFont="1"/>
    <xf numFmtId="3" fontId="72" fillId="0" borderId="13" xfId="324" applyNumberFormat="1" applyFont="1" applyBorder="1" applyAlignment="1">
      <alignment horizontal="center" vertical="center"/>
    </xf>
    <xf numFmtId="3" fontId="72" fillId="0" borderId="13" xfId="0" applyNumberFormat="1" applyFont="1" applyBorder="1" applyAlignment="1">
      <alignment horizontal="center" vertical="center"/>
    </xf>
    <xf numFmtId="3" fontId="75" fillId="0" borderId="13" xfId="337" applyNumberFormat="1" applyFont="1" applyFill="1" applyBorder="1" applyAlignment="1"/>
    <xf numFmtId="3" fontId="75" fillId="0" borderId="13" xfId="329" applyNumberFormat="1" applyFont="1" applyFill="1" applyBorder="1" applyAlignment="1">
      <alignment horizontal="right"/>
    </xf>
    <xf numFmtId="178" fontId="94" fillId="0" borderId="0" xfId="0" applyNumberFormat="1" applyFont="1" applyBorder="1" applyAlignment="1">
      <alignment vertical="top" wrapText="1"/>
    </xf>
    <xf numFmtId="3" fontId="72" fillId="28" borderId="13" xfId="324" applyNumberFormat="1" applyFont="1" applyFill="1" applyBorder="1" applyAlignment="1">
      <alignment horizontal="center" vertical="center"/>
    </xf>
    <xf numFmtId="3" fontId="75" fillId="0" borderId="21" xfId="395" applyNumberFormat="1" applyFont="1" applyFill="1" applyBorder="1"/>
    <xf numFmtId="3" fontId="75" fillId="0" borderId="22" xfId="329" applyNumberFormat="1" applyFont="1" applyBorder="1" applyAlignment="1">
      <alignment horizontal="right"/>
    </xf>
    <xf numFmtId="3" fontId="75" fillId="0" borderId="22" xfId="395" applyNumberFormat="1" applyFont="1" applyFill="1" applyBorder="1"/>
    <xf numFmtId="3" fontId="75" fillId="0" borderId="23" xfId="395" applyNumberFormat="1" applyFont="1" applyFill="1" applyBorder="1"/>
    <xf numFmtId="3" fontId="75" fillId="0" borderId="23" xfId="329" applyNumberFormat="1" applyFont="1" applyBorder="1" applyAlignment="1">
      <alignment horizontal="right"/>
    </xf>
    <xf numFmtId="168" fontId="35" fillId="0" borderId="21" xfId="329" applyNumberFormat="1" applyFont="1" applyFill="1" applyBorder="1" applyAlignment="1">
      <alignment horizontal="center" vertical="center"/>
    </xf>
    <xf numFmtId="10" fontId="64" fillId="0" borderId="0" xfId="0" applyNumberFormat="1" applyFont="1" applyFill="1" applyBorder="1" applyAlignment="1" applyProtection="1"/>
    <xf numFmtId="49" fontId="93" fillId="27" borderId="24" xfId="0" applyNumberFormat="1" applyFont="1" applyFill="1" applyBorder="1" applyAlignment="1">
      <alignment horizontal="center" vertical="center"/>
    </xf>
    <xf numFmtId="49" fontId="93" fillId="27" borderId="25" xfId="0" applyNumberFormat="1" applyFont="1" applyFill="1" applyBorder="1" applyAlignment="1">
      <alignment horizontal="center" vertical="center"/>
    </xf>
    <xf numFmtId="168" fontId="64" fillId="0" borderId="13" xfId="324" applyNumberFormat="1" applyFont="1" applyFill="1" applyBorder="1" applyAlignment="1">
      <alignment horizontal="right"/>
    </xf>
    <xf numFmtId="173" fontId="62" fillId="0" borderId="13" xfId="348" applyNumberFormat="1" applyFont="1" applyBorder="1" applyAlignment="1">
      <alignment horizontal="center"/>
    </xf>
    <xf numFmtId="168" fontId="62" fillId="0" borderId="13" xfId="325" applyNumberFormat="1" applyFont="1" applyBorder="1"/>
    <xf numFmtId="173" fontId="62" fillId="0" borderId="13" xfId="325" applyNumberFormat="1" applyFont="1" applyBorder="1"/>
    <xf numFmtId="173" fontId="0" fillId="0" borderId="13" xfId="0" applyNumberFormat="1" applyFill="1" applyBorder="1"/>
    <xf numFmtId="43" fontId="83" fillId="27" borderId="13" xfId="0" applyNumberFormat="1" applyFont="1" applyFill="1" applyBorder="1" applyAlignment="1">
      <alignment horizontal="center"/>
    </xf>
    <xf numFmtId="0" fontId="64" fillId="0" borderId="0" xfId="0" applyNumberFormat="1" applyFont="1" applyFill="1" applyBorder="1" applyAlignment="1" applyProtection="1"/>
    <xf numFmtId="178" fontId="62" fillId="0" borderId="0" xfId="0" applyNumberFormat="1" applyFont="1" applyFill="1" applyBorder="1" applyAlignment="1" applyProtection="1"/>
    <xf numFmtId="184" fontId="0" fillId="0" borderId="0" xfId="0" applyNumberFormat="1" applyFill="1" applyBorder="1"/>
    <xf numFmtId="178" fontId="100" fillId="0" borderId="0" xfId="0" applyFont="1"/>
    <xf numFmtId="178" fontId="100" fillId="0" borderId="0" xfId="0" applyFont="1" applyAlignment="1">
      <alignment horizontal="left" vertical="center"/>
    </xf>
    <xf numFmtId="178" fontId="84" fillId="42" borderId="0" xfId="0" applyFont="1" applyFill="1" applyBorder="1" applyAlignment="1">
      <alignment vertical="center" wrapText="1"/>
    </xf>
    <xf numFmtId="49" fontId="72" fillId="0" borderId="22" xfId="0" applyNumberFormat="1" applyFont="1" applyBorder="1" applyAlignment="1">
      <alignment horizontal="center"/>
    </xf>
    <xf numFmtId="0" fontId="72" fillId="0" borderId="22" xfId="0" applyNumberFormat="1" applyFont="1" applyBorder="1" applyAlignment="1">
      <alignment horizontal="center"/>
    </xf>
    <xf numFmtId="178" fontId="83" fillId="34" borderId="26" xfId="0" applyFont="1" applyFill="1" applyBorder="1" applyAlignment="1">
      <alignment horizontal="center" wrapText="1"/>
    </xf>
    <xf numFmtId="178" fontId="83" fillId="34" borderId="27" xfId="0" applyFont="1" applyFill="1" applyBorder="1" applyAlignment="1">
      <alignment horizontal="center"/>
    </xf>
    <xf numFmtId="187" fontId="0" fillId="0" borderId="0" xfId="0" applyNumberFormat="1"/>
    <xf numFmtId="49" fontId="72" fillId="0" borderId="0" xfId="0" applyNumberFormat="1" applyFont="1"/>
    <xf numFmtId="10" fontId="0" fillId="34" borderId="13" xfId="0" applyNumberFormat="1" applyFill="1" applyBorder="1"/>
    <xf numFmtId="1" fontId="72" fillId="0" borderId="13" xfId="324" applyNumberFormat="1" applyFont="1" applyBorder="1"/>
    <xf numFmtId="3" fontId="62" fillId="0" borderId="0" xfId="0" applyNumberFormat="1" applyFont="1" applyFill="1" applyBorder="1" applyAlignment="1" applyProtection="1"/>
    <xf numFmtId="168" fontId="72" fillId="0" borderId="13" xfId="324" applyNumberFormat="1" applyFont="1" applyBorder="1" applyAlignment="1">
      <alignment horizontal="right"/>
    </xf>
    <xf numFmtId="0" fontId="72" fillId="0" borderId="13" xfId="324" applyNumberFormat="1" applyFont="1" applyBorder="1"/>
    <xf numFmtId="168" fontId="72" fillId="0" borderId="13" xfId="324" applyNumberFormat="1" applyFont="1" applyFill="1" applyBorder="1"/>
    <xf numFmtId="178" fontId="100" fillId="0" borderId="0" xfId="0" applyNumberFormat="1" applyFont="1" applyBorder="1"/>
    <xf numFmtId="3" fontId="75" fillId="0" borderId="28" xfId="329" applyNumberFormat="1" applyFont="1" applyBorder="1" applyAlignment="1">
      <alignment horizontal="right"/>
    </xf>
    <xf numFmtId="3" fontId="75" fillId="0" borderId="14" xfId="329" applyNumberFormat="1" applyFont="1" applyBorder="1" applyAlignment="1">
      <alignment horizontal="right"/>
    </xf>
    <xf numFmtId="178" fontId="93" fillId="40" borderId="29" xfId="0" applyNumberFormat="1" applyFont="1" applyFill="1" applyBorder="1" applyAlignment="1">
      <alignment horizontal="center" vertical="center" wrapText="1"/>
    </xf>
    <xf numFmtId="178" fontId="93" fillId="40" borderId="30" xfId="0" applyNumberFormat="1" applyFont="1" applyFill="1" applyBorder="1" applyAlignment="1">
      <alignment horizontal="center" vertical="center" wrapText="1"/>
    </xf>
    <xf numFmtId="178" fontId="93" fillId="40" borderId="31" xfId="0" applyNumberFormat="1" applyFont="1" applyFill="1" applyBorder="1" applyAlignment="1">
      <alignment horizontal="center" vertical="center" wrapText="1"/>
    </xf>
    <xf numFmtId="178" fontId="93" fillId="41" borderId="29" xfId="0" applyNumberFormat="1" applyFont="1" applyFill="1" applyBorder="1" applyAlignment="1">
      <alignment horizontal="center" vertical="center" wrapText="1"/>
    </xf>
    <xf numFmtId="178" fontId="93" fillId="41" borderId="30" xfId="0" applyNumberFormat="1" applyFont="1" applyFill="1" applyBorder="1" applyAlignment="1">
      <alignment horizontal="center" vertical="center" wrapText="1"/>
    </xf>
    <xf numFmtId="178" fontId="93" fillId="41" borderId="20" xfId="0" applyNumberFormat="1" applyFont="1" applyFill="1" applyBorder="1" applyAlignment="1">
      <alignment horizontal="center" vertical="center" wrapText="1"/>
    </xf>
    <xf numFmtId="178" fontId="93" fillId="27" borderId="32" xfId="0" applyNumberFormat="1" applyFont="1" applyFill="1" applyBorder="1" applyAlignment="1">
      <alignment horizontal="center" vertical="center"/>
    </xf>
    <xf numFmtId="49" fontId="93" fillId="27" borderId="33" xfId="0" applyNumberFormat="1" applyFont="1" applyFill="1" applyBorder="1" applyAlignment="1">
      <alignment horizontal="center" vertical="center"/>
    </xf>
    <xf numFmtId="2" fontId="106" fillId="0" borderId="34" xfId="329" applyNumberFormat="1" applyFont="1" applyBorder="1" applyAlignment="1">
      <alignment horizontal="right"/>
    </xf>
    <xf numFmtId="2" fontId="106" fillId="0" borderId="16" xfId="329" applyNumberFormat="1" applyFont="1" applyBorder="1" applyAlignment="1">
      <alignment horizontal="right"/>
    </xf>
    <xf numFmtId="2" fontId="106" fillId="0" borderId="35" xfId="329" applyNumberFormat="1" applyFont="1" applyBorder="1" applyAlignment="1">
      <alignment horizontal="right"/>
    </xf>
    <xf numFmtId="2" fontId="106" fillId="0" borderId="14" xfId="329" applyNumberFormat="1" applyFont="1" applyBorder="1" applyAlignment="1">
      <alignment horizontal="right"/>
    </xf>
    <xf numFmtId="2" fontId="106" fillId="0" borderId="36" xfId="329" applyNumberFormat="1" applyFont="1" applyBorder="1" applyAlignment="1">
      <alignment horizontal="right"/>
    </xf>
    <xf numFmtId="2" fontId="106" fillId="0" borderId="13" xfId="329" applyNumberFormat="1" applyFont="1" applyBorder="1" applyAlignment="1">
      <alignment horizontal="right"/>
    </xf>
    <xf numFmtId="2" fontId="106" fillId="0" borderId="37" xfId="329" applyNumberFormat="1" applyFont="1" applyBorder="1" applyAlignment="1">
      <alignment horizontal="right"/>
    </xf>
    <xf numFmtId="2" fontId="107" fillId="0" borderId="37" xfId="329" applyNumberFormat="1" applyFont="1" applyBorder="1" applyAlignment="1">
      <alignment horizontal="right"/>
    </xf>
    <xf numFmtId="2" fontId="106" fillId="0" borderId="21" xfId="329" applyNumberFormat="1" applyFont="1" applyBorder="1" applyAlignment="1">
      <alignment horizontal="right"/>
    </xf>
    <xf numFmtId="2" fontId="107" fillId="0" borderId="38" xfId="329" applyNumberFormat="1" applyFont="1" applyBorder="1" applyAlignment="1">
      <alignment horizontal="right"/>
    </xf>
    <xf numFmtId="43" fontId="0" fillId="0" borderId="0" xfId="0" applyNumberFormat="1" applyFont="1" applyBorder="1" applyAlignment="1">
      <alignment horizontal="left"/>
    </xf>
    <xf numFmtId="10" fontId="55" fillId="0" borderId="0" xfId="552" applyNumberFormat="1" applyFont="1" applyBorder="1"/>
    <xf numFmtId="168" fontId="77" fillId="0" borderId="13" xfId="395" applyNumberFormat="1" applyFont="1" applyBorder="1" applyAlignment="1">
      <alignment horizontal="right"/>
    </xf>
    <xf numFmtId="41" fontId="74" fillId="0" borderId="13" xfId="0" applyNumberFormat="1" applyFont="1" applyFill="1" applyBorder="1" applyAlignment="1">
      <alignment horizontal="center" vertical="center"/>
    </xf>
    <xf numFmtId="178" fontId="0" fillId="0" borderId="0" xfId="0" applyAlignment="1">
      <alignment horizontal="center"/>
    </xf>
    <xf numFmtId="186" fontId="55" fillId="0" borderId="0" xfId="492"/>
    <xf numFmtId="186" fontId="56" fillId="28" borderId="0" xfId="492" applyFont="1" applyFill="1"/>
    <xf numFmtId="186" fontId="69" fillId="28" borderId="0" xfId="492" applyNumberFormat="1" applyFont="1" applyFill="1" applyBorder="1" applyAlignment="1">
      <alignment horizontal="center"/>
    </xf>
    <xf numFmtId="186" fontId="65" fillId="28" borderId="0" xfId="492" applyNumberFormat="1" applyFont="1" applyFill="1" applyBorder="1" applyAlignment="1">
      <alignment horizontal="center"/>
    </xf>
    <xf numFmtId="186" fontId="64" fillId="0" borderId="0" xfId="492" applyFont="1" applyBorder="1"/>
    <xf numFmtId="186" fontId="103" fillId="28" borderId="0" xfId="492" applyFont="1" applyFill="1"/>
    <xf numFmtId="10" fontId="103" fillId="28" borderId="0" xfId="492" applyNumberFormat="1" applyFont="1" applyFill="1"/>
    <xf numFmtId="186" fontId="65" fillId="0" borderId="0" xfId="492" applyNumberFormat="1" applyFont="1" applyFill="1" applyBorder="1" applyAlignment="1">
      <alignment horizontal="center"/>
    </xf>
    <xf numFmtId="173" fontId="65" fillId="0" borderId="0" xfId="552" applyNumberFormat="1" applyFont="1" applyFill="1" applyBorder="1" applyAlignment="1">
      <alignment horizontal="center"/>
    </xf>
    <xf numFmtId="186" fontId="64" fillId="0" borderId="0" xfId="492" applyFont="1"/>
    <xf numFmtId="186" fontId="69" fillId="0" borderId="0" xfId="492" applyNumberFormat="1" applyFont="1" applyFill="1" applyBorder="1" applyAlignment="1">
      <alignment horizontal="center"/>
    </xf>
    <xf numFmtId="178" fontId="0" fillId="0" borderId="0" xfId="0" applyAlignment="1">
      <alignment horizontal="center"/>
    </xf>
    <xf numFmtId="49" fontId="83" fillId="34" borderId="13" xfId="0" applyNumberFormat="1" applyFont="1" applyFill="1" applyBorder="1" applyAlignment="1">
      <alignment horizontal="center" wrapText="1"/>
    </xf>
    <xf numFmtId="168" fontId="83" fillId="34" borderId="13" xfId="0" applyNumberFormat="1" applyFont="1" applyFill="1" applyBorder="1" applyAlignment="1">
      <alignment horizontal="center" wrapText="1"/>
    </xf>
    <xf numFmtId="10" fontId="60" fillId="34" borderId="13" xfId="0" applyNumberFormat="1" applyFont="1" applyFill="1" applyBorder="1"/>
    <xf numFmtId="178" fontId="100" fillId="0" borderId="0" xfId="0" applyFont="1" applyAlignment="1">
      <alignment horizontal="center" vertical="center"/>
    </xf>
    <xf numFmtId="178" fontId="0" fillId="0" borderId="0" xfId="0" applyAlignment="1">
      <alignment horizontal="center" vertical="center"/>
    </xf>
    <xf numFmtId="178" fontId="0" fillId="0" borderId="0" xfId="0" applyFill="1" applyBorder="1" applyAlignment="1">
      <alignment horizontal="center" vertical="center"/>
    </xf>
    <xf numFmtId="10" fontId="0" fillId="0" borderId="0" xfId="0" applyNumberFormat="1" applyAlignment="1">
      <alignment vertical="center"/>
    </xf>
    <xf numFmtId="38" fontId="94" fillId="0" borderId="13" xfId="0" applyNumberFormat="1" applyFont="1" applyBorder="1" applyAlignment="1">
      <alignment horizontal="right" vertical="top"/>
    </xf>
    <xf numFmtId="173" fontId="94" fillId="0" borderId="13" xfId="0" applyNumberFormat="1" applyFont="1" applyBorder="1" applyAlignment="1">
      <alignment horizontal="right" vertical="top"/>
    </xf>
    <xf numFmtId="177" fontId="75" fillId="0" borderId="13" xfId="0" applyNumberFormat="1" applyFont="1" applyBorder="1" applyAlignment="1">
      <alignment horizontal="right" vertical="top"/>
    </xf>
    <xf numFmtId="3" fontId="64" fillId="0" borderId="13" xfId="0" applyNumberFormat="1" applyFont="1" applyFill="1" applyBorder="1" applyAlignment="1" applyProtection="1">
      <alignment horizontal="right"/>
    </xf>
    <xf numFmtId="10" fontId="64" fillId="0" borderId="13" xfId="0" applyNumberFormat="1" applyFont="1" applyFill="1" applyBorder="1" applyAlignment="1" applyProtection="1">
      <alignment horizontal="right"/>
    </xf>
    <xf numFmtId="178" fontId="102" fillId="28" borderId="0" xfId="0" applyFont="1" applyFill="1" applyBorder="1" applyAlignment="1">
      <alignment horizontal="center" vertical="center" wrapText="1"/>
    </xf>
    <xf numFmtId="168" fontId="64" fillId="0" borderId="13" xfId="325" applyNumberFormat="1" applyFont="1" applyBorder="1" applyAlignment="1">
      <alignment vertical="center"/>
    </xf>
    <xf numFmtId="41" fontId="64" fillId="0" borderId="13" xfId="0" applyNumberFormat="1" applyFont="1" applyBorder="1" applyAlignment="1">
      <alignment vertical="center"/>
    </xf>
    <xf numFmtId="41" fontId="64" fillId="0" borderId="13" xfId="0" applyNumberFormat="1" applyFont="1" applyBorder="1" applyAlignment="1">
      <alignment horizontal="center" vertical="center"/>
    </xf>
    <xf numFmtId="41" fontId="78" fillId="28" borderId="13" xfId="492" applyNumberFormat="1" applyFont="1" applyFill="1" applyBorder="1" applyAlignment="1"/>
    <xf numFmtId="168" fontId="103" fillId="28" borderId="13" xfId="337" applyNumberFormat="1" applyFont="1" applyFill="1" applyBorder="1" applyAlignment="1"/>
    <xf numFmtId="186" fontId="78" fillId="38" borderId="13" xfId="492" applyFont="1" applyFill="1" applyBorder="1"/>
    <xf numFmtId="3" fontId="78" fillId="28" borderId="13" xfId="492" applyNumberFormat="1" applyFont="1" applyFill="1" applyBorder="1" applyAlignment="1"/>
    <xf numFmtId="168" fontId="102" fillId="0" borderId="13" xfId="329" applyNumberFormat="1" applyFont="1" applyBorder="1" applyAlignment="1"/>
    <xf numFmtId="168" fontId="72" fillId="0" borderId="13" xfId="324" applyNumberFormat="1" applyFont="1" applyBorder="1" applyAlignment="1">
      <alignment vertical="center"/>
    </xf>
    <xf numFmtId="178" fontId="72" fillId="0" borderId="22" xfId="0" applyFont="1" applyBorder="1" applyAlignment="1">
      <alignment horizontal="center" vertical="center" wrapText="1"/>
    </xf>
    <xf numFmtId="1" fontId="72" fillId="0" borderId="13" xfId="324" applyNumberFormat="1" applyFont="1" applyBorder="1" applyAlignment="1">
      <alignment vertical="center"/>
    </xf>
    <xf numFmtId="178" fontId="102" fillId="42" borderId="0" xfId="0" applyFont="1" applyFill="1" applyBorder="1" applyAlignment="1">
      <alignment vertical="center" wrapText="1"/>
    </xf>
    <xf numFmtId="178" fontId="83" fillId="34" borderId="13" xfId="0" applyFont="1" applyFill="1" applyBorder="1" applyAlignment="1">
      <alignment horizontal="center" vertical="center"/>
    </xf>
    <xf numFmtId="49" fontId="83" fillId="34" borderId="13" xfId="0" applyNumberFormat="1" applyFont="1" applyFill="1" applyBorder="1" applyAlignment="1">
      <alignment horizontal="center" vertical="center" wrapText="1"/>
    </xf>
    <xf numFmtId="49" fontId="83" fillId="0" borderId="13" xfId="0" applyNumberFormat="1" applyFont="1" applyBorder="1" applyAlignment="1">
      <alignment horizontal="center"/>
    </xf>
    <xf numFmtId="10" fontId="83" fillId="34" borderId="13" xfId="0" applyNumberFormat="1" applyFont="1" applyFill="1" applyBorder="1" applyAlignment="1">
      <alignment vertical="center"/>
    </xf>
    <xf numFmtId="168" fontId="72" fillId="0" borderId="13" xfId="324" applyNumberFormat="1" applyFont="1" applyFill="1" applyBorder="1" applyAlignment="1">
      <alignment vertical="center"/>
    </xf>
    <xf numFmtId="168" fontId="83" fillId="34" borderId="13" xfId="0" applyNumberFormat="1" applyFont="1" applyFill="1" applyBorder="1" applyAlignment="1">
      <alignment horizontal="center" vertical="center" wrapText="1"/>
    </xf>
    <xf numFmtId="49" fontId="83" fillId="0" borderId="13" xfId="0" applyNumberFormat="1" applyFont="1" applyBorder="1" applyAlignment="1">
      <alignment horizontal="center" vertical="center"/>
    </xf>
    <xf numFmtId="49" fontId="83" fillId="34" borderId="14" xfId="0" applyNumberFormat="1" applyFont="1" applyFill="1" applyBorder="1" applyAlignment="1">
      <alignment horizontal="center" vertical="center" wrapText="1"/>
    </xf>
    <xf numFmtId="175" fontId="0" fillId="0" borderId="0" xfId="0" applyNumberFormat="1" applyFill="1" applyBorder="1" applyAlignment="1">
      <alignment vertical="center"/>
    </xf>
    <xf numFmtId="49" fontId="83" fillId="34" borderId="13" xfId="0" applyNumberFormat="1" applyFont="1" applyFill="1" applyBorder="1" applyAlignment="1">
      <alignment horizontal="center" vertical="center"/>
    </xf>
    <xf numFmtId="168" fontId="72" fillId="0" borderId="13" xfId="324" applyNumberFormat="1" applyFont="1" applyFill="1" applyBorder="1" applyAlignment="1">
      <alignment horizontal="right"/>
    </xf>
    <xf numFmtId="168" fontId="72" fillId="0" borderId="0" xfId="324" applyNumberFormat="1" applyFont="1" applyFill="1" applyBorder="1" applyAlignment="1">
      <alignment horizontal="center"/>
    </xf>
    <xf numFmtId="178" fontId="72" fillId="0" borderId="13" xfId="0" applyFont="1" applyBorder="1"/>
    <xf numFmtId="168" fontId="83" fillId="0" borderId="13" xfId="0" applyNumberFormat="1" applyFont="1" applyFill="1" applyBorder="1" applyAlignment="1">
      <alignment horizontal="center" wrapText="1"/>
    </xf>
    <xf numFmtId="173" fontId="72" fillId="0" borderId="13" xfId="0" applyNumberFormat="1" applyFont="1" applyFill="1" applyBorder="1"/>
    <xf numFmtId="10" fontId="72" fillId="0" borderId="13" xfId="324" applyNumberFormat="1" applyFont="1" applyBorder="1" applyAlignment="1">
      <alignment vertical="center"/>
    </xf>
    <xf numFmtId="170" fontId="0" fillId="0" borderId="13" xfId="0" applyNumberFormat="1" applyFont="1" applyBorder="1" applyAlignment="1">
      <alignment horizontal="center"/>
    </xf>
    <xf numFmtId="43" fontId="83" fillId="0" borderId="40" xfId="0" applyNumberFormat="1" applyFont="1" applyFill="1" applyBorder="1" applyAlignment="1">
      <alignment vertical="center"/>
    </xf>
    <xf numFmtId="178" fontId="73" fillId="0" borderId="13" xfId="0" applyFont="1" applyFill="1" applyBorder="1" applyAlignment="1">
      <alignment horizontal="left" vertical="center" wrapText="1"/>
    </xf>
    <xf numFmtId="10" fontId="62" fillId="0" borderId="13" xfId="325" applyNumberFormat="1" applyFont="1" applyBorder="1"/>
    <xf numFmtId="10" fontId="89" fillId="40" borderId="13" xfId="325" applyNumberFormat="1" applyFont="1" applyFill="1" applyBorder="1"/>
    <xf numFmtId="178" fontId="0" fillId="0" borderId="0" xfId="0" applyFill="1" applyBorder="1" applyAlignment="1">
      <alignment wrapText="1"/>
    </xf>
    <xf numFmtId="178" fontId="73" fillId="0" borderId="13" xfId="0" applyFont="1" applyFill="1" applyBorder="1" applyAlignment="1">
      <alignment horizontal="left" vertical="center"/>
    </xf>
    <xf numFmtId="168" fontId="62" fillId="0" borderId="13" xfId="325" applyNumberFormat="1" applyFont="1" applyFill="1" applyBorder="1"/>
    <xf numFmtId="168" fontId="62" fillId="0" borderId="13" xfId="325" applyNumberFormat="1" applyFont="1" applyBorder="1" applyAlignment="1">
      <alignment horizontal="right"/>
    </xf>
    <xf numFmtId="1" fontId="62" fillId="0" borderId="13" xfId="325" applyNumberFormat="1" applyFont="1" applyBorder="1" applyAlignment="1">
      <alignment horizontal="right"/>
    </xf>
    <xf numFmtId="1" fontId="62" fillId="0" borderId="13" xfId="325" applyNumberFormat="1" applyFont="1" applyBorder="1"/>
    <xf numFmtId="178" fontId="0" fillId="0" borderId="13" xfId="0" applyBorder="1" applyAlignment="1">
      <alignment horizontal="center"/>
    </xf>
    <xf numFmtId="49" fontId="0" fillId="0" borderId="13" xfId="0" applyNumberFormat="1" applyBorder="1" applyAlignment="1">
      <alignment horizontal="center"/>
    </xf>
    <xf numFmtId="168" fontId="101" fillId="0" borderId="13" xfId="325" applyNumberFormat="1" applyFont="1" applyBorder="1"/>
    <xf numFmtId="10" fontId="0" fillId="0" borderId="0" xfId="552" applyNumberFormat="1" applyFont="1"/>
    <xf numFmtId="43" fontId="75" fillId="38" borderId="13" xfId="337" applyNumberFormat="1" applyFont="1" applyFill="1" applyBorder="1" applyAlignment="1">
      <alignment horizontal="right"/>
    </xf>
    <xf numFmtId="40" fontId="72" fillId="0" borderId="13" xfId="389" applyNumberFormat="1" applyFont="1" applyFill="1" applyBorder="1" applyAlignment="1"/>
    <xf numFmtId="168" fontId="64" fillId="0" borderId="13" xfId="325" applyNumberFormat="1" applyFont="1" applyBorder="1"/>
    <xf numFmtId="173" fontId="64" fillId="0" borderId="13" xfId="325" applyNumberFormat="1" applyFont="1" applyBorder="1"/>
    <xf numFmtId="168" fontId="64" fillId="0" borderId="13" xfId="325" applyNumberFormat="1" applyFont="1" applyFill="1" applyBorder="1" applyAlignment="1">
      <alignment vertical="center"/>
    </xf>
    <xf numFmtId="173" fontId="62" fillId="0" borderId="13" xfId="348" applyNumberFormat="1" applyFont="1" applyFill="1" applyBorder="1" applyAlignment="1">
      <alignment horizontal="center"/>
    </xf>
    <xf numFmtId="178" fontId="0" fillId="0" borderId="0" xfId="0" applyBorder="1" applyAlignment="1">
      <alignment horizontal="right"/>
    </xf>
    <xf numFmtId="178" fontId="57" fillId="0" borderId="0" xfId="0" applyFont="1"/>
    <xf numFmtId="3" fontId="62" fillId="0" borderId="13" xfId="324" applyNumberFormat="1" applyFont="1" applyFill="1" applyBorder="1" applyAlignment="1">
      <alignment horizontal="center" vertical="center"/>
    </xf>
    <xf numFmtId="173" fontId="94" fillId="0" borderId="13" xfId="0" applyNumberFormat="1" applyFont="1" applyFill="1" applyBorder="1" applyAlignment="1">
      <alignment horizontal="right" vertical="top"/>
    </xf>
    <xf numFmtId="177" fontId="75" fillId="0" borderId="13" xfId="0" applyNumberFormat="1" applyFont="1" applyFill="1" applyBorder="1" applyAlignment="1">
      <alignment horizontal="right" vertical="top"/>
    </xf>
    <xf numFmtId="10" fontId="94" fillId="0" borderId="13" xfId="0" applyNumberFormat="1" applyFont="1" applyFill="1" applyBorder="1" applyAlignment="1">
      <alignment horizontal="right" vertical="top"/>
    </xf>
    <xf numFmtId="38" fontId="72" fillId="0" borderId="13" xfId="324" applyNumberFormat="1" applyFont="1" applyFill="1" applyBorder="1" applyAlignment="1">
      <alignment horizontal="center"/>
    </xf>
    <xf numFmtId="168" fontId="72" fillId="35" borderId="13" xfId="324" applyNumberFormat="1" applyFont="1" applyFill="1" applyBorder="1"/>
    <xf numFmtId="3" fontId="78" fillId="0" borderId="13" xfId="492" applyNumberFormat="1" applyFont="1" applyFill="1" applyBorder="1" applyAlignment="1"/>
    <xf numFmtId="168" fontId="103" fillId="0" borderId="13" xfId="329" applyNumberFormat="1" applyFont="1" applyFill="1" applyBorder="1" applyAlignment="1"/>
    <xf numFmtId="168" fontId="103" fillId="38" borderId="13" xfId="329" applyNumberFormat="1" applyFont="1" applyFill="1" applyBorder="1" applyAlignme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8" borderId="0" xfId="552" applyFont="1" applyFill="1"/>
    <xf numFmtId="9" fontId="0" fillId="0" borderId="0" xfId="552" applyFont="1" applyBorder="1"/>
    <xf numFmtId="168" fontId="83" fillId="0" borderId="13" xfId="324" applyNumberFormat="1" applyFont="1" applyBorder="1"/>
    <xf numFmtId="178" fontId="77" fillId="0" borderId="13" xfId="0" applyFont="1" applyFill="1" applyBorder="1" applyAlignment="1">
      <alignment horizontal="left" vertical="center" wrapText="1"/>
    </xf>
    <xf numFmtId="168" fontId="117" fillId="0" borderId="13" xfId="324" applyNumberFormat="1" applyFont="1" applyBorder="1" applyAlignment="1">
      <alignment horizontal="right" indent="1"/>
    </xf>
    <xf numFmtId="168" fontId="116" fillId="0" borderId="13" xfId="324" applyNumberFormat="1" applyFont="1" applyFill="1" applyBorder="1" applyAlignment="1">
      <alignment horizontal="right"/>
    </xf>
    <xf numFmtId="168" fontId="117" fillId="0" borderId="13" xfId="324" applyNumberFormat="1" applyFont="1" applyFill="1" applyBorder="1" applyAlignment="1">
      <alignment horizontal="right"/>
    </xf>
    <xf numFmtId="168" fontId="116" fillId="0" borderId="13" xfId="395" applyNumberFormat="1" applyFont="1" applyBorder="1" applyAlignment="1">
      <alignment horizontal="right" indent="1"/>
    </xf>
    <xf numFmtId="168" fontId="116" fillId="0" borderId="13" xfId="395" applyNumberFormat="1" applyFont="1" applyFill="1" applyBorder="1" applyAlignment="1">
      <alignment horizontal="right" indent="1"/>
    </xf>
    <xf numFmtId="168" fontId="117" fillId="0" borderId="13" xfId="324" applyNumberFormat="1" applyFont="1" applyFill="1" applyBorder="1" applyAlignment="1">
      <alignment horizontal="right" indent="1"/>
    </xf>
    <xf numFmtId="168" fontId="116" fillId="0" borderId="13" xfId="395" applyNumberFormat="1" applyFont="1" applyFill="1" applyBorder="1" applyAlignment="1">
      <alignment horizontal="right"/>
    </xf>
    <xf numFmtId="0" fontId="93" fillId="0" borderId="0" xfId="580" applyFont="1" applyAlignment="1">
      <alignment vertical="center"/>
    </xf>
    <xf numFmtId="0" fontId="55" fillId="0" borderId="0" xfId="580"/>
    <xf numFmtId="10" fontId="55" fillId="0" borderId="13" xfId="580" applyNumberFormat="1" applyBorder="1"/>
    <xf numFmtId="43" fontId="0" fillId="0" borderId="0" xfId="324" applyFont="1"/>
    <xf numFmtId="178" fontId="77" fillId="0" borderId="13" xfId="0" applyFont="1" applyFill="1" applyBorder="1" applyAlignment="1">
      <alignment horizontal="left" vertical="center"/>
    </xf>
    <xf numFmtId="178" fontId="72" fillId="0" borderId="0" xfId="0" applyFont="1" applyBorder="1" applyAlignment="1">
      <alignment horizontal="left" vertical="top"/>
    </xf>
    <xf numFmtId="178" fontId="0" fillId="0" borderId="0" xfId="0" applyFill="1" applyBorder="1" applyAlignment="1">
      <alignment horizontal="center"/>
    </xf>
    <xf numFmtId="178" fontId="84" fillId="27" borderId="13" xfId="0" applyNumberFormat="1" applyFont="1" applyFill="1" applyBorder="1" applyAlignment="1">
      <alignment horizontal="center" vertical="center"/>
    </xf>
    <xf numFmtId="17" fontId="52" fillId="0" borderId="0" xfId="0" applyNumberFormat="1" applyFont="1" applyFill="1" applyBorder="1" applyAlignment="1">
      <alignment horizontal="center"/>
    </xf>
    <xf numFmtId="178" fontId="0" fillId="0" borderId="0" xfId="0" applyFont="1" applyBorder="1"/>
    <xf numFmtId="40" fontId="84" fillId="32" borderId="13" xfId="0" applyNumberFormat="1" applyFont="1" applyFill="1" applyBorder="1" applyAlignment="1">
      <alignment horizontal="center" vertical="center"/>
    </xf>
    <xf numFmtId="40" fontId="84" fillId="32" borderId="13" xfId="0" applyNumberFormat="1" applyFont="1" applyFill="1" applyBorder="1" applyAlignment="1">
      <alignment horizontal="center" vertical="center" wrapText="1"/>
    </xf>
    <xf numFmtId="49" fontId="84" fillId="32" borderId="13" xfId="0" applyNumberFormat="1" applyFont="1" applyFill="1" applyBorder="1" applyAlignment="1">
      <alignment horizontal="center"/>
    </xf>
    <xf numFmtId="38" fontId="84" fillId="32" borderId="13" xfId="0" applyNumberFormat="1" applyFont="1" applyFill="1" applyBorder="1" applyAlignment="1">
      <alignment horizontal="center" wrapText="1"/>
    </xf>
    <xf numFmtId="178" fontId="60" fillId="34" borderId="13" xfId="0" applyNumberFormat="1" applyFont="1" applyFill="1" applyBorder="1" applyAlignment="1">
      <alignment horizontal="center" vertical="center" wrapText="1"/>
    </xf>
    <xf numFmtId="178" fontId="83" fillId="0" borderId="13" xfId="0" applyFont="1" applyBorder="1" applyAlignment="1">
      <alignment horizontal="left" vertical="center" wrapText="1"/>
    </xf>
    <xf numFmtId="178" fontId="120" fillId="0" borderId="0" xfId="0" applyFont="1"/>
    <xf numFmtId="3" fontId="62" fillId="0" borderId="0" xfId="326" applyNumberFormat="1" applyFont="1" applyFill="1" applyBorder="1"/>
    <xf numFmtId="17" fontId="121" fillId="0" borderId="0" xfId="0" applyNumberFormat="1" applyFont="1" applyFill="1" applyBorder="1" applyAlignment="1">
      <alignment horizontal="center"/>
    </xf>
    <xf numFmtId="188" fontId="72" fillId="0" borderId="13" xfId="324" applyNumberFormat="1" applyFont="1" applyBorder="1" applyAlignment="1">
      <alignment horizontal="center"/>
    </xf>
    <xf numFmtId="168" fontId="62" fillId="0" borderId="13" xfId="324" applyNumberFormat="1" applyFont="1" applyBorder="1"/>
    <xf numFmtId="173" fontId="0" fillId="0" borderId="0" xfId="552" applyNumberFormat="1" applyFont="1"/>
    <xf numFmtId="178" fontId="99" fillId="44" borderId="13" xfId="389" applyNumberFormat="1" applyFont="1" applyFill="1" applyBorder="1" applyAlignment="1">
      <alignment horizontal="center" vertical="center" wrapText="1"/>
    </xf>
    <xf numFmtId="178" fontId="99" fillId="44" borderId="13" xfId="389" applyNumberFormat="1" applyFont="1" applyFill="1" applyBorder="1" applyAlignment="1">
      <alignment horizontal="center" vertical="center"/>
    </xf>
    <xf numFmtId="0" fontId="99" fillId="44" borderId="13" xfId="389" applyNumberFormat="1" applyFont="1" applyFill="1" applyBorder="1" applyAlignment="1">
      <alignment horizontal="center" vertical="center"/>
    </xf>
    <xf numFmtId="168" fontId="99" fillId="44" borderId="13" xfId="339" applyNumberFormat="1" applyFont="1" applyFill="1" applyBorder="1" applyAlignment="1">
      <alignment horizontal="center" vertical="center" wrapText="1"/>
    </xf>
    <xf numFmtId="168" fontId="99" fillId="44" borderId="19" xfId="339" applyNumberFormat="1" applyFont="1" applyFill="1" applyBorder="1" applyAlignment="1">
      <alignment horizontal="center" vertical="center" wrapText="1"/>
    </xf>
    <xf numFmtId="172" fontId="99" fillId="44" borderId="16" xfId="362" applyNumberFormat="1" applyFont="1" applyFill="1" applyBorder="1" applyAlignment="1">
      <alignment horizontal="left" vertical="center"/>
    </xf>
    <xf numFmtId="49" fontId="99" fillId="44" borderId="16" xfId="362" applyNumberFormat="1" applyFont="1" applyFill="1" applyBorder="1" applyAlignment="1">
      <alignment horizontal="left" vertical="center"/>
    </xf>
    <xf numFmtId="178" fontId="99" fillId="44" borderId="13" xfId="362" applyFont="1" applyFill="1" applyBorder="1" applyAlignment="1">
      <alignment horizontal="center" vertical="center"/>
    </xf>
    <xf numFmtId="178" fontId="99" fillId="44" borderId="13" xfId="389" applyFont="1" applyFill="1" applyBorder="1" applyAlignment="1">
      <alignment horizontal="center" vertical="center"/>
    </xf>
    <xf numFmtId="178" fontId="111" fillId="0" borderId="34" xfId="0" applyFont="1" applyFill="1" applyBorder="1" applyAlignment="1">
      <alignment horizontal="center" vertical="top" wrapText="1"/>
    </xf>
    <xf numFmtId="178" fontId="111" fillId="28" borderId="0" xfId="0" applyFont="1" applyFill="1" applyBorder="1" applyAlignment="1">
      <alignment horizontal="center" vertical="top" wrapText="1"/>
    </xf>
    <xf numFmtId="178" fontId="99" fillId="46" borderId="13" xfId="389" applyFont="1" applyFill="1" applyBorder="1" applyAlignment="1">
      <alignment horizontal="center" vertical="center"/>
    </xf>
    <xf numFmtId="178" fontId="99" fillId="46" borderId="13" xfId="389" applyNumberFormat="1" applyFont="1" applyFill="1" applyBorder="1" applyAlignment="1" applyProtection="1">
      <alignment horizontal="center"/>
    </xf>
    <xf numFmtId="178" fontId="111" fillId="0" borderId="11" xfId="0" applyFont="1" applyFill="1" applyBorder="1" applyAlignment="1">
      <alignment horizontal="center" vertical="top" wrapText="1"/>
    </xf>
    <xf numFmtId="178" fontId="56" fillId="44" borderId="13" xfId="0" applyNumberFormat="1" applyFont="1" applyFill="1" applyBorder="1"/>
    <xf numFmtId="40" fontId="57" fillId="44" borderId="13" xfId="395" applyNumberFormat="1" applyFont="1" applyFill="1" applyBorder="1" applyAlignment="1">
      <alignment horizontal="left" vertical="center" wrapText="1"/>
    </xf>
    <xf numFmtId="40" fontId="57" fillId="44" borderId="13" xfId="395" applyNumberFormat="1" applyFont="1" applyFill="1" applyBorder="1" applyAlignment="1">
      <alignment horizontal="center" vertical="center" wrapText="1"/>
    </xf>
    <xf numFmtId="49" fontId="57" fillId="44" borderId="13" xfId="395" applyNumberFormat="1" applyFont="1" applyFill="1" applyBorder="1" applyAlignment="1">
      <alignment horizontal="center" vertical="center"/>
    </xf>
    <xf numFmtId="43" fontId="57" fillId="44" borderId="13" xfId="395" applyNumberFormat="1" applyFont="1" applyFill="1" applyBorder="1" applyAlignment="1">
      <alignment horizontal="right"/>
    </xf>
    <xf numFmtId="49" fontId="83" fillId="32" borderId="13" xfId="0" applyNumberFormat="1" applyFont="1" applyFill="1" applyBorder="1" applyAlignment="1">
      <alignment horizontal="center" vertical="center"/>
    </xf>
    <xf numFmtId="178" fontId="83" fillId="32" borderId="13" xfId="0" applyFont="1" applyFill="1" applyBorder="1" applyAlignment="1">
      <alignment horizontal="center" vertical="center" wrapText="1"/>
    </xf>
    <xf numFmtId="168" fontId="83" fillId="32" borderId="13" xfId="324" applyNumberFormat="1" applyFont="1" applyFill="1" applyBorder="1"/>
    <xf numFmtId="178" fontId="83" fillId="32" borderId="13" xfId="0" applyFont="1" applyFill="1" applyBorder="1" applyAlignment="1">
      <alignment horizontal="center" vertical="center"/>
    </xf>
    <xf numFmtId="49" fontId="83" fillId="32" borderId="13" xfId="0" applyNumberFormat="1" applyFont="1" applyFill="1" applyBorder="1" applyAlignment="1">
      <alignment horizontal="center" vertical="center" wrapText="1"/>
    </xf>
    <xf numFmtId="168" fontId="83" fillId="32" borderId="13" xfId="0" applyNumberFormat="1" applyFont="1" applyFill="1" applyBorder="1" applyAlignment="1">
      <alignment horizontal="center" vertical="center" wrapText="1"/>
    </xf>
    <xf numFmtId="173" fontId="83" fillId="32" borderId="13" xfId="0" applyNumberFormat="1" applyFont="1" applyFill="1" applyBorder="1" applyAlignment="1">
      <alignment vertical="center"/>
    </xf>
    <xf numFmtId="168" fontId="83" fillId="0" borderId="13" xfId="0" applyNumberFormat="1" applyFont="1" applyFill="1" applyBorder="1" applyAlignment="1">
      <alignment horizontal="center" vertical="center" wrapText="1"/>
    </xf>
    <xf numFmtId="178" fontId="83" fillId="34" borderId="14" xfId="0" applyFont="1" applyFill="1" applyBorder="1" applyAlignment="1">
      <alignment horizontal="left" vertical="center"/>
    </xf>
    <xf numFmtId="10" fontId="83" fillId="0" borderId="13" xfId="0" applyNumberFormat="1" applyFont="1" applyFill="1" applyBorder="1"/>
    <xf numFmtId="178" fontId="83" fillId="27" borderId="13" xfId="0" applyFont="1" applyFill="1" applyBorder="1" applyAlignment="1">
      <alignment horizontal="center" vertical="center"/>
    </xf>
    <xf numFmtId="49" fontId="83" fillId="27" borderId="13" xfId="0" applyNumberFormat="1" applyFont="1" applyFill="1" applyBorder="1" applyAlignment="1">
      <alignment horizontal="center" wrapText="1"/>
    </xf>
    <xf numFmtId="49" fontId="61" fillId="0" borderId="44" xfId="0" applyNumberFormat="1" applyFont="1" applyFill="1" applyBorder="1" applyAlignment="1">
      <alignment horizontal="center" vertical="center" wrapText="1"/>
    </xf>
    <xf numFmtId="49" fontId="61" fillId="0" borderId="0" xfId="0" applyNumberFormat="1" applyFont="1" applyFill="1" applyBorder="1" applyAlignment="1">
      <alignment horizontal="center" vertical="center" wrapText="1"/>
    </xf>
    <xf numFmtId="49" fontId="61" fillId="0" borderId="34" xfId="0" applyNumberFormat="1" applyFont="1" applyFill="1" applyBorder="1" applyAlignment="1">
      <alignment horizontal="center" vertical="center" wrapText="1"/>
    </xf>
    <xf numFmtId="49" fontId="61" fillId="0" borderId="11" xfId="0" applyNumberFormat="1" applyFont="1" applyFill="1" applyBorder="1" applyAlignment="1">
      <alignment horizontal="center" vertical="center" wrapText="1"/>
    </xf>
    <xf numFmtId="178" fontId="102" fillId="0" borderId="0" xfId="0" applyFont="1" applyFill="1" applyBorder="1" applyAlignment="1">
      <alignment horizontal="center" vertical="center" wrapText="1"/>
    </xf>
    <xf numFmtId="49" fontId="83" fillId="48" borderId="13" xfId="0" applyNumberFormat="1" applyFont="1" applyFill="1" applyBorder="1" applyAlignment="1">
      <alignment horizontal="center" vertical="center"/>
    </xf>
    <xf numFmtId="178" fontId="83" fillId="48" borderId="13" xfId="0" applyFont="1" applyFill="1" applyBorder="1" applyAlignment="1">
      <alignment horizontal="center" vertical="center" wrapText="1"/>
    </xf>
    <xf numFmtId="178" fontId="102" fillId="28" borderId="16" xfId="0" applyFont="1" applyFill="1" applyBorder="1" applyAlignment="1">
      <alignment horizontal="center" vertical="center" wrapText="1"/>
    </xf>
    <xf numFmtId="178" fontId="102" fillId="28" borderId="44" xfId="0" applyFont="1" applyFill="1" applyBorder="1" applyAlignment="1">
      <alignment horizontal="center" vertical="center" wrapText="1"/>
    </xf>
    <xf numFmtId="178" fontId="102" fillId="28" borderId="17" xfId="0" applyFont="1" applyFill="1" applyBorder="1" applyAlignment="1">
      <alignment horizontal="center" vertical="center" wrapText="1"/>
    </xf>
    <xf numFmtId="49" fontId="61" fillId="0" borderId="17" xfId="0" applyNumberFormat="1" applyFont="1" applyFill="1" applyBorder="1" applyAlignment="1">
      <alignment horizontal="center" vertical="center" wrapText="1"/>
    </xf>
    <xf numFmtId="178" fontId="84" fillId="0" borderId="0" xfId="0" applyFont="1" applyFill="1" applyBorder="1" applyAlignment="1">
      <alignment vertical="center" wrapText="1"/>
    </xf>
    <xf numFmtId="49" fontId="83" fillId="0" borderId="34" xfId="0" applyNumberFormat="1" applyFont="1" applyFill="1" applyBorder="1" applyAlignment="1">
      <alignment horizontal="center" vertical="center" wrapText="1"/>
    </xf>
    <xf numFmtId="49" fontId="83" fillId="0" borderId="11" xfId="0" applyNumberFormat="1" applyFont="1" applyFill="1" applyBorder="1" applyAlignment="1">
      <alignment horizontal="center" vertical="center" wrapText="1"/>
    </xf>
    <xf numFmtId="49" fontId="83" fillId="0" borderId="43" xfId="0" applyNumberFormat="1" applyFont="1" applyFill="1" applyBorder="1" applyAlignment="1">
      <alignment horizontal="center" vertical="center" wrapText="1"/>
    </xf>
    <xf numFmtId="178" fontId="83" fillId="0" borderId="34" xfId="0" applyFont="1" applyFill="1" applyBorder="1" applyAlignment="1">
      <alignment horizontal="center" vertical="center" wrapText="1"/>
    </xf>
    <xf numFmtId="178" fontId="83" fillId="0" borderId="11" xfId="0" applyFont="1" applyFill="1" applyBorder="1" applyAlignment="1">
      <alignment horizontal="center" vertical="center"/>
    </xf>
    <xf numFmtId="178" fontId="83" fillId="0" borderId="0" xfId="0" applyFont="1" applyFill="1" applyBorder="1" applyAlignment="1">
      <alignment horizontal="center" vertical="center"/>
    </xf>
    <xf numFmtId="168" fontId="83" fillId="32" borderId="13" xfId="0" applyNumberFormat="1" applyFont="1" applyFill="1" applyBorder="1" applyAlignment="1">
      <alignment horizontal="center" wrapText="1"/>
    </xf>
    <xf numFmtId="178" fontId="108" fillId="0" borderId="0" xfId="0" applyFont="1" applyFill="1" applyBorder="1" applyAlignment="1">
      <alignment horizontal="center" vertical="center" wrapText="1"/>
    </xf>
    <xf numFmtId="178" fontId="90" fillId="0" borderId="0" xfId="0" applyFont="1" applyFill="1" applyBorder="1" applyAlignment="1">
      <alignment horizontal="center" vertical="center" wrapText="1"/>
    </xf>
    <xf numFmtId="168" fontId="99" fillId="31" borderId="13" xfId="325" applyNumberFormat="1" applyFont="1" applyFill="1" applyBorder="1"/>
    <xf numFmtId="168" fontId="99" fillId="31" borderId="13" xfId="325" applyNumberFormat="1" applyFont="1" applyFill="1" applyBorder="1" applyAlignment="1">
      <alignment vertical="center"/>
    </xf>
    <xf numFmtId="168" fontId="89" fillId="31" borderId="13" xfId="325" applyNumberFormat="1" applyFont="1" applyFill="1" applyBorder="1" applyAlignment="1">
      <alignment horizontal="center" vertical="center"/>
    </xf>
    <xf numFmtId="10" fontId="89" fillId="31" borderId="13" xfId="325" applyNumberFormat="1" applyFont="1" applyFill="1" applyBorder="1" applyAlignment="1">
      <alignment horizontal="center" vertical="center"/>
    </xf>
    <xf numFmtId="178" fontId="56" fillId="0" borderId="0" xfId="0" applyFont="1" applyAlignment="1">
      <alignment horizontal="center" vertical="center"/>
    </xf>
    <xf numFmtId="178" fontId="99" fillId="49" borderId="13" xfId="348" applyNumberFormat="1" applyFont="1" applyFill="1" applyBorder="1" applyAlignment="1">
      <alignment horizontal="center" vertical="center" wrapText="1"/>
    </xf>
    <xf numFmtId="178" fontId="124" fillId="49" borderId="13" xfId="0" applyFont="1" applyFill="1" applyBorder="1" applyAlignment="1">
      <alignment horizontal="left" vertical="center" wrapText="1"/>
    </xf>
    <xf numFmtId="2" fontId="99" fillId="49" borderId="14" xfId="348" applyNumberFormat="1" applyFont="1" applyFill="1" applyBorder="1" applyAlignment="1">
      <alignment horizontal="center" vertical="center" wrapText="1"/>
    </xf>
    <xf numFmtId="49" fontId="99" fillId="49" borderId="14" xfId="348" applyNumberFormat="1" applyFont="1" applyFill="1" applyBorder="1" applyAlignment="1">
      <alignment horizontal="center" vertical="center" wrapText="1"/>
    </xf>
    <xf numFmtId="178" fontId="99" fillId="49" borderId="13" xfId="348" applyNumberFormat="1" applyFont="1" applyFill="1" applyBorder="1" applyAlignment="1">
      <alignment horizontal="center" vertical="center"/>
    </xf>
    <xf numFmtId="168" fontId="99" fillId="49" borderId="13" xfId="325" applyNumberFormat="1" applyFont="1" applyFill="1" applyBorder="1"/>
    <xf numFmtId="10" fontId="99" fillId="49" borderId="13" xfId="325" applyNumberFormat="1" applyFont="1" applyFill="1" applyBorder="1"/>
    <xf numFmtId="178" fontId="56" fillId="49" borderId="0" xfId="0" applyFont="1" applyFill="1"/>
    <xf numFmtId="178" fontId="99" fillId="49" borderId="14" xfId="348" applyNumberFormat="1" applyFont="1" applyFill="1" applyBorder="1" applyAlignment="1">
      <alignment horizontal="center" vertical="center"/>
    </xf>
    <xf numFmtId="178" fontId="99" fillId="49" borderId="13" xfId="348" applyNumberFormat="1" applyFont="1" applyFill="1" applyBorder="1" applyAlignment="1">
      <alignment horizontal="left" vertical="center"/>
    </xf>
    <xf numFmtId="168" fontId="89" fillId="49" borderId="13" xfId="325" applyNumberFormat="1" applyFont="1" applyFill="1" applyBorder="1"/>
    <xf numFmtId="10" fontId="89" fillId="49" borderId="13" xfId="325" applyNumberFormat="1" applyFont="1" applyFill="1" applyBorder="1"/>
    <xf numFmtId="178" fontId="56" fillId="49" borderId="13" xfId="0" applyFont="1" applyFill="1" applyBorder="1"/>
    <xf numFmtId="10" fontId="89" fillId="49" borderId="13" xfId="325" applyNumberFormat="1" applyFont="1" applyFill="1" applyBorder="1" applyAlignment="1">
      <alignment wrapText="1"/>
    </xf>
    <xf numFmtId="168" fontId="99" fillId="49" borderId="13" xfId="325" applyNumberFormat="1" applyFont="1" applyFill="1" applyBorder="1" applyAlignment="1">
      <alignment horizontal="center"/>
    </xf>
    <xf numFmtId="173" fontId="89" fillId="49" borderId="13" xfId="325" applyNumberFormat="1" applyFont="1" applyFill="1" applyBorder="1"/>
    <xf numFmtId="17" fontId="99" fillId="49" borderId="13" xfId="389" applyNumberFormat="1" applyFont="1" applyFill="1" applyBorder="1" applyAlignment="1">
      <alignment horizontal="center" vertical="center"/>
    </xf>
    <xf numFmtId="178" fontId="99" fillId="49" borderId="13" xfId="389" applyNumberFormat="1" applyFont="1" applyFill="1" applyBorder="1" applyAlignment="1">
      <alignment horizontal="center" vertical="center" wrapText="1"/>
    </xf>
    <xf numFmtId="49" fontId="99" fillId="49" borderId="13" xfId="389" applyNumberFormat="1" applyFont="1" applyFill="1" applyBorder="1" applyAlignment="1">
      <alignment horizontal="center"/>
    </xf>
    <xf numFmtId="178" fontId="99" fillId="31" borderId="13" xfId="389" applyNumberFormat="1" applyFont="1" applyFill="1" applyBorder="1" applyAlignment="1">
      <alignment horizontal="center" vertical="center" wrapText="1"/>
    </xf>
    <xf numFmtId="17" fontId="99" fillId="31" borderId="13" xfId="0" applyNumberFormat="1" applyFont="1" applyFill="1" applyBorder="1" applyAlignment="1">
      <alignment horizontal="center" vertical="center"/>
    </xf>
    <xf numFmtId="178" fontId="99" fillId="31" borderId="13" xfId="0" applyNumberFormat="1" applyFont="1" applyFill="1" applyBorder="1" applyAlignment="1">
      <alignment horizontal="center" vertical="center"/>
    </xf>
    <xf numFmtId="178" fontId="111" fillId="0" borderId="0" xfId="0" applyFont="1" applyFill="1" applyBorder="1" applyAlignment="1">
      <alignment horizontal="center" vertical="center" wrapText="1"/>
    </xf>
    <xf numFmtId="43" fontId="111" fillId="44" borderId="13" xfId="395" applyNumberFormat="1" applyFont="1" applyFill="1" applyBorder="1" applyAlignment="1">
      <alignment horizontal="center" vertical="center" wrapText="1"/>
    </xf>
    <xf numFmtId="43" fontId="111" fillId="44" borderId="13" xfId="395" applyNumberFormat="1" applyFont="1" applyFill="1" applyBorder="1" applyAlignment="1">
      <alignment horizontal="center" vertical="center"/>
    </xf>
    <xf numFmtId="49" fontId="57" fillId="44" borderId="13" xfId="395" applyNumberFormat="1" applyFont="1" applyFill="1" applyBorder="1" applyAlignment="1">
      <alignment horizontal="center"/>
    </xf>
    <xf numFmtId="178" fontId="99" fillId="40" borderId="13" xfId="0" applyNumberFormat="1" applyFont="1" applyFill="1" applyBorder="1" applyAlignment="1">
      <alignment horizontal="center" vertical="center" wrapText="1"/>
    </xf>
    <xf numFmtId="43" fontId="99" fillId="44" borderId="13" xfId="0" applyNumberFormat="1" applyFont="1" applyFill="1" applyBorder="1" applyAlignment="1">
      <alignment horizontal="center" vertical="center"/>
    </xf>
    <xf numFmtId="17" fontId="99" fillId="44" borderId="13" xfId="395" applyNumberFormat="1" applyFont="1" applyFill="1" applyBorder="1" applyAlignment="1">
      <alignment horizontal="center"/>
    </xf>
    <xf numFmtId="43" fontId="99" fillId="44" borderId="13" xfId="0" applyNumberFormat="1" applyFont="1" applyFill="1" applyBorder="1" applyAlignment="1">
      <alignment horizontal="center" vertical="center" wrapText="1"/>
    </xf>
    <xf numFmtId="178" fontId="57" fillId="44" borderId="13" xfId="348" applyNumberFormat="1" applyFont="1" applyFill="1" applyBorder="1" applyAlignment="1">
      <alignment horizontal="center" vertical="center"/>
    </xf>
    <xf numFmtId="178" fontId="57" fillId="44" borderId="13" xfId="348" applyNumberFormat="1" applyFont="1" applyFill="1" applyBorder="1" applyAlignment="1">
      <alignment horizontal="center" vertical="center" wrapText="1"/>
    </xf>
    <xf numFmtId="178" fontId="111" fillId="44" borderId="13" xfId="0" applyFont="1" applyFill="1" applyBorder="1" applyAlignment="1">
      <alignment vertical="center"/>
    </xf>
    <xf numFmtId="0" fontId="111" fillId="44" borderId="13" xfId="0" applyNumberFormat="1" applyFont="1" applyFill="1" applyBorder="1" applyAlignment="1">
      <alignment horizontal="center" vertical="center"/>
    </xf>
    <xf numFmtId="178" fontId="93" fillId="32" borderId="13" xfId="0" applyNumberFormat="1" applyFont="1" applyFill="1" applyBorder="1" applyAlignment="1">
      <alignment horizontal="center" vertical="center" wrapText="1"/>
    </xf>
    <xf numFmtId="178" fontId="108" fillId="30" borderId="13" xfId="0" applyNumberFormat="1" applyFont="1" applyFill="1" applyBorder="1" applyAlignment="1">
      <alignment horizontal="center" vertical="center" wrapText="1"/>
    </xf>
    <xf numFmtId="178" fontId="108" fillId="46" borderId="13" xfId="0" applyNumberFormat="1" applyFont="1" applyFill="1" applyBorder="1" applyAlignment="1">
      <alignment horizontal="center" vertical="center" wrapText="1"/>
    </xf>
    <xf numFmtId="173" fontId="108" fillId="46" borderId="13" xfId="0" applyNumberFormat="1" applyFont="1" applyFill="1" applyBorder="1" applyAlignment="1">
      <alignment horizontal="center" vertical="center"/>
    </xf>
    <xf numFmtId="178" fontId="108" fillId="46" borderId="13" xfId="0" applyNumberFormat="1" applyFont="1" applyFill="1" applyBorder="1" applyAlignment="1">
      <alignment horizontal="center" vertical="center"/>
    </xf>
    <xf numFmtId="171" fontId="108" fillId="46" borderId="13" xfId="0" applyNumberFormat="1" applyFont="1" applyFill="1" applyBorder="1" applyAlignment="1">
      <alignment horizontal="center" vertical="center"/>
    </xf>
    <xf numFmtId="0" fontId="108" fillId="46" borderId="13" xfId="0" applyNumberFormat="1" applyFont="1" applyFill="1" applyBorder="1" applyAlignment="1">
      <alignment horizontal="center" vertical="center"/>
    </xf>
    <xf numFmtId="173" fontId="108" fillId="31" borderId="13" xfId="552" applyNumberFormat="1" applyFont="1" applyFill="1" applyBorder="1" applyAlignment="1">
      <alignment horizontal="right" vertical="center"/>
    </xf>
    <xf numFmtId="178" fontId="108" fillId="31" borderId="13" xfId="0" applyNumberFormat="1" applyFont="1" applyFill="1" applyBorder="1" applyAlignment="1">
      <alignment horizontal="center" vertical="center"/>
    </xf>
    <xf numFmtId="178" fontId="108" fillId="31" borderId="13" xfId="0" applyNumberFormat="1" applyFont="1" applyFill="1" applyBorder="1" applyAlignment="1">
      <alignment horizontal="center" vertical="center" wrapText="1"/>
    </xf>
    <xf numFmtId="49" fontId="108" fillId="31" borderId="13" xfId="0" applyNumberFormat="1" applyFont="1" applyFill="1" applyBorder="1" applyAlignment="1">
      <alignment horizontal="center" vertical="center"/>
    </xf>
    <xf numFmtId="178" fontId="99" fillId="50" borderId="13" xfId="389" applyFont="1" applyFill="1" applyBorder="1" applyAlignment="1">
      <alignment horizontal="center"/>
    </xf>
    <xf numFmtId="3" fontId="62" fillId="38" borderId="13" xfId="389" applyNumberFormat="1" applyFont="1" applyFill="1" applyBorder="1" applyAlignment="1">
      <alignment horizontal="center"/>
    </xf>
    <xf numFmtId="3" fontId="62" fillId="38" borderId="13" xfId="324" applyNumberFormat="1" applyFont="1" applyFill="1" applyBorder="1" applyAlignment="1">
      <alignment horizontal="center"/>
    </xf>
    <xf numFmtId="178" fontId="0" fillId="28" borderId="0" xfId="0" applyFill="1" applyAlignment="1"/>
    <xf numFmtId="43" fontId="62" fillId="0" borderId="13" xfId="329" applyFont="1" applyBorder="1" applyAlignment="1">
      <alignment vertical="center"/>
    </xf>
    <xf numFmtId="43" fontId="99" fillId="31" borderId="13" xfId="337" applyFont="1" applyFill="1" applyBorder="1" applyAlignment="1">
      <alignment vertical="center"/>
    </xf>
    <xf numFmtId="43" fontId="57" fillId="44" borderId="13" xfId="395" applyNumberFormat="1" applyFont="1" applyFill="1" applyBorder="1" applyAlignment="1">
      <alignment horizontal="center" vertical="center"/>
    </xf>
    <xf numFmtId="43" fontId="57" fillId="44" borderId="13" xfId="395" applyNumberFormat="1" applyFont="1" applyFill="1" applyBorder="1" applyAlignment="1">
      <alignment horizontal="center" vertical="center" wrapText="1"/>
    </xf>
    <xf numFmtId="43" fontId="57" fillId="40" borderId="13" xfId="395" applyNumberFormat="1" applyFont="1" applyFill="1" applyBorder="1" applyAlignment="1">
      <alignment horizontal="center" vertical="center" wrapText="1"/>
    </xf>
    <xf numFmtId="43" fontId="57" fillId="41" borderId="13" xfId="395" applyNumberFormat="1" applyFont="1" applyFill="1" applyBorder="1" applyAlignment="1">
      <alignment horizontal="center" vertical="center" wrapText="1"/>
    </xf>
    <xf numFmtId="37" fontId="64" fillId="0" borderId="13" xfId="324" applyNumberFormat="1" applyFont="1" applyFill="1" applyBorder="1"/>
    <xf numFmtId="178" fontId="57" fillId="31" borderId="13" xfId="0" applyNumberFormat="1" applyFont="1" applyFill="1" applyBorder="1" applyAlignment="1">
      <alignment horizontal="center" vertical="center"/>
    </xf>
    <xf numFmtId="49" fontId="57" fillId="31" borderId="13" xfId="0" applyNumberFormat="1" applyFont="1" applyFill="1" applyBorder="1" applyAlignment="1">
      <alignment horizontal="center" vertical="center"/>
    </xf>
    <xf numFmtId="37" fontId="57" fillId="31" borderId="13" xfId="324" applyNumberFormat="1" applyFont="1" applyFill="1" applyBorder="1" applyAlignment="1">
      <alignment vertical="center"/>
    </xf>
    <xf numFmtId="178" fontId="57" fillId="31" borderId="13" xfId="0" applyNumberFormat="1" applyFont="1" applyFill="1" applyBorder="1" applyAlignment="1">
      <alignment horizontal="left" vertical="center"/>
    </xf>
    <xf numFmtId="38" fontId="99" fillId="32" borderId="13" xfId="0" applyNumberFormat="1" applyFont="1" applyFill="1" applyBorder="1" applyAlignment="1">
      <alignment horizontal="center" wrapText="1"/>
    </xf>
    <xf numFmtId="10" fontId="60" fillId="32" borderId="13" xfId="0" applyNumberFormat="1" applyFont="1" applyFill="1" applyBorder="1" applyAlignment="1">
      <alignment vertical="center"/>
    </xf>
    <xf numFmtId="168" fontId="83" fillId="32" borderId="13" xfId="324" applyNumberFormat="1" applyFont="1" applyFill="1" applyBorder="1" applyAlignment="1">
      <alignment vertical="center"/>
    </xf>
    <xf numFmtId="178" fontId="60" fillId="27" borderId="13" xfId="0" applyNumberFormat="1" applyFont="1" applyFill="1" applyBorder="1" applyAlignment="1">
      <alignment horizontal="center" vertical="center"/>
    </xf>
    <xf numFmtId="40" fontId="83" fillId="28" borderId="13" xfId="389" applyNumberFormat="1" applyFont="1" applyFill="1" applyBorder="1"/>
    <xf numFmtId="40" fontId="83" fillId="28" borderId="13" xfId="389" applyNumberFormat="1" applyFont="1" applyFill="1" applyBorder="1" applyAlignment="1"/>
    <xf numFmtId="40" fontId="83" fillId="0" borderId="13" xfId="389" applyNumberFormat="1" applyFont="1" applyFill="1" applyBorder="1" applyAlignment="1"/>
    <xf numFmtId="178" fontId="73" fillId="0" borderId="0" xfId="0" applyNumberFormat="1" applyFont="1" applyFill="1" applyBorder="1" applyAlignment="1">
      <alignment horizontal="center"/>
    </xf>
    <xf numFmtId="178" fontId="102" fillId="29" borderId="0" xfId="0" applyFont="1" applyFill="1" applyBorder="1" applyAlignment="1">
      <alignment horizontal="center" vertical="center" wrapText="1"/>
    </xf>
    <xf numFmtId="178" fontId="0" fillId="35" borderId="0" xfId="0" applyFill="1"/>
    <xf numFmtId="177" fontId="108" fillId="31" borderId="13" xfId="0" applyNumberFormat="1" applyFont="1" applyFill="1" applyBorder="1" applyAlignment="1">
      <alignment horizontal="right" vertical="center"/>
    </xf>
    <xf numFmtId="17" fontId="108" fillId="46" borderId="13" xfId="0" applyNumberFormat="1" applyFont="1" applyFill="1" applyBorder="1" applyAlignment="1">
      <alignment horizontal="center" vertical="center"/>
    </xf>
    <xf numFmtId="168" fontId="62" fillId="0" borderId="13" xfId="395" applyNumberFormat="1" applyFont="1" applyFill="1" applyBorder="1" applyAlignment="1">
      <alignment horizontal="center" vertical="center"/>
    </xf>
    <xf numFmtId="43" fontId="77" fillId="40" borderId="13" xfId="395" applyNumberFormat="1" applyFont="1" applyFill="1" applyBorder="1" applyAlignment="1">
      <alignment horizontal="center" vertical="center" wrapText="1"/>
    </xf>
    <xf numFmtId="43" fontId="77" fillId="41" borderId="13" xfId="395" applyNumberFormat="1" applyFont="1" applyFill="1" applyBorder="1" applyAlignment="1">
      <alignment horizontal="center" vertical="center" wrapText="1"/>
    </xf>
    <xf numFmtId="190" fontId="0" fillId="0" borderId="0" xfId="0" applyNumberFormat="1"/>
    <xf numFmtId="173" fontId="99" fillId="44" borderId="14" xfId="362" applyNumberFormat="1" applyFont="1" applyFill="1" applyBorder="1" applyAlignment="1">
      <alignment horizontal="center" vertical="center"/>
    </xf>
    <xf numFmtId="43" fontId="99" fillId="31" borderId="13" xfId="0" applyNumberFormat="1" applyFont="1" applyFill="1" applyBorder="1" applyAlignment="1">
      <alignment horizontal="center" vertical="center" wrapText="1"/>
    </xf>
    <xf numFmtId="43" fontId="99" fillId="31" borderId="13" xfId="0" applyNumberFormat="1" applyFont="1" applyFill="1" applyBorder="1" applyAlignment="1">
      <alignment horizontal="center"/>
    </xf>
    <xf numFmtId="168" fontId="55" fillId="0" borderId="13" xfId="324" applyNumberFormat="1" applyFont="1" applyBorder="1" applyAlignment="1">
      <alignment vertical="center"/>
    </xf>
    <xf numFmtId="3" fontId="57" fillId="31" borderId="17" xfId="0" applyNumberFormat="1" applyFont="1" applyFill="1" applyBorder="1" applyAlignment="1" applyProtection="1">
      <alignment horizontal="right"/>
    </xf>
    <xf numFmtId="3" fontId="57" fillId="31" borderId="13" xfId="0" applyNumberFormat="1" applyFont="1" applyFill="1" applyBorder="1" applyAlignment="1" applyProtection="1">
      <alignment horizontal="center"/>
    </xf>
    <xf numFmtId="179" fontId="57" fillId="31" borderId="13" xfId="0" applyNumberFormat="1" applyFont="1" applyFill="1" applyBorder="1" applyAlignment="1" applyProtection="1">
      <alignment horizontal="center"/>
    </xf>
    <xf numFmtId="10" fontId="57" fillId="31" borderId="13" xfId="0" applyNumberFormat="1" applyFont="1" applyFill="1" applyBorder="1" applyAlignment="1" applyProtection="1">
      <alignment horizontal="center"/>
    </xf>
    <xf numFmtId="3" fontId="57" fillId="31" borderId="13" xfId="0" applyNumberFormat="1" applyFont="1" applyFill="1" applyBorder="1" applyAlignment="1" applyProtection="1">
      <alignment horizontal="right"/>
    </xf>
    <xf numFmtId="178" fontId="131" fillId="0" borderId="0" xfId="0" applyFont="1"/>
    <xf numFmtId="4" fontId="83" fillId="28" borderId="13" xfId="0" applyNumberFormat="1" applyFont="1" applyFill="1" applyBorder="1" applyAlignment="1">
      <alignment horizontal="right"/>
    </xf>
    <xf numFmtId="178" fontId="0" fillId="0" borderId="0" xfId="0" applyBorder="1" applyAlignment="1"/>
    <xf numFmtId="40" fontId="60" fillId="0" borderId="0" xfId="389" applyNumberFormat="1" applyFont="1"/>
    <xf numFmtId="184" fontId="55" fillId="0" borderId="0" xfId="389" applyNumberFormat="1" applyFont="1"/>
    <xf numFmtId="178" fontId="59" fillId="0" borderId="0" xfId="0" applyFont="1"/>
    <xf numFmtId="168" fontId="62" fillId="0" borderId="13" xfId="324" applyNumberFormat="1" applyFont="1" applyBorder="1" applyAlignment="1">
      <alignment vertical="center"/>
    </xf>
    <xf numFmtId="49" fontId="84" fillId="32" borderId="13" xfId="0" applyNumberFormat="1" applyFont="1" applyFill="1" applyBorder="1" applyAlignment="1">
      <alignment horizontal="center" vertical="center" wrapText="1"/>
    </xf>
    <xf numFmtId="178" fontId="0" fillId="0" borderId="0" xfId="0" applyFill="1" applyBorder="1" applyAlignment="1">
      <alignment horizontal="center"/>
    </xf>
    <xf numFmtId="168" fontId="84" fillId="34" borderId="13" xfId="0" applyNumberFormat="1" applyFont="1" applyFill="1" applyBorder="1" applyAlignment="1">
      <alignment horizontal="center" vertical="center" wrapText="1"/>
    </xf>
    <xf numFmtId="168" fontId="62" fillId="0" borderId="13" xfId="324" applyNumberFormat="1" applyFont="1" applyFill="1" applyBorder="1" applyAlignment="1">
      <alignment vertical="center"/>
    </xf>
    <xf numFmtId="178" fontId="99" fillId="49" borderId="14" xfId="0" applyFont="1" applyFill="1" applyBorder="1" applyAlignment="1">
      <alignment horizontal="center" vertical="center" wrapText="1"/>
    </xf>
    <xf numFmtId="178" fontId="99" fillId="0" borderId="0" xfId="0" applyFont="1" applyFill="1" applyBorder="1" applyAlignment="1">
      <alignment horizontal="center" vertical="center" wrapText="1"/>
    </xf>
    <xf numFmtId="178" fontId="57" fillId="49" borderId="14" xfId="0" applyFont="1" applyFill="1" applyBorder="1" applyAlignment="1">
      <alignment horizontal="center" vertical="center" wrapText="1"/>
    </xf>
    <xf numFmtId="43" fontId="35" fillId="0" borderId="0" xfId="329" applyFont="1" applyFill="1" applyBorder="1" applyAlignment="1">
      <alignment horizontal="right"/>
    </xf>
    <xf numFmtId="43" fontId="35" fillId="0" borderId="0" xfId="329" applyFont="1" applyFill="1" applyBorder="1"/>
    <xf numFmtId="0" fontId="77" fillId="0" borderId="0" xfId="0" applyNumberFormat="1" applyFont="1" applyFill="1" applyBorder="1" applyAlignment="1">
      <alignment horizontal="center" vertical="center" wrapText="1"/>
    </xf>
    <xf numFmtId="0" fontId="77" fillId="0" borderId="0" xfId="0" applyNumberFormat="1" applyFont="1" applyFill="1" applyBorder="1" applyAlignment="1">
      <alignment horizontal="center" vertical="center"/>
    </xf>
    <xf numFmtId="43" fontId="108" fillId="0" borderId="0" xfId="0" applyNumberFormat="1" applyFont="1" applyFill="1" applyBorder="1" applyAlignment="1">
      <alignment horizontal="center" vertical="center" wrapText="1"/>
    </xf>
    <xf numFmtId="49" fontId="83" fillId="0" borderId="0" xfId="0" applyNumberFormat="1" applyFont="1" applyFill="1" applyBorder="1" applyAlignment="1">
      <alignment horizontal="center" vertical="center" wrapText="1"/>
    </xf>
    <xf numFmtId="178" fontId="106" fillId="0" borderId="0" xfId="0" applyFont="1" applyFill="1" applyBorder="1" applyAlignment="1">
      <alignment horizontal="center" vertical="center" wrapText="1"/>
    </xf>
    <xf numFmtId="178" fontId="0" fillId="0" borderId="0" xfId="451" applyFont="1"/>
    <xf numFmtId="168" fontId="64" fillId="35" borderId="13" xfId="325" applyNumberFormat="1" applyFont="1" applyFill="1" applyBorder="1"/>
    <xf numFmtId="168" fontId="62" fillId="35" borderId="13" xfId="325" applyNumberFormat="1" applyFont="1" applyFill="1" applyBorder="1"/>
    <xf numFmtId="173" fontId="62" fillId="0" borderId="13" xfId="329" applyNumberFormat="1" applyFont="1" applyFill="1" applyBorder="1" applyAlignment="1">
      <alignment horizontal="right" vertical="center"/>
    </xf>
    <xf numFmtId="40" fontId="84" fillId="28" borderId="13" xfId="329" applyNumberFormat="1" applyFont="1" applyFill="1" applyBorder="1" applyAlignment="1"/>
    <xf numFmtId="43" fontId="99" fillId="31" borderId="13" xfId="337" applyFont="1" applyFill="1" applyBorder="1" applyAlignment="1">
      <alignment horizontal="center" vertical="center" wrapText="1"/>
    </xf>
    <xf numFmtId="168" fontId="62" fillId="35" borderId="13" xfId="395" applyNumberFormat="1" applyFont="1" applyFill="1" applyBorder="1" applyAlignment="1">
      <alignment horizontal="center" vertical="center"/>
    </xf>
    <xf numFmtId="17" fontId="57" fillId="44" borderId="13" xfId="395" applyNumberFormat="1" applyFont="1" applyFill="1" applyBorder="1" applyAlignment="1">
      <alignment horizontal="center" vertical="center"/>
    </xf>
    <xf numFmtId="173" fontId="55" fillId="0" borderId="0" xfId="389" applyNumberFormat="1" applyFont="1" applyBorder="1"/>
    <xf numFmtId="173" fontId="0" fillId="0" borderId="0" xfId="0" applyNumberFormat="1" applyBorder="1"/>
    <xf numFmtId="3" fontId="134" fillId="25" borderId="0" xfId="0" applyNumberFormat="1" applyFont="1" applyFill="1" applyBorder="1" applyAlignment="1">
      <alignment horizontal="center"/>
    </xf>
    <xf numFmtId="43" fontId="0" fillId="0" borderId="0" xfId="0" applyNumberFormat="1" applyBorder="1" applyAlignment="1">
      <alignment horizontal="left" indent="1"/>
    </xf>
    <xf numFmtId="43" fontId="99" fillId="31" borderId="13" xfId="0" applyNumberFormat="1" applyFont="1" applyFill="1" applyBorder="1" applyAlignment="1">
      <alignment horizontal="center" vertical="center"/>
    </xf>
    <xf numFmtId="43" fontId="83" fillId="27" borderId="17" xfId="0" applyNumberFormat="1" applyFont="1" applyFill="1" applyBorder="1" applyAlignment="1">
      <alignment horizontal="center" vertical="center" wrapText="1"/>
    </xf>
    <xf numFmtId="178" fontId="102" fillId="0" borderId="34" xfId="0" applyFont="1" applyFill="1" applyBorder="1" applyAlignment="1">
      <alignment horizontal="center" vertical="center" wrapText="1"/>
    </xf>
    <xf numFmtId="178" fontId="102" fillId="0" borderId="11" xfId="0" applyFont="1" applyFill="1" applyBorder="1" applyAlignment="1">
      <alignment horizontal="center" vertical="center" wrapText="1"/>
    </xf>
    <xf numFmtId="178" fontId="102" fillId="0" borderId="43" xfId="0" applyFont="1" applyFill="1" applyBorder="1" applyAlignment="1">
      <alignment horizontal="center" vertical="center" wrapText="1"/>
    </xf>
    <xf numFmtId="168" fontId="83" fillId="0" borderId="13" xfId="324" applyNumberFormat="1" applyFont="1" applyBorder="1" applyAlignment="1">
      <alignment vertical="center"/>
    </xf>
    <xf numFmtId="168" fontId="83" fillId="0" borderId="13" xfId="324" applyNumberFormat="1" applyFont="1" applyFill="1" applyBorder="1" applyAlignment="1">
      <alignment vertical="center"/>
    </xf>
    <xf numFmtId="41" fontId="0" fillId="0" borderId="0" xfId="0" applyNumberFormat="1"/>
    <xf numFmtId="178" fontId="137" fillId="53" borderId="49" xfId="0" applyFont="1" applyFill="1" applyBorder="1" applyAlignment="1">
      <alignment horizontal="center" vertical="center" wrapText="1"/>
    </xf>
    <xf numFmtId="178" fontId="137" fillId="53" borderId="51" xfId="0" applyFont="1" applyFill="1" applyBorder="1" applyAlignment="1">
      <alignment horizontal="center" vertical="center" wrapText="1"/>
    </xf>
    <xf numFmtId="178" fontId="123" fillId="45" borderId="52" xfId="0" applyFont="1" applyFill="1" applyBorder="1" applyAlignment="1">
      <alignment vertical="top" wrapText="1"/>
    </xf>
    <xf numFmtId="178" fontId="61" fillId="32" borderId="13" xfId="0" applyFont="1" applyFill="1" applyBorder="1" applyAlignment="1">
      <alignment horizontal="center" vertical="center"/>
    </xf>
    <xf numFmtId="178" fontId="61" fillId="32" borderId="13" xfId="0" applyFont="1" applyFill="1" applyBorder="1" applyAlignment="1">
      <alignment horizontal="left" vertical="center"/>
    </xf>
    <xf numFmtId="49" fontId="61" fillId="32" borderId="13" xfId="0" applyNumberFormat="1" applyFont="1" applyFill="1" applyBorder="1" applyAlignment="1">
      <alignment horizontal="center" wrapText="1"/>
    </xf>
    <xf numFmtId="41" fontId="0" fillId="0" borderId="0" xfId="0" applyNumberFormat="1" applyFill="1" applyBorder="1"/>
    <xf numFmtId="168" fontId="83" fillId="0" borderId="13" xfId="324" applyNumberFormat="1" applyFont="1" applyBorder="1" applyAlignment="1">
      <alignment horizontal="right"/>
    </xf>
    <xf numFmtId="173" fontId="83" fillId="0" borderId="13" xfId="324" applyNumberFormat="1" applyFont="1" applyBorder="1" applyAlignment="1">
      <alignment horizontal="right"/>
    </xf>
    <xf numFmtId="168" fontId="83" fillId="0" borderId="13" xfId="324" applyNumberFormat="1" applyFont="1" applyFill="1" applyBorder="1" applyAlignment="1">
      <alignment horizontal="right"/>
    </xf>
    <xf numFmtId="168" fontId="83" fillId="34" borderId="13" xfId="0" applyNumberFormat="1" applyFont="1" applyFill="1" applyBorder="1" applyAlignment="1">
      <alignment horizontal="right" wrapText="1"/>
    </xf>
    <xf numFmtId="10" fontId="83" fillId="34" borderId="13" xfId="0" applyNumberFormat="1" applyFont="1" applyFill="1" applyBorder="1" applyAlignment="1">
      <alignment horizontal="right"/>
    </xf>
    <xf numFmtId="41" fontId="123" fillId="45" borderId="50" xfId="0" applyNumberFormat="1" applyFont="1" applyFill="1" applyBorder="1" applyAlignment="1">
      <alignment horizontal="right" vertical="top" wrapText="1"/>
    </xf>
    <xf numFmtId="168" fontId="72" fillId="35" borderId="13" xfId="324" applyNumberFormat="1" applyFont="1" applyFill="1" applyBorder="1" applyAlignment="1">
      <alignment horizontal="right"/>
    </xf>
    <xf numFmtId="168" fontId="83" fillId="35" borderId="13" xfId="324" applyNumberFormat="1" applyFont="1" applyFill="1" applyBorder="1" applyAlignment="1">
      <alignment horizontal="right"/>
    </xf>
    <xf numFmtId="49" fontId="83" fillId="34" borderId="13" xfId="0" applyNumberFormat="1" applyFont="1" applyFill="1" applyBorder="1" applyAlignment="1">
      <alignment horizontal="center" vertical="center" wrapText="1"/>
    </xf>
    <xf numFmtId="9" fontId="0" fillId="0" borderId="0" xfId="552" applyFont="1" applyBorder="1" applyAlignment="1">
      <alignment vertical="center"/>
    </xf>
    <xf numFmtId="3" fontId="62" fillId="0" borderId="13" xfId="324" applyNumberFormat="1" applyFont="1" applyBorder="1" applyAlignment="1">
      <alignment horizontal="center" vertical="center"/>
    </xf>
    <xf numFmtId="3" fontId="84" fillId="27" borderId="13" xfId="324" applyNumberFormat="1" applyFont="1" applyFill="1" applyBorder="1" applyAlignment="1">
      <alignment horizontal="center" vertical="center"/>
    </xf>
    <xf numFmtId="43" fontId="64" fillId="28" borderId="39" xfId="395" applyNumberFormat="1" applyFont="1" applyFill="1" applyBorder="1" applyAlignment="1">
      <alignment horizontal="right"/>
    </xf>
    <xf numFmtId="3" fontId="64" fillId="0" borderId="13" xfId="389" applyNumberFormat="1" applyFont="1" applyFill="1" applyBorder="1" applyAlignment="1" applyProtection="1">
      <alignment horizontal="right"/>
    </xf>
    <xf numFmtId="3" fontId="60" fillId="0" borderId="13" xfId="389" applyNumberFormat="1" applyFont="1" applyFill="1" applyBorder="1" applyAlignment="1">
      <alignment horizontal="right"/>
    </xf>
    <xf numFmtId="173" fontId="83" fillId="0" borderId="13" xfId="0" applyNumberFormat="1" applyFont="1" applyBorder="1"/>
    <xf numFmtId="173" fontId="83" fillId="0" borderId="13" xfId="0" applyNumberFormat="1" applyFont="1" applyBorder="1" applyAlignment="1">
      <alignment vertical="center"/>
    </xf>
    <xf numFmtId="168" fontId="84" fillId="0" borderId="13" xfId="324" applyNumberFormat="1" applyFont="1" applyBorder="1" applyAlignment="1">
      <alignment vertical="center"/>
    </xf>
    <xf numFmtId="43" fontId="99" fillId="44" borderId="13" xfId="395" applyNumberFormat="1" applyFont="1" applyFill="1" applyBorder="1" applyAlignment="1">
      <alignment horizontal="center" vertical="center"/>
    </xf>
    <xf numFmtId="178" fontId="57" fillId="44" borderId="13" xfId="0" applyNumberFormat="1" applyFont="1" applyFill="1" applyBorder="1" applyAlignment="1">
      <alignment horizontal="center" vertical="center" wrapText="1"/>
    </xf>
    <xf numFmtId="0" fontId="72" fillId="0" borderId="13" xfId="324" applyNumberFormat="1" applyFont="1" applyBorder="1" applyAlignment="1">
      <alignment vertical="center"/>
    </xf>
    <xf numFmtId="0" fontId="72" fillId="0" borderId="13" xfId="324" applyNumberFormat="1" applyFont="1" applyFill="1" applyBorder="1" applyAlignment="1">
      <alignment vertical="center"/>
    </xf>
    <xf numFmtId="43" fontId="99" fillId="31" borderId="13" xfId="0" applyNumberFormat="1" applyFont="1" applyFill="1" applyBorder="1" applyAlignment="1">
      <alignment horizontal="left"/>
    </xf>
    <xf numFmtId="168" fontId="99" fillId="31" borderId="13" xfId="0" applyNumberFormat="1" applyFont="1" applyFill="1" applyBorder="1" applyAlignment="1">
      <alignment horizontal="center"/>
    </xf>
    <xf numFmtId="43" fontId="99" fillId="31" borderId="13" xfId="324" applyNumberFormat="1" applyFont="1" applyFill="1" applyBorder="1" applyAlignment="1">
      <alignment horizontal="center"/>
    </xf>
    <xf numFmtId="17" fontId="57" fillId="31" borderId="13" xfId="0" applyNumberFormat="1" applyFont="1" applyFill="1" applyBorder="1" applyAlignment="1">
      <alignment horizontal="center"/>
    </xf>
    <xf numFmtId="170" fontId="57" fillId="31" borderId="13" xfId="0" applyNumberFormat="1" applyFont="1" applyFill="1" applyBorder="1" applyAlignment="1">
      <alignment horizontal="center"/>
    </xf>
    <xf numFmtId="0" fontId="99" fillId="31" borderId="13" xfId="0" applyNumberFormat="1" applyFont="1" applyFill="1" applyBorder="1" applyAlignment="1">
      <alignment horizontal="center" vertical="center"/>
    </xf>
    <xf numFmtId="40" fontId="84" fillId="38" borderId="13" xfId="329" applyNumberFormat="1" applyFont="1" applyFill="1" applyBorder="1" applyAlignment="1"/>
    <xf numFmtId="178" fontId="57" fillId="40" borderId="13" xfId="348" applyFont="1" applyFill="1" applyBorder="1" applyAlignment="1">
      <alignment horizontal="center" vertical="center" wrapText="1"/>
    </xf>
    <xf numFmtId="178" fontId="57" fillId="41" borderId="13" xfId="348" applyFont="1" applyFill="1" applyBorder="1" applyAlignment="1">
      <alignment horizontal="center" vertical="center" wrapText="1"/>
    </xf>
    <xf numFmtId="49" fontId="138" fillId="44" borderId="13" xfId="0" applyNumberFormat="1" applyFont="1" applyFill="1" applyBorder="1" applyAlignment="1">
      <alignment horizontal="center" vertical="center"/>
    </xf>
    <xf numFmtId="3" fontId="130" fillId="0" borderId="13" xfId="326" applyNumberFormat="1" applyFont="1" applyFill="1" applyBorder="1" applyAlignment="1">
      <alignment horizontal="right" wrapText="1"/>
    </xf>
    <xf numFmtId="3" fontId="130" fillId="0" borderId="13" xfId="326" applyNumberFormat="1" applyFont="1" applyFill="1" applyBorder="1" applyAlignment="1">
      <alignment horizontal="right"/>
    </xf>
    <xf numFmtId="3" fontId="115" fillId="0" borderId="13" xfId="0" applyNumberFormat="1" applyFont="1" applyFill="1" applyBorder="1" applyAlignment="1">
      <alignment horizontal="right"/>
    </xf>
    <xf numFmtId="10" fontId="115" fillId="0" borderId="13" xfId="0" applyNumberFormat="1" applyFont="1" applyBorder="1" applyAlignment="1">
      <alignment horizontal="right"/>
    </xf>
    <xf numFmtId="3" fontId="130" fillId="0" borderId="13" xfId="326" applyNumberFormat="1" applyFont="1" applyFill="1" applyBorder="1" applyAlignment="1">
      <alignment horizontal="right" vertical="center" wrapText="1"/>
    </xf>
    <xf numFmtId="3" fontId="115" fillId="0" borderId="13" xfId="0" applyNumberFormat="1" applyFont="1" applyBorder="1" applyAlignment="1">
      <alignment horizontal="right"/>
    </xf>
    <xf numFmtId="10" fontId="115" fillId="0" borderId="13" xfId="0" applyNumberFormat="1" applyFont="1" applyFill="1" applyBorder="1" applyAlignment="1">
      <alignment horizontal="right"/>
    </xf>
    <xf numFmtId="49" fontId="111" fillId="44" borderId="13" xfId="0" applyNumberFormat="1" applyFont="1" applyFill="1" applyBorder="1" applyAlignment="1">
      <alignment horizontal="center"/>
    </xf>
    <xf numFmtId="178" fontId="111" fillId="44" borderId="13" xfId="0" applyNumberFormat="1" applyFont="1" applyFill="1" applyBorder="1" applyAlignment="1">
      <alignment horizontal="center"/>
    </xf>
    <xf numFmtId="3" fontId="84" fillId="29" borderId="13" xfId="324" applyNumberFormat="1" applyFont="1" applyFill="1" applyBorder="1" applyAlignment="1">
      <alignment horizontal="center" vertical="center"/>
    </xf>
    <xf numFmtId="17" fontId="84" fillId="27" borderId="13" xfId="0" applyNumberFormat="1" applyFont="1" applyFill="1" applyBorder="1" applyAlignment="1">
      <alignment horizontal="left" vertical="center"/>
    </xf>
    <xf numFmtId="43" fontId="62" fillId="28" borderId="13" xfId="0" applyNumberFormat="1" applyFont="1" applyFill="1" applyBorder="1" applyAlignment="1">
      <alignment vertical="center"/>
    </xf>
    <xf numFmtId="43" fontId="83" fillId="27" borderId="13" xfId="0" applyNumberFormat="1" applyFont="1" applyFill="1" applyBorder="1" applyAlignment="1">
      <alignment vertical="center"/>
    </xf>
    <xf numFmtId="43" fontId="62" fillId="0" borderId="13" xfId="0" applyNumberFormat="1" applyFont="1" applyFill="1" applyBorder="1" applyAlignment="1">
      <alignment vertical="center"/>
    </xf>
    <xf numFmtId="49" fontId="61" fillId="34" borderId="0" xfId="0" applyNumberFormat="1" applyFont="1" applyFill="1" applyBorder="1" applyAlignment="1">
      <alignment horizontal="center" vertical="center" wrapText="1"/>
    </xf>
    <xf numFmtId="178" fontId="99" fillId="31" borderId="13" xfId="0" applyFont="1" applyFill="1" applyBorder="1" applyAlignment="1">
      <alignment horizontal="center" vertical="center"/>
    </xf>
    <xf numFmtId="178" fontId="99" fillId="31" borderId="13" xfId="0" applyFont="1" applyFill="1" applyBorder="1" applyAlignment="1">
      <alignment horizontal="center" vertical="center" wrapText="1"/>
    </xf>
    <xf numFmtId="168" fontId="99" fillId="31" borderId="13" xfId="324" applyNumberFormat="1" applyFont="1" applyFill="1" applyBorder="1"/>
    <xf numFmtId="178" fontId="0" fillId="0" borderId="0" xfId="0" applyAlignment="1">
      <alignment horizontal="center"/>
    </xf>
    <xf numFmtId="178" fontId="61" fillId="0" borderId="0" xfId="0" applyNumberFormat="1" applyFont="1" applyAlignment="1">
      <alignment horizontal="center"/>
    </xf>
    <xf numFmtId="173" fontId="84" fillId="0" borderId="13" xfId="348" applyNumberFormat="1" applyFont="1" applyBorder="1" applyAlignment="1">
      <alignment horizontal="center"/>
    </xf>
    <xf numFmtId="173" fontId="84" fillId="0" borderId="13" xfId="348" applyNumberFormat="1" applyFont="1" applyFill="1" applyBorder="1" applyAlignment="1">
      <alignment horizontal="center"/>
    </xf>
    <xf numFmtId="178" fontId="106" fillId="32" borderId="13" xfId="0" applyNumberFormat="1" applyFont="1" applyFill="1" applyBorder="1" applyAlignment="1">
      <alignment horizontal="center" vertical="center" wrapText="1"/>
    </xf>
    <xf numFmtId="4" fontId="139" fillId="0" borderId="13" xfId="324" applyNumberFormat="1" applyFont="1" applyFill="1" applyBorder="1" applyAlignment="1">
      <alignment horizontal="right"/>
    </xf>
    <xf numFmtId="178" fontId="83" fillId="48" borderId="13" xfId="0" applyFont="1" applyFill="1" applyBorder="1" applyAlignment="1">
      <alignment horizontal="center" vertical="center"/>
    </xf>
    <xf numFmtId="168" fontId="83" fillId="48" borderId="13" xfId="324" applyNumberFormat="1" applyFont="1" applyFill="1" applyBorder="1" applyAlignment="1">
      <alignment vertical="center"/>
    </xf>
    <xf numFmtId="173" fontId="83" fillId="48" borderId="13" xfId="0" applyNumberFormat="1" applyFont="1" applyFill="1" applyBorder="1" applyAlignment="1">
      <alignment vertical="center"/>
    </xf>
    <xf numFmtId="43" fontId="0" fillId="0" borderId="0" xfId="0" applyNumberFormat="1" applyAlignment="1">
      <alignment vertical="center"/>
    </xf>
    <xf numFmtId="168" fontId="103" fillId="0" borderId="13" xfId="395" applyNumberFormat="1" applyFont="1" applyFill="1" applyBorder="1" applyAlignment="1">
      <alignment horizontal="center" vertical="center"/>
    </xf>
    <xf numFmtId="49" fontId="83" fillId="32" borderId="13" xfId="0" applyNumberFormat="1" applyFont="1" applyFill="1" applyBorder="1" applyAlignment="1">
      <alignment horizontal="center"/>
    </xf>
    <xf numFmtId="0" fontId="83" fillId="32" borderId="13" xfId="0" applyNumberFormat="1" applyFont="1" applyFill="1" applyBorder="1" applyAlignment="1">
      <alignment horizontal="center"/>
    </xf>
    <xf numFmtId="10" fontId="73" fillId="0" borderId="13" xfId="325" applyNumberFormat="1" applyFont="1" applyBorder="1"/>
    <xf numFmtId="178" fontId="57" fillId="49" borderId="13" xfId="348" applyNumberFormat="1" applyFont="1" applyFill="1" applyBorder="1" applyAlignment="1">
      <alignment horizontal="center"/>
    </xf>
    <xf numFmtId="168" fontId="124" fillId="49" borderId="13" xfId="325" applyNumberFormat="1" applyFont="1" applyFill="1" applyBorder="1" applyAlignment="1"/>
    <xf numFmtId="10" fontId="124" fillId="49" borderId="13" xfId="325" applyNumberFormat="1" applyFont="1" applyFill="1" applyBorder="1" applyAlignment="1"/>
    <xf numFmtId="38" fontId="93" fillId="0" borderId="13" xfId="0" applyNumberFormat="1" applyFont="1" applyBorder="1" applyAlignment="1">
      <alignment horizontal="right" vertical="top"/>
    </xf>
    <xf numFmtId="0" fontId="143" fillId="0" borderId="0" xfId="627" applyFont="1"/>
    <xf numFmtId="173" fontId="143" fillId="0" borderId="0" xfId="627" applyNumberFormat="1" applyFont="1"/>
    <xf numFmtId="3" fontId="75" fillId="28" borderId="13" xfId="337" applyNumberFormat="1" applyFont="1" applyFill="1" applyBorder="1" applyAlignment="1"/>
    <xf numFmtId="3" fontId="75" fillId="28" borderId="13" xfId="329" applyNumberFormat="1" applyFont="1" applyFill="1" applyBorder="1" applyAlignment="1">
      <alignment horizontal="right"/>
    </xf>
    <xf numFmtId="173" fontId="94" fillId="28" borderId="13" xfId="0" applyNumberFormat="1" applyFont="1" applyFill="1" applyBorder="1" applyAlignment="1">
      <alignment horizontal="right" vertical="top"/>
    </xf>
    <xf numFmtId="173" fontId="0" fillId="0" borderId="0" xfId="552" applyNumberFormat="1" applyFont="1" applyFill="1" applyBorder="1"/>
    <xf numFmtId="168" fontId="64" fillId="0" borderId="13" xfId="324" applyNumberFormat="1" applyFont="1" applyBorder="1" applyAlignment="1">
      <alignment horizontal="right"/>
    </xf>
    <xf numFmtId="168" fontId="64" fillId="0" borderId="13" xfId="395" applyNumberFormat="1" applyFont="1" applyFill="1" applyBorder="1" applyAlignment="1">
      <alignment horizontal="right"/>
    </xf>
    <xf numFmtId="168" fontId="84" fillId="0" borderId="13" xfId="325" applyNumberFormat="1" applyFont="1" applyBorder="1"/>
    <xf numFmtId="168" fontId="84" fillId="0" borderId="13" xfId="325" applyNumberFormat="1" applyFont="1" applyFill="1" applyBorder="1"/>
    <xf numFmtId="3" fontId="62" fillId="0" borderId="13" xfId="329" applyNumberFormat="1" applyFont="1" applyBorder="1" applyAlignment="1"/>
    <xf numFmtId="173" fontId="84" fillId="34" borderId="13" xfId="329" applyNumberFormat="1" applyFont="1" applyFill="1" applyBorder="1" applyAlignment="1">
      <alignment horizontal="right" vertical="center" wrapText="1"/>
    </xf>
    <xf numFmtId="3" fontId="62" fillId="0" borderId="13" xfId="329" applyNumberFormat="1" applyFont="1" applyFill="1" applyBorder="1" applyAlignment="1"/>
    <xf numFmtId="43" fontId="62" fillId="0" borderId="13" xfId="329" applyFont="1" applyFill="1" applyBorder="1" applyAlignment="1">
      <alignment vertical="center"/>
    </xf>
    <xf numFmtId="9" fontId="0" fillId="0" borderId="0" xfId="552" applyFont="1"/>
    <xf numFmtId="168" fontId="64" fillId="28" borderId="13" xfId="395" applyNumberFormat="1" applyFont="1" applyFill="1" applyBorder="1" applyAlignment="1">
      <alignment horizontal="right"/>
    </xf>
    <xf numFmtId="168" fontId="116" fillId="28" borderId="13" xfId="395" applyNumberFormat="1" applyFont="1" applyFill="1" applyBorder="1" applyAlignment="1">
      <alignment horizontal="right"/>
    </xf>
    <xf numFmtId="173" fontId="116" fillId="0" borderId="13" xfId="395" applyNumberFormat="1" applyFont="1" applyBorder="1" applyAlignment="1">
      <alignment horizontal="right" indent="1"/>
    </xf>
    <xf numFmtId="173" fontId="116" fillId="0" borderId="13" xfId="395" applyNumberFormat="1" applyFont="1" applyFill="1" applyBorder="1" applyAlignment="1">
      <alignment horizontal="right" indent="1"/>
    </xf>
    <xf numFmtId="173" fontId="116" fillId="0" borderId="13" xfId="395" applyNumberFormat="1" applyFont="1" applyBorder="1" applyAlignment="1">
      <alignment horizontal="right"/>
    </xf>
    <xf numFmtId="173" fontId="116" fillId="0" borderId="13" xfId="395" applyNumberFormat="1" applyFont="1" applyFill="1" applyBorder="1" applyAlignment="1">
      <alignment horizontal="right"/>
    </xf>
    <xf numFmtId="40" fontId="72" fillId="28" borderId="13" xfId="0" applyNumberFormat="1" applyFont="1" applyFill="1" applyBorder="1"/>
    <xf numFmtId="40" fontId="62" fillId="28" borderId="13" xfId="0" applyNumberFormat="1" applyFont="1" applyFill="1" applyBorder="1" applyAlignment="1">
      <alignment vertical="center"/>
    </xf>
    <xf numFmtId="40" fontId="83" fillId="0" borderId="13" xfId="0" applyNumberFormat="1" applyFont="1" applyBorder="1"/>
    <xf numFmtId="43" fontId="62" fillId="28" borderId="13" xfId="337" applyNumberFormat="1" applyFont="1" applyFill="1" applyBorder="1"/>
    <xf numFmtId="43" fontId="140" fillId="0" borderId="13" xfId="337" applyNumberFormat="1" applyFont="1" applyBorder="1"/>
    <xf numFmtId="41" fontId="84" fillId="0" borderId="13" xfId="348" applyNumberFormat="1" applyFont="1" applyBorder="1" applyAlignment="1">
      <alignment horizontal="center"/>
    </xf>
    <xf numFmtId="41" fontId="84" fillId="0" borderId="13" xfId="348" applyNumberFormat="1" applyFont="1" applyFill="1" applyBorder="1" applyAlignment="1">
      <alignment horizontal="center"/>
    </xf>
    <xf numFmtId="41" fontId="84" fillId="28" borderId="13" xfId="348" applyNumberFormat="1" applyFont="1" applyFill="1" applyBorder="1" applyAlignment="1">
      <alignment horizontal="center"/>
    </xf>
    <xf numFmtId="3" fontId="130" fillId="28" borderId="13" xfId="326" applyNumberFormat="1" applyFont="1" applyFill="1" applyBorder="1" applyAlignment="1">
      <alignment horizontal="right"/>
    </xf>
    <xf numFmtId="3" fontId="115" fillId="28" borderId="13" xfId="0" applyNumberFormat="1" applyFont="1" applyFill="1" applyBorder="1" applyAlignment="1">
      <alignment horizontal="right"/>
    </xf>
    <xf numFmtId="10" fontId="115" fillId="28" borderId="13" xfId="0" applyNumberFormat="1" applyFont="1" applyFill="1" applyBorder="1" applyAlignment="1">
      <alignment horizontal="right"/>
    </xf>
    <xf numFmtId="9" fontId="0" fillId="0" borderId="0" xfId="552" applyNumberFormat="1" applyFont="1"/>
    <xf numFmtId="3" fontId="83" fillId="0" borderId="13" xfId="389" applyNumberFormat="1" applyFont="1" applyBorder="1" applyAlignment="1">
      <alignment horizontal="right"/>
    </xf>
    <xf numFmtId="178" fontId="99" fillId="46" borderId="13" xfId="389" applyFont="1" applyFill="1" applyBorder="1" applyAlignment="1">
      <alignment horizontal="center" vertical="center" wrapText="1"/>
    </xf>
    <xf numFmtId="1" fontId="62" fillId="0" borderId="13" xfId="324" applyNumberFormat="1" applyFont="1" applyBorder="1" applyAlignment="1">
      <alignment horizontal="center" vertical="center"/>
    </xf>
    <xf numFmtId="168" fontId="62" fillId="0" borderId="13" xfId="324" applyNumberFormat="1" applyFont="1" applyBorder="1" applyAlignment="1">
      <alignment horizontal="center" vertical="center"/>
    </xf>
    <xf numFmtId="1" fontId="62" fillId="0" borderId="13" xfId="324" applyNumberFormat="1" applyFont="1" applyFill="1" applyBorder="1" applyAlignment="1">
      <alignment horizontal="center" vertical="center"/>
    </xf>
    <xf numFmtId="168" fontId="62" fillId="0" borderId="13" xfId="324" applyNumberFormat="1" applyFont="1" applyFill="1" applyBorder="1" applyAlignment="1">
      <alignment horizontal="center" vertical="center"/>
    </xf>
    <xf numFmtId="40" fontId="62" fillId="28" borderId="13" xfId="389" applyNumberFormat="1" applyFont="1" applyFill="1" applyBorder="1" applyAlignment="1"/>
    <xf numFmtId="10" fontId="72" fillId="28" borderId="13" xfId="451" applyNumberFormat="1" applyFont="1" applyFill="1" applyBorder="1"/>
    <xf numFmtId="43" fontId="72" fillId="0" borderId="13" xfId="0" applyNumberFormat="1" applyFont="1" applyFill="1" applyBorder="1" applyAlignment="1">
      <alignment vertical="center"/>
    </xf>
    <xf numFmtId="10" fontId="0" fillId="42" borderId="0" xfId="0" applyNumberFormat="1" applyFill="1" applyBorder="1" applyAlignment="1">
      <alignment horizontal="right"/>
    </xf>
    <xf numFmtId="10" fontId="83" fillId="0" borderId="13" xfId="324" applyNumberFormat="1" applyFont="1" applyBorder="1" applyAlignment="1">
      <alignment vertical="center"/>
    </xf>
    <xf numFmtId="10" fontId="83" fillId="0" borderId="13" xfId="324" applyNumberFormat="1" applyFont="1" applyFill="1" applyBorder="1" applyAlignment="1">
      <alignment vertical="center"/>
    </xf>
    <xf numFmtId="3" fontId="84" fillId="34" borderId="13" xfId="329" applyNumberFormat="1" applyFont="1" applyFill="1" applyBorder="1" applyAlignment="1"/>
    <xf numFmtId="178" fontId="60" fillId="32" borderId="13" xfId="0" applyNumberFormat="1" applyFont="1" applyFill="1" applyBorder="1" applyAlignment="1">
      <alignment horizontal="center" vertical="center" wrapText="1"/>
    </xf>
    <xf numFmtId="178" fontId="99" fillId="34" borderId="13" xfId="0" applyNumberFormat="1" applyFont="1" applyFill="1" applyBorder="1" applyAlignment="1">
      <alignment horizontal="center" vertical="center" wrapText="1"/>
    </xf>
    <xf numFmtId="178" fontId="83" fillId="0" borderId="0" xfId="0" applyFont="1"/>
    <xf numFmtId="173" fontId="62" fillId="34" borderId="13" xfId="329" applyNumberFormat="1" applyFont="1" applyFill="1" applyBorder="1" applyAlignment="1">
      <alignment horizontal="right" vertical="center"/>
    </xf>
    <xf numFmtId="10" fontId="62" fillId="36" borderId="13" xfId="329" applyNumberFormat="1" applyFont="1" applyFill="1" applyBorder="1" applyAlignment="1">
      <alignment horizontal="right" vertical="center"/>
    </xf>
    <xf numFmtId="178" fontId="57" fillId="0" borderId="0" xfId="0" applyFont="1" applyFill="1" applyBorder="1" applyAlignment="1">
      <alignment horizontal="center" vertical="center" wrapText="1"/>
    </xf>
    <xf numFmtId="168" fontId="77" fillId="29" borderId="13" xfId="395" applyNumberFormat="1" applyFont="1" applyFill="1" applyBorder="1" applyAlignment="1">
      <alignment horizontal="right"/>
    </xf>
    <xf numFmtId="173" fontId="77" fillId="29" borderId="13" xfId="395" applyNumberFormat="1" applyFont="1" applyFill="1" applyBorder="1" applyAlignment="1">
      <alignment horizontal="right"/>
    </xf>
    <xf numFmtId="168" fontId="77" fillId="29" borderId="13" xfId="324" applyNumberFormat="1" applyFont="1" applyFill="1" applyBorder="1" applyAlignment="1">
      <alignment horizontal="right"/>
    </xf>
    <xf numFmtId="173" fontId="60" fillId="29" borderId="13" xfId="0" applyNumberFormat="1" applyFont="1" applyFill="1" applyBorder="1" applyAlignment="1">
      <alignment horizontal="right"/>
    </xf>
    <xf numFmtId="168" fontId="77" fillId="32" borderId="13" xfId="395" applyNumberFormat="1" applyFont="1" applyFill="1" applyBorder="1" applyAlignment="1">
      <alignment horizontal="right"/>
    </xf>
    <xf numFmtId="173" fontId="73" fillId="32" borderId="13" xfId="395" applyNumberFormat="1" applyFont="1" applyFill="1" applyBorder="1" applyAlignment="1">
      <alignment horizontal="right"/>
    </xf>
    <xf numFmtId="43" fontId="73" fillId="34" borderId="13" xfId="395" applyNumberFormat="1" applyFont="1" applyFill="1" applyBorder="1" applyAlignment="1">
      <alignment horizontal="center" vertical="center" wrapText="1"/>
    </xf>
    <xf numFmtId="178" fontId="76" fillId="32" borderId="13" xfId="0" applyNumberFormat="1" applyFont="1" applyFill="1" applyBorder="1" applyAlignment="1">
      <alignment horizontal="center" vertical="center" wrapText="1"/>
    </xf>
    <xf numFmtId="17" fontId="77" fillId="32" borderId="13" xfId="395" applyNumberFormat="1" applyFont="1" applyFill="1" applyBorder="1" applyAlignment="1">
      <alignment horizontal="center"/>
    </xf>
    <xf numFmtId="189" fontId="77" fillId="28" borderId="13" xfId="614" applyNumberFormat="1" applyFont="1" applyFill="1" applyBorder="1"/>
    <xf numFmtId="41" fontId="99" fillId="44" borderId="14" xfId="362" applyNumberFormat="1" applyFont="1" applyFill="1" applyBorder="1" applyAlignment="1">
      <alignment horizontal="center" vertical="center"/>
    </xf>
    <xf numFmtId="3" fontId="84" fillId="28" borderId="13" xfId="324" applyNumberFormat="1" applyFont="1" applyFill="1" applyBorder="1" applyAlignment="1">
      <alignment horizontal="center"/>
    </xf>
    <xf numFmtId="10" fontId="84" fillId="28" borderId="13" xfId="0" applyNumberFormat="1" applyFont="1" applyFill="1" applyBorder="1" applyAlignment="1">
      <alignment vertical="center"/>
    </xf>
    <xf numFmtId="10" fontId="84" fillId="0" borderId="13" xfId="0" applyNumberFormat="1" applyFont="1" applyFill="1" applyBorder="1" applyAlignment="1">
      <alignment vertical="center"/>
    </xf>
    <xf numFmtId="10" fontId="83" fillId="0" borderId="13" xfId="0" applyNumberFormat="1" applyFont="1" applyFill="1" applyBorder="1" applyAlignment="1">
      <alignment vertical="center"/>
    </xf>
    <xf numFmtId="9" fontId="83" fillId="34" borderId="13" xfId="552" applyFont="1" applyFill="1" applyBorder="1" applyAlignment="1">
      <alignment horizontal="center" vertical="center" wrapText="1"/>
    </xf>
    <xf numFmtId="178" fontId="55" fillId="0" borderId="0" xfId="0" applyFont="1"/>
    <xf numFmtId="177" fontId="108" fillId="46" borderId="13" xfId="0" applyNumberFormat="1" applyFont="1" applyFill="1" applyBorder="1" applyAlignment="1">
      <alignment horizontal="right" vertical="center"/>
    </xf>
    <xf numFmtId="10" fontId="57" fillId="31" borderId="16" xfId="552" applyNumberFormat="1" applyFont="1" applyFill="1" applyBorder="1" applyAlignment="1">
      <alignment horizontal="center" vertical="center" wrapText="1"/>
    </xf>
    <xf numFmtId="178" fontId="124" fillId="49" borderId="14" xfId="348" applyNumberFormat="1" applyFont="1" applyFill="1" applyBorder="1" applyAlignment="1">
      <alignment horizontal="center" vertical="center"/>
    </xf>
    <xf numFmtId="2" fontId="124" fillId="49" borderId="14" xfId="348" applyNumberFormat="1" applyFont="1" applyFill="1" applyBorder="1" applyAlignment="1">
      <alignment horizontal="center" vertical="center" wrapText="1"/>
    </xf>
    <xf numFmtId="49" fontId="124" fillId="49" borderId="14" xfId="348" applyNumberFormat="1" applyFont="1" applyFill="1" applyBorder="1" applyAlignment="1">
      <alignment horizontal="center" vertical="center" wrapText="1"/>
    </xf>
    <xf numFmtId="168" fontId="64" fillId="0" borderId="13" xfId="325" applyNumberFormat="1" applyFont="1" applyFill="1" applyBorder="1"/>
    <xf numFmtId="178" fontId="124" fillId="31" borderId="13" xfId="348" applyNumberFormat="1" applyFont="1" applyFill="1" applyBorder="1" applyAlignment="1">
      <alignment horizontal="left" vertical="center"/>
    </xf>
    <xf numFmtId="168" fontId="101" fillId="0" borderId="13" xfId="325" applyNumberFormat="1" applyFont="1" applyBorder="1" applyAlignment="1">
      <alignment vertical="top"/>
    </xf>
    <xf numFmtId="10" fontId="73" fillId="0" borderId="13" xfId="325" applyNumberFormat="1" applyFont="1" applyBorder="1" applyAlignment="1">
      <alignment vertical="top"/>
    </xf>
    <xf numFmtId="168" fontId="124" fillId="31" borderId="13" xfId="325" applyNumberFormat="1" applyFont="1" applyFill="1" applyBorder="1" applyAlignment="1">
      <alignment vertical="top"/>
    </xf>
    <xf numFmtId="10" fontId="124" fillId="31" borderId="17" xfId="325" applyNumberFormat="1" applyFont="1" applyFill="1" applyBorder="1" applyAlignment="1">
      <alignment vertical="top"/>
    </xf>
    <xf numFmtId="10" fontId="124" fillId="31" borderId="13" xfId="325" applyNumberFormat="1" applyFont="1" applyFill="1" applyBorder="1" applyAlignment="1">
      <alignment vertical="top"/>
    </xf>
    <xf numFmtId="178" fontId="74" fillId="0" borderId="0" xfId="0" applyFont="1" applyAlignment="1">
      <alignment vertical="top"/>
    </xf>
    <xf numFmtId="2" fontId="57" fillId="31" borderId="13" xfId="348" applyNumberFormat="1" applyFont="1" applyFill="1" applyBorder="1" applyAlignment="1">
      <alignment horizontal="center" vertical="top" wrapText="1"/>
    </xf>
    <xf numFmtId="49" fontId="57" fillId="31" borderId="13" xfId="348" applyNumberFormat="1" applyFont="1" applyFill="1" applyBorder="1" applyAlignment="1">
      <alignment horizontal="center" vertical="top" wrapText="1"/>
    </xf>
    <xf numFmtId="173" fontId="102" fillId="28" borderId="13" xfId="398" applyNumberFormat="1" applyFont="1" applyFill="1" applyBorder="1" applyAlignment="1">
      <alignment horizontal="center" vertical="center"/>
    </xf>
    <xf numFmtId="4" fontId="130" fillId="0" borderId="13" xfId="324" applyNumberFormat="1" applyFont="1" applyFill="1" applyBorder="1" applyAlignment="1">
      <alignment horizontal="right"/>
    </xf>
    <xf numFmtId="49" fontId="83" fillId="28" borderId="13" xfId="0" applyNumberFormat="1" applyFont="1" applyFill="1" applyBorder="1" applyAlignment="1">
      <alignment horizontal="center"/>
    </xf>
    <xf numFmtId="168" fontId="72" fillId="28" borderId="13" xfId="324" applyNumberFormat="1" applyFont="1" applyFill="1" applyBorder="1"/>
    <xf numFmtId="10" fontId="72" fillId="28" borderId="13" xfId="0" applyNumberFormat="1" applyFont="1" applyFill="1" applyBorder="1"/>
    <xf numFmtId="49" fontId="84" fillId="28" borderId="13" xfId="0" applyNumberFormat="1" applyFont="1" applyFill="1" applyBorder="1" applyAlignment="1">
      <alignment horizontal="center"/>
    </xf>
    <xf numFmtId="168" fontId="62" fillId="28" borderId="13" xfId="324" applyNumberFormat="1" applyFont="1" applyFill="1" applyBorder="1"/>
    <xf numFmtId="10" fontId="62" fillId="28" borderId="13" xfId="0" applyNumberFormat="1" applyFont="1" applyFill="1" applyBorder="1"/>
    <xf numFmtId="173" fontId="77" fillId="0" borderId="13" xfId="395" applyNumberFormat="1" applyFont="1" applyBorder="1" applyAlignment="1">
      <alignment horizontal="right"/>
    </xf>
    <xf numFmtId="173" fontId="77" fillId="28" borderId="13" xfId="395" applyNumberFormat="1" applyFont="1" applyFill="1" applyBorder="1" applyAlignment="1">
      <alignment horizontal="right"/>
    </xf>
    <xf numFmtId="17" fontId="99" fillId="44" borderId="13" xfId="337" applyNumberFormat="1" applyFont="1" applyFill="1" applyBorder="1" applyAlignment="1">
      <alignment horizontal="center" vertical="center"/>
    </xf>
    <xf numFmtId="3" fontId="62" fillId="0" borderId="13" xfId="329" applyNumberFormat="1" applyFont="1" applyBorder="1" applyAlignment="1">
      <alignment horizontal="center" vertical="center"/>
    </xf>
    <xf numFmtId="173" fontId="0" fillId="0" borderId="13" xfId="0" applyNumberFormat="1" applyBorder="1" applyAlignment="1">
      <alignment vertical="center"/>
    </xf>
    <xf numFmtId="3" fontId="62" fillId="0" borderId="13" xfId="326" applyNumberFormat="1" applyFont="1" applyFill="1" applyBorder="1" applyAlignment="1">
      <alignment horizontal="center" vertical="center"/>
    </xf>
    <xf numFmtId="178" fontId="151" fillId="50" borderId="13" xfId="0" applyFont="1" applyFill="1" applyBorder="1" applyAlignment="1">
      <alignment horizontal="center" vertical="center" wrapText="1"/>
    </xf>
    <xf numFmtId="49" fontId="151" fillId="50" borderId="13" xfId="0" applyNumberFormat="1" applyFont="1" applyFill="1" applyBorder="1" applyAlignment="1">
      <alignment horizontal="center" vertical="center" wrapText="1"/>
    </xf>
    <xf numFmtId="178" fontId="153" fillId="50" borderId="13" xfId="0" applyFont="1" applyFill="1" applyBorder="1" applyAlignment="1">
      <alignment horizontal="center" vertical="center" wrapText="1"/>
    </xf>
    <xf numFmtId="49" fontId="100" fillId="0" borderId="13" xfId="0" applyNumberFormat="1" applyFont="1" applyFill="1" applyBorder="1" applyAlignment="1">
      <alignment horizontal="right"/>
    </xf>
    <xf numFmtId="49" fontId="100" fillId="0" borderId="13" xfId="0" applyNumberFormat="1" applyFont="1" applyFill="1" applyBorder="1" applyAlignment="1">
      <alignment horizontal="right" vertical="center"/>
    </xf>
    <xf numFmtId="49" fontId="153" fillId="50" borderId="13" xfId="0" applyNumberFormat="1" applyFont="1" applyFill="1" applyBorder="1" applyAlignment="1">
      <alignment horizontal="center" vertical="center" wrapText="1"/>
    </xf>
    <xf numFmtId="49" fontId="152" fillId="0" borderId="13" xfId="0" applyNumberFormat="1" applyFont="1" applyFill="1" applyBorder="1" applyAlignment="1">
      <alignment horizontal="right" vertical="center"/>
    </xf>
    <xf numFmtId="17" fontId="57" fillId="31" borderId="13" xfId="0" applyNumberFormat="1" applyFont="1" applyFill="1" applyBorder="1" applyAlignment="1" applyProtection="1">
      <alignment horizontal="center" vertical="center"/>
    </xf>
    <xf numFmtId="49" fontId="83" fillId="34" borderId="13" xfId="0" applyNumberFormat="1" applyFont="1" applyFill="1" applyBorder="1" applyAlignment="1">
      <alignment horizontal="center" vertical="center" wrapText="1"/>
    </xf>
    <xf numFmtId="178" fontId="156" fillId="0" borderId="0" xfId="0" applyFont="1" applyFill="1" applyBorder="1" applyAlignment="1">
      <alignment horizontal="left"/>
    </xf>
    <xf numFmtId="178" fontId="157" fillId="26" borderId="18" xfId="0" applyFont="1" applyFill="1" applyBorder="1" applyAlignment="1">
      <alignment horizontal="center" vertical="center" wrapText="1"/>
    </xf>
    <xf numFmtId="178" fontId="146" fillId="0" borderId="0" xfId="0" applyFont="1" applyFill="1" applyBorder="1"/>
    <xf numFmtId="1" fontId="146" fillId="25" borderId="0" xfId="0" applyNumberFormat="1" applyFont="1" applyFill="1" applyBorder="1" applyAlignment="1">
      <alignment horizontal="right" wrapText="1"/>
    </xf>
    <xf numFmtId="178" fontId="146" fillId="24" borderId="0" xfId="0" applyFont="1" applyFill="1" applyBorder="1" applyAlignment="1">
      <alignment horizontal="right"/>
    </xf>
    <xf numFmtId="168" fontId="146" fillId="25" borderId="0" xfId="608" applyNumberFormat="1" applyFont="1" applyFill="1" applyBorder="1" applyAlignment="1">
      <alignment horizontal="right"/>
    </xf>
    <xf numFmtId="1" fontId="146" fillId="25" borderId="0" xfId="0" applyNumberFormat="1" applyFont="1" applyFill="1" applyBorder="1" applyAlignment="1">
      <alignment horizontal="right"/>
    </xf>
    <xf numFmtId="178" fontId="146" fillId="24" borderId="55" xfId="0" applyFont="1" applyFill="1" applyBorder="1" applyAlignment="1">
      <alignment horizontal="left"/>
    </xf>
    <xf numFmtId="178" fontId="146" fillId="24" borderId="0" xfId="0" applyFont="1" applyFill="1" applyBorder="1" applyAlignment="1">
      <alignment horizontal="left"/>
    </xf>
    <xf numFmtId="178" fontId="29" fillId="0" borderId="44" xfId="0" applyFont="1" applyFill="1" applyBorder="1" applyAlignment="1">
      <alignment horizontal="left"/>
    </xf>
    <xf numFmtId="3" fontId="29" fillId="25" borderId="44" xfId="0" applyNumberFormat="1" applyFont="1" applyFill="1" applyBorder="1" applyAlignment="1">
      <alignment horizontal="right"/>
    </xf>
    <xf numFmtId="3" fontId="29" fillId="0" borderId="44" xfId="0" applyNumberFormat="1" applyFont="1" applyFill="1" applyBorder="1" applyAlignment="1">
      <alignment horizontal="right"/>
    </xf>
    <xf numFmtId="178" fontId="160" fillId="30" borderId="13" xfId="0" applyFont="1" applyFill="1" applyBorder="1" applyAlignment="1">
      <alignment horizontal="center" vertical="center" wrapText="1"/>
    </xf>
    <xf numFmtId="178" fontId="160" fillId="26" borderId="13" xfId="0" applyFont="1" applyFill="1" applyBorder="1" applyAlignment="1">
      <alignment horizontal="center" vertical="center" wrapText="1"/>
    </xf>
    <xf numFmtId="17" fontId="73" fillId="30" borderId="13" xfId="0" applyNumberFormat="1" applyFont="1" applyFill="1" applyBorder="1" applyAlignment="1">
      <alignment horizontal="center"/>
    </xf>
    <xf numFmtId="3" fontId="101" fillId="0" borderId="13" xfId="0" applyNumberFormat="1" applyFont="1" applyFill="1" applyBorder="1" applyAlignment="1">
      <alignment horizontal="center"/>
    </xf>
    <xf numFmtId="3" fontId="73" fillId="0" borderId="13" xfId="0" applyNumberFormat="1" applyFont="1" applyFill="1" applyBorder="1" applyAlignment="1">
      <alignment horizontal="center"/>
    </xf>
    <xf numFmtId="183" fontId="101" fillId="0" borderId="13" xfId="0" applyNumberFormat="1" applyFont="1" applyFill="1" applyBorder="1" applyAlignment="1">
      <alignment horizontal="center"/>
    </xf>
    <xf numFmtId="173" fontId="55" fillId="0" borderId="13" xfId="389" applyNumberFormat="1" applyFont="1" applyFill="1" applyBorder="1"/>
    <xf numFmtId="9" fontId="72" fillId="0" borderId="13" xfId="552" applyFont="1" applyBorder="1" applyAlignment="1">
      <alignment horizontal="center"/>
    </xf>
    <xf numFmtId="178" fontId="111" fillId="44" borderId="13" xfId="389" applyNumberFormat="1" applyFont="1" applyFill="1" applyBorder="1" applyAlignment="1">
      <alignment horizontal="center" vertical="center"/>
    </xf>
    <xf numFmtId="178" fontId="111" fillId="44" borderId="13" xfId="389" applyNumberFormat="1" applyFont="1" applyFill="1" applyBorder="1" applyAlignment="1">
      <alignment horizontal="center" vertical="center" wrapText="1"/>
    </xf>
    <xf numFmtId="3" fontId="78" fillId="0" borderId="13" xfId="389" applyNumberFormat="1" applyFont="1" applyBorder="1" applyAlignment="1">
      <alignment horizontal="center"/>
    </xf>
    <xf numFmtId="9" fontId="78" fillId="0" borderId="13" xfId="552" applyFont="1" applyBorder="1" applyAlignment="1">
      <alignment horizontal="center"/>
    </xf>
    <xf numFmtId="3" fontId="103" fillId="0" borderId="13" xfId="389" applyNumberFormat="1" applyFont="1" applyFill="1" applyBorder="1" applyAlignment="1">
      <alignment horizontal="center"/>
    </xf>
    <xf numFmtId="178" fontId="111" fillId="47" borderId="13" xfId="389" applyFont="1" applyFill="1" applyBorder="1" applyAlignment="1">
      <alignment horizontal="center"/>
    </xf>
    <xf numFmtId="178" fontId="57" fillId="31" borderId="13" xfId="0" applyNumberFormat="1" applyFont="1" applyFill="1" applyBorder="1" applyAlignment="1">
      <alignment horizontal="center" vertical="center" wrapText="1"/>
    </xf>
    <xf numFmtId="178" fontId="57" fillId="31" borderId="16" xfId="0" applyNumberFormat="1" applyFont="1" applyFill="1" applyBorder="1" applyAlignment="1">
      <alignment horizontal="center" vertical="center" wrapText="1"/>
    </xf>
    <xf numFmtId="178" fontId="57" fillId="31" borderId="17" xfId="0" applyNumberFormat="1" applyFont="1" applyFill="1" applyBorder="1" applyAlignment="1">
      <alignment horizontal="center" vertical="center" wrapText="1"/>
    </xf>
    <xf numFmtId="49" fontId="99" fillId="49" borderId="13" xfId="0" applyNumberFormat="1" applyFont="1" applyFill="1" applyBorder="1" applyAlignment="1">
      <alignment horizontal="center" vertical="center" wrapText="1"/>
    </xf>
    <xf numFmtId="178" fontId="72" fillId="0" borderId="0" xfId="389" applyNumberFormat="1" applyFont="1"/>
    <xf numFmtId="173" fontId="84" fillId="34" borderId="13" xfId="329" applyNumberFormat="1" applyFont="1" applyFill="1" applyBorder="1" applyAlignment="1"/>
    <xf numFmtId="3" fontId="102" fillId="0" borderId="13" xfId="329" applyNumberFormat="1" applyFont="1" applyBorder="1" applyAlignment="1">
      <alignment horizontal="right" vertical="center"/>
    </xf>
    <xf numFmtId="3" fontId="103" fillId="0" borderId="13" xfId="329" applyNumberFormat="1" applyFont="1" applyFill="1" applyBorder="1" applyAlignment="1">
      <alignment horizontal="right" vertical="center"/>
    </xf>
    <xf numFmtId="3" fontId="103" fillId="0" borderId="13" xfId="329" applyNumberFormat="1" applyFont="1" applyBorder="1" applyAlignment="1">
      <alignment vertical="center"/>
    </xf>
    <xf numFmtId="3" fontId="103" fillId="0" borderId="13" xfId="329" applyNumberFormat="1" applyFont="1" applyFill="1" applyBorder="1" applyAlignment="1">
      <alignment vertical="center"/>
    </xf>
    <xf numFmtId="3" fontId="102" fillId="0" borderId="13" xfId="329" applyNumberFormat="1" applyFont="1" applyFill="1" applyBorder="1" applyAlignment="1">
      <alignment horizontal="right" vertical="center"/>
    </xf>
    <xf numFmtId="168" fontId="103" fillId="0" borderId="13" xfId="329" applyNumberFormat="1" applyFont="1" applyFill="1" applyBorder="1" applyAlignment="1">
      <alignment vertical="center"/>
    </xf>
    <xf numFmtId="3" fontId="103" fillId="0" borderId="13" xfId="329" applyNumberFormat="1" applyFont="1" applyFill="1" applyBorder="1" applyAlignment="1"/>
    <xf numFmtId="17" fontId="111" fillId="31" borderId="13" xfId="0" applyNumberFormat="1" applyFont="1" applyFill="1" applyBorder="1" applyAlignment="1">
      <alignment horizontal="center" vertical="center"/>
    </xf>
    <xf numFmtId="3" fontId="106" fillId="0" borderId="13" xfId="395" applyNumberFormat="1" applyFont="1" applyFill="1" applyBorder="1" applyAlignment="1">
      <alignment vertical="center"/>
    </xf>
    <xf numFmtId="3" fontId="75" fillId="0" borderId="13" xfId="395" applyNumberFormat="1" applyFont="1" applyFill="1" applyBorder="1" applyAlignment="1">
      <alignment vertical="center"/>
    </xf>
    <xf numFmtId="3" fontId="75" fillId="28" borderId="13" xfId="395" applyNumberFormat="1" applyFont="1" applyFill="1" applyBorder="1" applyAlignment="1">
      <alignment vertical="center"/>
    </xf>
    <xf numFmtId="17" fontId="108" fillId="31" borderId="13" xfId="0" applyNumberFormat="1" applyFont="1" applyFill="1" applyBorder="1" applyAlignment="1">
      <alignment horizontal="center" vertical="center"/>
    </xf>
    <xf numFmtId="2" fontId="65" fillId="0" borderId="13" xfId="329" applyNumberFormat="1" applyFont="1" applyFill="1" applyBorder="1" applyAlignment="1">
      <alignment horizontal="right" vertical="center"/>
    </xf>
    <xf numFmtId="178" fontId="57" fillId="47" borderId="13" xfId="0" applyNumberFormat="1" applyFont="1" applyFill="1" applyBorder="1" applyAlignment="1">
      <alignment horizontal="center" vertical="center" wrapText="1"/>
    </xf>
    <xf numFmtId="178" fontId="57" fillId="49" borderId="13" xfId="0" applyNumberFormat="1" applyFont="1" applyFill="1" applyBorder="1" applyAlignment="1">
      <alignment horizontal="center" vertical="center" wrapText="1"/>
    </xf>
    <xf numFmtId="178" fontId="2" fillId="0" borderId="58" xfId="0" applyFont="1" applyBorder="1"/>
    <xf numFmtId="178" fontId="2" fillId="0" borderId="59" xfId="0" applyFont="1" applyBorder="1"/>
    <xf numFmtId="3" fontId="2" fillId="0" borderId="58" xfId="0" applyNumberFormat="1" applyFont="1" applyBorder="1"/>
    <xf numFmtId="178" fontId="2" fillId="0" borderId="54" xfId="0" applyFont="1" applyBorder="1"/>
    <xf numFmtId="178" fontId="2" fillId="0" borderId="60" xfId="0" applyFont="1" applyBorder="1"/>
    <xf numFmtId="3" fontId="2" fillId="0" borderId="54" xfId="0" applyNumberFormat="1" applyFont="1" applyBorder="1"/>
    <xf numFmtId="178" fontId="2" fillId="0" borderId="62" xfId="0" applyFont="1" applyBorder="1"/>
    <xf numFmtId="3" fontId="2" fillId="0" borderId="61" xfId="0" applyNumberFormat="1" applyFont="1" applyBorder="1"/>
    <xf numFmtId="2" fontId="99" fillId="31" borderId="13" xfId="348" applyNumberFormat="1" applyFont="1" applyFill="1" applyBorder="1" applyAlignment="1">
      <alignment horizontal="center" vertical="center" wrapText="1"/>
    </xf>
    <xf numFmtId="49" fontId="99" fillId="31" borderId="13" xfId="348" applyNumberFormat="1" applyFont="1" applyFill="1" applyBorder="1" applyAlignment="1">
      <alignment horizontal="center" vertical="center" wrapText="1"/>
    </xf>
    <xf numFmtId="49" fontId="99" fillId="49" borderId="13" xfId="348" applyNumberFormat="1" applyFont="1" applyFill="1" applyBorder="1" applyAlignment="1">
      <alignment horizontal="center" vertical="center" wrapText="1"/>
    </xf>
    <xf numFmtId="2" fontId="111" fillId="49" borderId="14" xfId="348" applyNumberFormat="1" applyFont="1" applyFill="1" applyBorder="1" applyAlignment="1">
      <alignment horizontal="center" vertical="center" wrapText="1"/>
    </xf>
    <xf numFmtId="49" fontId="111" fillId="49" borderId="14" xfId="348" applyNumberFormat="1" applyFont="1" applyFill="1" applyBorder="1" applyAlignment="1">
      <alignment horizontal="center" vertical="center" wrapText="1"/>
    </xf>
    <xf numFmtId="168" fontId="103" fillId="0" borderId="13" xfId="325" applyNumberFormat="1" applyFont="1" applyBorder="1"/>
    <xf numFmtId="10" fontId="103" fillId="0" borderId="13" xfId="325" applyNumberFormat="1" applyFont="1" applyBorder="1"/>
    <xf numFmtId="168" fontId="102" fillId="38" borderId="13" xfId="325" applyNumberFormat="1" applyFont="1" applyFill="1" applyBorder="1"/>
    <xf numFmtId="10" fontId="102" fillId="38" borderId="13" xfId="325" applyNumberFormat="1" applyFont="1" applyFill="1" applyBorder="1"/>
    <xf numFmtId="178" fontId="111" fillId="49" borderId="14" xfId="348" applyNumberFormat="1" applyFont="1" applyFill="1" applyBorder="1" applyAlignment="1">
      <alignment horizontal="center" vertical="center"/>
    </xf>
    <xf numFmtId="178" fontId="102" fillId="0" borderId="13" xfId="0" applyFont="1" applyFill="1" applyBorder="1" applyAlignment="1">
      <alignment horizontal="left" vertical="center" wrapText="1"/>
    </xf>
    <xf numFmtId="178" fontId="102" fillId="0" borderId="13" xfId="0" applyFont="1" applyFill="1" applyBorder="1" applyAlignment="1">
      <alignment horizontal="left" vertical="center"/>
    </xf>
    <xf numFmtId="178" fontId="111" fillId="49" borderId="13" xfId="348" applyNumberFormat="1" applyFont="1" applyFill="1" applyBorder="1" applyAlignment="1">
      <alignment horizontal="left" vertical="center"/>
    </xf>
    <xf numFmtId="178" fontId="99" fillId="31" borderId="13" xfId="0" applyNumberFormat="1" applyFont="1" applyFill="1" applyBorder="1" applyAlignment="1">
      <alignment horizontal="left" vertical="center"/>
    </xf>
    <xf numFmtId="43" fontId="57" fillId="31" borderId="13" xfId="324" applyFont="1" applyFill="1" applyBorder="1" applyAlignment="1">
      <alignment horizontal="center" vertical="center"/>
    </xf>
    <xf numFmtId="178" fontId="99" fillId="47" borderId="13" xfId="0" applyNumberFormat="1" applyFont="1" applyFill="1" applyBorder="1" applyAlignment="1">
      <alignment horizontal="left" vertical="center"/>
    </xf>
    <xf numFmtId="43" fontId="99" fillId="47" borderId="13" xfId="0" applyNumberFormat="1" applyFont="1" applyFill="1" applyBorder="1" applyAlignment="1">
      <alignment horizontal="center"/>
    </xf>
    <xf numFmtId="9" fontId="99" fillId="47" borderId="13" xfId="0" applyNumberFormat="1" applyFont="1" applyFill="1" applyBorder="1" applyAlignment="1">
      <alignment horizontal="center"/>
    </xf>
    <xf numFmtId="178" fontId="111" fillId="44" borderId="13" xfId="392" applyFont="1" applyFill="1" applyBorder="1" applyAlignment="1">
      <alignment horizontal="center" vertical="center"/>
    </xf>
    <xf numFmtId="178" fontId="111" fillId="44" borderId="13" xfId="392" applyFont="1" applyFill="1" applyBorder="1" applyAlignment="1">
      <alignment vertical="center" wrapText="1"/>
    </xf>
    <xf numFmtId="178" fontId="111" fillId="44" borderId="13" xfId="392" applyFont="1" applyFill="1" applyBorder="1" applyAlignment="1">
      <alignment horizontal="left" vertical="center" wrapText="1"/>
    </xf>
    <xf numFmtId="178" fontId="111" fillId="44" borderId="13" xfId="392" applyFont="1" applyFill="1" applyBorder="1" applyAlignment="1">
      <alignment vertical="center"/>
    </xf>
    <xf numFmtId="43" fontId="111" fillId="44" borderId="13" xfId="392" applyNumberFormat="1" applyFont="1" applyFill="1" applyBorder="1" applyAlignment="1">
      <alignment horizontal="center" vertical="center"/>
    </xf>
    <xf numFmtId="10" fontId="111" fillId="44" borderId="13" xfId="392" applyNumberFormat="1" applyFont="1" applyFill="1" applyBorder="1" applyAlignment="1">
      <alignment horizontal="center" vertical="center"/>
    </xf>
    <xf numFmtId="178" fontId="111" fillId="44" borderId="13" xfId="392" applyFont="1" applyFill="1" applyBorder="1" applyAlignment="1">
      <alignment horizontal="center"/>
    </xf>
    <xf numFmtId="9" fontId="111" fillId="44" borderId="13" xfId="392" applyNumberFormat="1" applyFont="1" applyFill="1" applyBorder="1" applyAlignment="1">
      <alignment horizontal="center"/>
    </xf>
    <xf numFmtId="168" fontId="116" fillId="28" borderId="13" xfId="395" applyNumberFormat="1" applyFont="1" applyFill="1" applyBorder="1" applyAlignment="1">
      <alignment horizontal="right" indent="1"/>
    </xf>
    <xf numFmtId="189" fontId="64" fillId="28" borderId="13" xfId="614" applyNumberFormat="1" applyFont="1" applyFill="1" applyBorder="1"/>
    <xf numFmtId="189" fontId="64" fillId="28" borderId="13" xfId="616" applyNumberFormat="1" applyFont="1" applyFill="1" applyBorder="1"/>
    <xf numFmtId="189" fontId="64" fillId="28" borderId="13" xfId="618" applyNumberFormat="1" applyFont="1" applyFill="1" applyBorder="1"/>
    <xf numFmtId="3" fontId="83" fillId="0" borderId="13" xfId="389" applyNumberFormat="1" applyFont="1" applyFill="1" applyBorder="1" applyAlignment="1">
      <alignment horizontal="right"/>
    </xf>
    <xf numFmtId="183" fontId="62" fillId="0" borderId="13" xfId="389" applyNumberFormat="1" applyFont="1" applyFill="1" applyBorder="1" applyAlignment="1" applyProtection="1">
      <alignment horizontal="right"/>
    </xf>
    <xf numFmtId="14" fontId="61" fillId="32" borderId="13" xfId="0" applyNumberFormat="1" applyFont="1" applyFill="1" applyBorder="1" applyAlignment="1">
      <alignment horizontal="center" vertical="center" wrapText="1"/>
    </xf>
    <xf numFmtId="178" fontId="61" fillId="32" borderId="13" xfId="0" applyNumberFormat="1" applyFont="1" applyFill="1" applyBorder="1" applyAlignment="1">
      <alignment horizontal="center" vertical="center" wrapText="1"/>
    </xf>
    <xf numFmtId="49" fontId="61" fillId="32" borderId="13" xfId="0" applyNumberFormat="1" applyFont="1" applyFill="1" applyBorder="1" applyAlignment="1">
      <alignment horizontal="center" vertical="center"/>
    </xf>
    <xf numFmtId="38" fontId="78" fillId="28" borderId="13" xfId="0" applyNumberFormat="1" applyFont="1" applyFill="1" applyBorder="1"/>
    <xf numFmtId="173" fontId="61" fillId="0" borderId="13" xfId="0" applyNumberFormat="1" applyFont="1" applyBorder="1"/>
    <xf numFmtId="38" fontId="78" fillId="0" borderId="13" xfId="0" applyNumberFormat="1" applyFont="1" applyBorder="1"/>
    <xf numFmtId="173" fontId="61" fillId="28" borderId="13" xfId="0" applyNumberFormat="1" applyFont="1" applyFill="1" applyBorder="1"/>
    <xf numFmtId="38" fontId="78" fillId="0" borderId="13" xfId="0" applyNumberFormat="1" applyFont="1" applyFill="1" applyBorder="1"/>
    <xf numFmtId="38" fontId="103" fillId="28" borderId="13" xfId="0" applyNumberFormat="1" applyFont="1" applyFill="1" applyBorder="1"/>
    <xf numFmtId="10" fontId="0" fillId="0" borderId="0" xfId="552" applyNumberFormat="1" applyFont="1" applyFill="1" applyBorder="1" applyAlignment="1"/>
    <xf numFmtId="49" fontId="99" fillId="47" borderId="13" xfId="0" applyNumberFormat="1" applyFont="1" applyFill="1" applyBorder="1" applyAlignment="1">
      <alignment horizontal="center" vertical="center"/>
    </xf>
    <xf numFmtId="178" fontId="99" fillId="47" borderId="13" xfId="0" applyFont="1" applyFill="1" applyBorder="1" applyAlignment="1">
      <alignment horizontal="center" vertical="center" wrapText="1"/>
    </xf>
    <xf numFmtId="178" fontId="99" fillId="47" borderId="13" xfId="0" applyFont="1" applyFill="1" applyBorder="1" applyAlignment="1">
      <alignment horizontal="center"/>
    </xf>
    <xf numFmtId="168" fontId="99" fillId="47" borderId="13" xfId="324" applyNumberFormat="1" applyFont="1" applyFill="1" applyBorder="1"/>
    <xf numFmtId="10" fontId="99" fillId="47" borderId="13" xfId="0" applyNumberFormat="1" applyFont="1" applyFill="1" applyBorder="1"/>
    <xf numFmtId="168" fontId="72" fillId="0" borderId="13" xfId="324" applyNumberFormat="1" applyFont="1" applyFill="1" applyBorder="1" applyAlignment="1"/>
    <xf numFmtId="168" fontId="72" fillId="0" borderId="13" xfId="324" applyNumberFormat="1" applyFont="1" applyBorder="1" applyAlignment="1"/>
    <xf numFmtId="191" fontId="0" fillId="0" borderId="0" xfId="0" applyNumberFormat="1"/>
    <xf numFmtId="3" fontId="62" fillId="0" borderId="13" xfId="324" applyNumberFormat="1" applyFont="1" applyFill="1" applyBorder="1" applyAlignment="1">
      <alignment horizontal="center"/>
    </xf>
    <xf numFmtId="49" fontId="99" fillId="49" borderId="13" xfId="0" applyNumberFormat="1" applyFont="1" applyFill="1" applyBorder="1" applyAlignment="1">
      <alignment horizontal="center" vertical="center"/>
    </xf>
    <xf numFmtId="0" fontId="99" fillId="49" borderId="13" xfId="0" applyNumberFormat="1" applyFont="1" applyFill="1" applyBorder="1" applyAlignment="1">
      <alignment horizontal="center" vertical="center"/>
    </xf>
    <xf numFmtId="49" fontId="99" fillId="49" borderId="13" xfId="0" applyNumberFormat="1" applyFont="1" applyFill="1" applyBorder="1" applyAlignment="1">
      <alignment horizontal="center" wrapText="1"/>
    </xf>
    <xf numFmtId="168" fontId="99" fillId="49" borderId="13" xfId="0" applyNumberFormat="1" applyFont="1" applyFill="1" applyBorder="1" applyAlignment="1">
      <alignment horizontal="center" wrapText="1"/>
    </xf>
    <xf numFmtId="173" fontId="99" fillId="49" borderId="13" xfId="0" applyNumberFormat="1" applyFont="1" applyFill="1" applyBorder="1" applyAlignment="1">
      <alignment horizontal="center" wrapText="1"/>
    </xf>
    <xf numFmtId="173" fontId="99" fillId="49" borderId="13" xfId="0" applyNumberFormat="1" applyFont="1" applyFill="1" applyBorder="1" applyAlignment="1">
      <alignment horizontal="right" wrapText="1"/>
    </xf>
    <xf numFmtId="49" fontId="99" fillId="49" borderId="13" xfId="0" applyNumberFormat="1" applyFont="1" applyFill="1" applyBorder="1" applyAlignment="1">
      <alignment horizontal="center"/>
    </xf>
    <xf numFmtId="178" fontId="110" fillId="0" borderId="0" xfId="0" applyFont="1" applyAlignment="1">
      <alignment horizontal="justify" vertical="justify" wrapText="1"/>
    </xf>
    <xf numFmtId="178" fontId="111" fillId="44" borderId="13" xfId="0" applyNumberFormat="1" applyFont="1" applyFill="1" applyBorder="1" applyAlignment="1">
      <alignment horizontal="center" vertical="center"/>
    </xf>
    <xf numFmtId="178" fontId="99" fillId="47" borderId="13" xfId="0" applyNumberFormat="1" applyFont="1" applyFill="1" applyBorder="1" applyAlignment="1">
      <alignment horizontal="center" vertical="center"/>
    </xf>
    <xf numFmtId="168" fontId="78" fillId="0" borderId="13" xfId="324" applyNumberFormat="1" applyFont="1" applyBorder="1" applyAlignment="1">
      <alignment vertical="center"/>
    </xf>
    <xf numFmtId="178" fontId="110" fillId="0" borderId="0" xfId="0" applyFont="1"/>
    <xf numFmtId="178" fontId="162" fillId="0" borderId="0" xfId="316" applyNumberFormat="1" applyFont="1" applyBorder="1" applyAlignment="1" applyProtection="1">
      <alignment horizontal="left" vertical="center" indent="1"/>
    </xf>
    <xf numFmtId="178" fontId="162" fillId="0" borderId="0" xfId="316" applyNumberFormat="1" applyFont="1" applyBorder="1" applyAlignment="1" applyProtection="1">
      <alignment horizontal="left" indent="1"/>
    </xf>
    <xf numFmtId="178" fontId="163" fillId="0" borderId="0" xfId="316" applyNumberFormat="1" applyFont="1" applyFill="1" applyBorder="1" applyAlignment="1" applyProtection="1">
      <alignment horizontal="left" indent="1"/>
    </xf>
    <xf numFmtId="178" fontId="164" fillId="0" borderId="0" xfId="316" applyNumberFormat="1" applyFont="1" applyBorder="1" applyAlignment="1" applyProtection="1">
      <alignment horizontal="left" vertical="top" wrapText="1" indent="7"/>
    </xf>
    <xf numFmtId="178" fontId="163" fillId="0" borderId="0" xfId="316" applyNumberFormat="1" applyFont="1" applyFill="1" applyBorder="1" applyAlignment="1" applyProtection="1">
      <alignment horizontal="left"/>
    </xf>
    <xf numFmtId="178" fontId="164" fillId="0" borderId="0" xfId="316" applyNumberFormat="1" applyFont="1" applyFill="1" applyBorder="1" applyAlignment="1" applyProtection="1">
      <alignment horizontal="left" indent="7"/>
    </xf>
    <xf numFmtId="178" fontId="163" fillId="28" borderId="0" xfId="316" applyNumberFormat="1" applyFont="1" applyFill="1" applyBorder="1" applyAlignment="1" applyProtection="1">
      <alignment horizontal="left" indent="1"/>
    </xf>
    <xf numFmtId="178" fontId="164" fillId="28" borderId="0" xfId="316" applyNumberFormat="1" applyFont="1" applyFill="1" applyBorder="1" applyAlignment="1" applyProtection="1">
      <alignment horizontal="left" vertical="top" wrapText="1" indent="7"/>
    </xf>
    <xf numFmtId="178" fontId="94" fillId="0" borderId="0" xfId="0" applyFont="1"/>
    <xf numFmtId="178" fontId="162" fillId="0" borderId="0" xfId="316" applyNumberFormat="1" applyFont="1" applyBorder="1" applyAlignment="1" applyProtection="1">
      <alignment horizontal="left" wrapText="1" indent="1"/>
    </xf>
    <xf numFmtId="178" fontId="163" fillId="0" borderId="0" xfId="316" applyNumberFormat="1" applyFont="1" applyFill="1" applyBorder="1" applyAlignment="1" applyProtection="1">
      <alignment horizontal="left" vertical="center" indent="2"/>
    </xf>
    <xf numFmtId="3" fontId="166" fillId="0" borderId="13" xfId="389" applyNumberFormat="1" applyFont="1" applyFill="1" applyBorder="1" applyAlignment="1">
      <alignment horizontal="center"/>
    </xf>
    <xf numFmtId="9" fontId="166" fillId="0" borderId="13" xfId="552" applyFont="1" applyBorder="1" applyAlignment="1">
      <alignment horizontal="center"/>
    </xf>
    <xf numFmtId="9" fontId="166" fillId="0" borderId="13" xfId="552" applyNumberFormat="1" applyFont="1" applyBorder="1" applyAlignment="1">
      <alignment horizontal="center"/>
    </xf>
    <xf numFmtId="178" fontId="57" fillId="44" borderId="13" xfId="389" applyNumberFormat="1" applyFont="1" applyFill="1" applyBorder="1" applyAlignment="1">
      <alignment horizontal="center" vertical="center"/>
    </xf>
    <xf numFmtId="178" fontId="57" fillId="44" borderId="13" xfId="389" applyNumberFormat="1" applyFont="1" applyFill="1" applyBorder="1" applyAlignment="1">
      <alignment horizontal="center" vertical="center" wrapText="1"/>
    </xf>
    <xf numFmtId="3" fontId="55" fillId="0" borderId="13" xfId="389" applyNumberFormat="1" applyFont="1" applyBorder="1" applyAlignment="1">
      <alignment horizontal="center"/>
    </xf>
    <xf numFmtId="9" fontId="55" fillId="0" borderId="13" xfId="552" applyFont="1" applyBorder="1" applyAlignment="1">
      <alignment horizontal="center"/>
    </xf>
    <xf numFmtId="3" fontId="64" fillId="0" borderId="13" xfId="389" applyNumberFormat="1" applyFont="1" applyFill="1" applyBorder="1" applyAlignment="1">
      <alignment horizontal="center"/>
    </xf>
    <xf numFmtId="10" fontId="0" fillId="34" borderId="13" xfId="552" applyNumberFormat="1" applyFont="1" applyFill="1" applyBorder="1"/>
    <xf numFmtId="10" fontId="55" fillId="0" borderId="13" xfId="552" applyNumberFormat="1" applyFont="1" applyBorder="1" applyAlignment="1">
      <alignment horizontal="center"/>
    </xf>
    <xf numFmtId="173" fontId="55" fillId="0" borderId="13" xfId="552" applyNumberFormat="1" applyFont="1" applyBorder="1" applyAlignment="1">
      <alignment horizontal="center"/>
    </xf>
    <xf numFmtId="173" fontId="64" fillId="34" borderId="13" xfId="552" applyNumberFormat="1" applyFont="1" applyFill="1" applyBorder="1" applyAlignment="1">
      <alignment horizontal="center"/>
    </xf>
    <xf numFmtId="173" fontId="55" fillId="34" borderId="13" xfId="552" applyNumberFormat="1" applyFont="1" applyFill="1" applyBorder="1" applyAlignment="1">
      <alignment horizontal="center"/>
    </xf>
    <xf numFmtId="3" fontId="55" fillId="28" borderId="13" xfId="389" applyNumberFormat="1" applyFont="1" applyFill="1" applyBorder="1" applyAlignment="1">
      <alignment horizontal="center"/>
    </xf>
    <xf numFmtId="178" fontId="57" fillId="49" borderId="13" xfId="389" applyNumberFormat="1" applyFont="1" applyFill="1" applyBorder="1" applyAlignment="1">
      <alignment horizontal="center" vertical="center" wrapText="1"/>
    </xf>
    <xf numFmtId="178" fontId="77" fillId="35" borderId="13" xfId="389" applyNumberFormat="1" applyFont="1" applyFill="1" applyBorder="1" applyAlignment="1">
      <alignment horizontal="center" vertical="center" wrapText="1"/>
    </xf>
    <xf numFmtId="178" fontId="99" fillId="44" borderId="13" xfId="0" applyNumberFormat="1" applyFont="1" applyFill="1" applyBorder="1" applyAlignment="1" applyProtection="1">
      <alignment horizontal="center" vertical="center"/>
    </xf>
    <xf numFmtId="178" fontId="99" fillId="44" borderId="13" xfId="0" applyNumberFormat="1" applyFont="1" applyFill="1" applyBorder="1" applyAlignment="1" applyProtection="1">
      <alignment horizontal="center" wrapText="1"/>
    </xf>
    <xf numFmtId="178" fontId="99" fillId="44" borderId="13" xfId="0" applyNumberFormat="1" applyFont="1" applyFill="1" applyBorder="1" applyAlignment="1" applyProtection="1"/>
    <xf numFmtId="178" fontId="99" fillId="44" borderId="13" xfId="0" applyNumberFormat="1" applyFont="1" applyFill="1" applyBorder="1" applyAlignment="1">
      <alignment horizontal="center"/>
    </xf>
    <xf numFmtId="3" fontId="99" fillId="44" borderId="13" xfId="0" applyNumberFormat="1" applyFont="1" applyFill="1" applyBorder="1" applyAlignment="1" applyProtection="1"/>
    <xf numFmtId="10" fontId="99" fillId="44" borderId="13" xfId="0" applyNumberFormat="1" applyFont="1" applyFill="1" applyBorder="1" applyAlignment="1" applyProtection="1"/>
    <xf numFmtId="49" fontId="111" fillId="44" borderId="13" xfId="0" applyNumberFormat="1" applyFont="1" applyFill="1" applyBorder="1" applyAlignment="1">
      <alignment horizontal="center" vertical="center" wrapText="1"/>
    </xf>
    <xf numFmtId="178" fontId="111" fillId="44" borderId="13" xfId="0" applyNumberFormat="1" applyFont="1" applyFill="1" applyBorder="1" applyAlignment="1" applyProtection="1">
      <alignment horizontal="center" vertical="center" wrapText="1"/>
    </xf>
    <xf numFmtId="178" fontId="111" fillId="44" borderId="13" xfId="0" applyNumberFormat="1" applyFont="1" applyFill="1" applyBorder="1" applyAlignment="1" applyProtection="1">
      <alignment horizontal="center" vertical="center"/>
    </xf>
    <xf numFmtId="49" fontId="111" fillId="44" borderId="13" xfId="0" applyNumberFormat="1" applyFont="1" applyFill="1" applyBorder="1" applyAlignment="1" applyProtection="1">
      <alignment horizontal="center" vertical="center"/>
    </xf>
    <xf numFmtId="49" fontId="83" fillId="44" borderId="13" xfId="0" applyNumberFormat="1" applyFont="1" applyFill="1" applyBorder="1" applyAlignment="1">
      <alignment horizontal="center" vertical="center"/>
    </xf>
    <xf numFmtId="49" fontId="138" fillId="31" borderId="13" xfId="337" applyNumberFormat="1" applyFont="1" applyFill="1" applyBorder="1" applyAlignment="1">
      <alignment horizontal="center" vertical="center" wrapText="1"/>
    </xf>
    <xf numFmtId="43" fontId="138" fillId="31" borderId="13" xfId="337" applyNumberFormat="1" applyFont="1" applyFill="1" applyBorder="1" applyAlignment="1">
      <alignment horizontal="left" vertical="center" wrapText="1"/>
    </xf>
    <xf numFmtId="43" fontId="130" fillId="0" borderId="13" xfId="337" applyNumberFormat="1" applyFont="1" applyFill="1" applyBorder="1" applyAlignment="1">
      <alignment horizontal="right" vertical="center"/>
    </xf>
    <xf numFmtId="43" fontId="130" fillId="0" borderId="13" xfId="337" applyNumberFormat="1" applyFont="1" applyFill="1" applyBorder="1" applyAlignment="1">
      <alignment vertical="center"/>
    </xf>
    <xf numFmtId="43" fontId="149" fillId="54" borderId="13" xfId="337" applyNumberFormat="1" applyFont="1" applyFill="1" applyBorder="1" applyAlignment="1">
      <alignment vertical="center"/>
    </xf>
    <xf numFmtId="43" fontId="138" fillId="31" borderId="13" xfId="0" applyNumberFormat="1" applyFont="1" applyFill="1" applyBorder="1" applyAlignment="1">
      <alignment vertical="center"/>
    </xf>
    <xf numFmtId="178" fontId="55" fillId="0" borderId="0" xfId="389" applyFont="1" applyBorder="1" applyAlignment="1">
      <alignment vertical="center" wrapText="1"/>
    </xf>
    <xf numFmtId="173" fontId="0" fillId="0" borderId="0" xfId="552" applyNumberFormat="1" applyFont="1" applyAlignment="1">
      <alignment horizontal="center"/>
    </xf>
    <xf numFmtId="178" fontId="111" fillId="40" borderId="13" xfId="0" applyNumberFormat="1" applyFont="1" applyFill="1" applyBorder="1" applyAlignment="1">
      <alignment horizontal="center" vertical="center" wrapText="1"/>
    </xf>
    <xf numFmtId="178" fontId="111" fillId="44" borderId="13" xfId="0" applyNumberFormat="1" applyFont="1" applyFill="1" applyBorder="1" applyAlignment="1">
      <alignment horizontal="center" vertical="center" wrapText="1"/>
    </xf>
    <xf numFmtId="178" fontId="111" fillId="47" borderId="13" xfId="0" applyNumberFormat="1" applyFont="1" applyFill="1" applyBorder="1" applyAlignment="1">
      <alignment horizontal="center" vertical="center" wrapText="1"/>
    </xf>
    <xf numFmtId="49" fontId="111" fillId="44" borderId="13" xfId="0" applyNumberFormat="1" applyFont="1" applyFill="1" applyBorder="1" applyAlignment="1">
      <alignment horizontal="center" vertical="center"/>
    </xf>
    <xf numFmtId="3" fontId="103" fillId="0" borderId="13" xfId="329" applyNumberFormat="1" applyFont="1" applyBorder="1" applyAlignment="1">
      <alignment horizontal="right"/>
    </xf>
    <xf numFmtId="3" fontId="103" fillId="0" borderId="13" xfId="395" applyNumberFormat="1" applyFont="1" applyFill="1" applyBorder="1"/>
    <xf numFmtId="3" fontId="103" fillId="28" borderId="13" xfId="395" applyNumberFormat="1" applyFont="1" applyFill="1" applyBorder="1"/>
    <xf numFmtId="43" fontId="99" fillId="49" borderId="19" xfId="0" applyNumberFormat="1" applyFont="1" applyFill="1" applyBorder="1" applyAlignment="1">
      <alignment horizontal="center" vertical="center"/>
    </xf>
    <xf numFmtId="43" fontId="99" fillId="49" borderId="19" xfId="0" applyNumberFormat="1" applyFont="1" applyFill="1" applyBorder="1" applyAlignment="1">
      <alignment horizontal="center" vertical="center" wrapText="1"/>
    </xf>
    <xf numFmtId="0" fontId="99" fillId="49" borderId="13" xfId="0" applyNumberFormat="1" applyFont="1" applyFill="1" applyBorder="1" applyAlignment="1">
      <alignment horizontal="center"/>
    </xf>
    <xf numFmtId="178" fontId="99" fillId="49" borderId="13" xfId="0" applyNumberFormat="1" applyFont="1" applyFill="1" applyBorder="1" applyAlignment="1">
      <alignment horizontal="center" vertical="center"/>
    </xf>
    <xf numFmtId="43" fontId="99" fillId="49" borderId="13" xfId="0" applyNumberFormat="1" applyFont="1" applyFill="1" applyBorder="1"/>
    <xf numFmtId="40" fontId="84" fillId="0" borderId="13" xfId="337" applyNumberFormat="1" applyFont="1" applyBorder="1"/>
    <xf numFmtId="185" fontId="57" fillId="49" borderId="13" xfId="489" applyNumberFormat="1" applyFont="1" applyFill="1" applyBorder="1"/>
    <xf numFmtId="17" fontId="57" fillId="49" borderId="13" xfId="348" applyNumberFormat="1" applyFont="1" applyFill="1" applyBorder="1" applyAlignment="1">
      <alignment horizontal="center" vertical="center"/>
    </xf>
    <xf numFmtId="173" fontId="99" fillId="49" borderId="13" xfId="0" applyNumberFormat="1" applyFont="1" applyFill="1" applyBorder="1"/>
    <xf numFmtId="178" fontId="57" fillId="49" borderId="13" xfId="348" applyFont="1" applyFill="1" applyBorder="1" applyAlignment="1">
      <alignment horizontal="center" vertical="top" wrapText="1"/>
    </xf>
    <xf numFmtId="43" fontId="57" fillId="49" borderId="13" xfId="324" applyNumberFormat="1" applyFont="1" applyFill="1" applyBorder="1" applyAlignment="1">
      <alignment horizontal="right" vertical="top"/>
    </xf>
    <xf numFmtId="178" fontId="124" fillId="49" borderId="22" xfId="348" applyFont="1" applyFill="1" applyBorder="1" applyAlignment="1">
      <alignment horizontal="right" vertical="top" wrapText="1"/>
    </xf>
    <xf numFmtId="173" fontId="57" fillId="49" borderId="13" xfId="0" applyNumberFormat="1" applyFont="1" applyFill="1" applyBorder="1" applyAlignment="1">
      <alignment horizontal="right"/>
    </xf>
    <xf numFmtId="178" fontId="99" fillId="49" borderId="13" xfId="0" applyNumberFormat="1" applyFont="1" applyFill="1" applyBorder="1" applyAlignment="1">
      <alignment horizontal="center" vertical="center" wrapText="1"/>
    </xf>
    <xf numFmtId="17" fontId="99" fillId="49" borderId="13" xfId="348" applyNumberFormat="1" applyFont="1" applyFill="1" applyBorder="1" applyAlignment="1">
      <alignment horizontal="center" vertical="center"/>
    </xf>
    <xf numFmtId="178" fontId="99" fillId="49" borderId="13" xfId="0" applyNumberFormat="1" applyFont="1" applyFill="1" applyBorder="1" applyAlignment="1">
      <alignment horizontal="center"/>
    </xf>
    <xf numFmtId="3" fontId="83" fillId="28" borderId="13" xfId="0" applyNumberFormat="1" applyFont="1" applyFill="1" applyBorder="1" applyAlignment="1">
      <alignment horizontal="right"/>
    </xf>
    <xf numFmtId="178" fontId="57" fillId="49" borderId="13" xfId="0" applyNumberFormat="1" applyFont="1" applyFill="1" applyBorder="1" applyAlignment="1">
      <alignment horizontal="center" vertical="center"/>
    </xf>
    <xf numFmtId="178" fontId="57" fillId="49" borderId="13" xfId="0" applyNumberFormat="1" applyFont="1" applyFill="1" applyBorder="1" applyAlignment="1">
      <alignment horizontal="left" vertical="center"/>
    </xf>
    <xf numFmtId="17" fontId="57" fillId="49" borderId="13" xfId="0" applyNumberFormat="1" applyFont="1" applyFill="1" applyBorder="1" applyAlignment="1">
      <alignment horizontal="center" vertical="center"/>
    </xf>
    <xf numFmtId="186" fontId="111" fillId="49" borderId="13" xfId="492" applyNumberFormat="1" applyFont="1" applyFill="1" applyBorder="1" applyAlignment="1">
      <alignment horizontal="center" vertical="center"/>
    </xf>
    <xf numFmtId="186" fontId="111" fillId="49" borderId="13" xfId="492" applyNumberFormat="1" applyFont="1" applyFill="1" applyBorder="1" applyAlignment="1">
      <alignment horizontal="center" vertical="center" wrapText="1"/>
    </xf>
    <xf numFmtId="17" fontId="99" fillId="49" borderId="13" xfId="394" applyNumberFormat="1" applyFont="1" applyFill="1" applyBorder="1" applyAlignment="1">
      <alignment horizontal="center" vertical="center"/>
    </xf>
    <xf numFmtId="0" fontId="124" fillId="49" borderId="13" xfId="0" applyNumberFormat="1" applyFont="1" applyFill="1" applyBorder="1" applyAlignment="1">
      <alignment horizontal="center" vertical="center"/>
    </xf>
    <xf numFmtId="178" fontId="124" fillId="49" borderId="13" xfId="0" applyFont="1" applyFill="1" applyBorder="1" applyAlignment="1">
      <alignment vertical="center"/>
    </xf>
    <xf numFmtId="41" fontId="124" fillId="49" borderId="13" xfId="0" applyNumberFormat="1" applyFont="1" applyFill="1" applyBorder="1" applyAlignment="1">
      <alignment horizontal="center" vertical="center"/>
    </xf>
    <xf numFmtId="3" fontId="62" fillId="0" borderId="13" xfId="326" applyNumberFormat="1" applyFont="1" applyFill="1" applyBorder="1" applyAlignment="1">
      <alignment horizontal="center" vertical="center" wrapText="1"/>
    </xf>
    <xf numFmtId="3" fontId="62" fillId="28" borderId="13" xfId="326" applyNumberFormat="1" applyFont="1" applyFill="1" applyBorder="1" applyAlignment="1">
      <alignment horizontal="center" vertical="center"/>
    </xf>
    <xf numFmtId="9" fontId="56" fillId="0" borderId="0" xfId="552" applyFont="1"/>
    <xf numFmtId="168" fontId="99" fillId="49" borderId="13" xfId="339" applyNumberFormat="1" applyFont="1" applyFill="1" applyBorder="1" applyAlignment="1">
      <alignment horizontal="center" vertical="center" wrapText="1"/>
    </xf>
    <xf numFmtId="168" fontId="99" fillId="49" borderId="19" xfId="339" applyNumberFormat="1" applyFont="1" applyFill="1" applyBorder="1" applyAlignment="1">
      <alignment horizontal="center" vertical="center" wrapText="1"/>
    </xf>
    <xf numFmtId="178" fontId="99" fillId="49" borderId="13" xfId="362" applyFont="1" applyFill="1" applyBorder="1" applyAlignment="1">
      <alignment horizontal="center" vertical="center"/>
    </xf>
    <xf numFmtId="173" fontId="83" fillId="0" borderId="13" xfId="0" applyNumberFormat="1" applyFont="1" applyBorder="1" applyAlignment="1">
      <alignment horizontal="center"/>
    </xf>
    <xf numFmtId="173" fontId="83" fillId="0" borderId="13" xfId="0" applyNumberFormat="1" applyFont="1" applyFill="1" applyBorder="1" applyAlignment="1">
      <alignment horizontal="center"/>
    </xf>
    <xf numFmtId="173" fontId="84" fillId="28" borderId="13" xfId="324" applyNumberFormat="1" applyFont="1" applyFill="1" applyBorder="1" applyAlignment="1">
      <alignment horizontal="center"/>
    </xf>
    <xf numFmtId="173" fontId="84" fillId="0" borderId="13" xfId="324" applyNumberFormat="1" applyFont="1" applyFill="1" applyBorder="1" applyAlignment="1">
      <alignment horizontal="center"/>
    </xf>
    <xf numFmtId="178" fontId="111" fillId="49" borderId="13" xfId="0" applyNumberFormat="1" applyFont="1" applyFill="1" applyBorder="1" applyAlignment="1">
      <alignment horizontal="center" vertical="center" wrapText="1"/>
    </xf>
    <xf numFmtId="3" fontId="99" fillId="49" borderId="13" xfId="0" applyNumberFormat="1" applyFont="1" applyFill="1" applyBorder="1" applyAlignment="1">
      <alignment horizontal="center" vertical="center"/>
    </xf>
    <xf numFmtId="178" fontId="158" fillId="0" borderId="0" xfId="0" applyFont="1" applyBorder="1" applyAlignment="1">
      <alignment vertical="center"/>
    </xf>
    <xf numFmtId="43" fontId="72" fillId="0" borderId="0" xfId="324" applyNumberFormat="1" applyFont="1" applyBorder="1"/>
    <xf numFmtId="178" fontId="57" fillId="47" borderId="13" xfId="447" applyFont="1" applyFill="1" applyBorder="1" applyAlignment="1">
      <alignment horizontal="center" vertical="center" wrapText="1"/>
    </xf>
    <xf numFmtId="178" fontId="124" fillId="47" borderId="13" xfId="447" applyFont="1" applyFill="1" applyBorder="1" applyAlignment="1">
      <alignment horizontal="center" vertical="center"/>
    </xf>
    <xf numFmtId="178" fontId="55" fillId="0" borderId="0" xfId="449" applyFont="1"/>
    <xf numFmtId="10" fontId="55" fillId="0" borderId="0" xfId="449" applyNumberFormat="1" applyFont="1"/>
    <xf numFmtId="178" fontId="55" fillId="0" borderId="0" xfId="449" applyFont="1" applyAlignment="1">
      <alignment horizontal="center"/>
    </xf>
    <xf numFmtId="178" fontId="99" fillId="49" borderId="13" xfId="451" applyFont="1" applyFill="1" applyBorder="1" applyAlignment="1">
      <alignment horizontal="center" vertical="center"/>
    </xf>
    <xf numFmtId="178" fontId="99" fillId="49" borderId="13" xfId="451" applyFont="1" applyFill="1" applyBorder="1" applyAlignment="1">
      <alignment horizontal="center" vertical="center" wrapText="1"/>
    </xf>
    <xf numFmtId="17" fontId="99" fillId="49" borderId="13" xfId="451" applyNumberFormat="1" applyFont="1" applyFill="1" applyBorder="1" applyAlignment="1">
      <alignment horizontal="center"/>
    </xf>
    <xf numFmtId="43" fontId="99" fillId="49" borderId="13" xfId="0" applyNumberFormat="1" applyFont="1" applyFill="1" applyBorder="1" applyAlignment="1">
      <alignment horizontal="center" vertical="center" wrapText="1"/>
    </xf>
    <xf numFmtId="43" fontId="99" fillId="49" borderId="13" xfId="0" applyNumberFormat="1" applyFont="1" applyFill="1" applyBorder="1" applyAlignment="1">
      <alignment horizontal="center"/>
    </xf>
    <xf numFmtId="43" fontId="99" fillId="49" borderId="13" xfId="0" applyNumberFormat="1" applyFont="1" applyFill="1" applyBorder="1" applyAlignment="1">
      <alignment horizontal="center" vertical="center"/>
    </xf>
    <xf numFmtId="168" fontId="99" fillId="49" borderId="13" xfId="0" applyNumberFormat="1" applyFont="1" applyFill="1" applyBorder="1" applyAlignment="1">
      <alignment horizontal="center" vertical="center"/>
    </xf>
    <xf numFmtId="178" fontId="111" fillId="47" borderId="13" xfId="0" applyNumberFormat="1" applyFont="1" applyFill="1" applyBorder="1" applyAlignment="1" applyProtection="1">
      <alignment horizontal="center" vertical="center"/>
    </xf>
    <xf numFmtId="17" fontId="102" fillId="29" borderId="13" xfId="0" applyNumberFormat="1" applyFont="1" applyFill="1" applyBorder="1" applyAlignment="1" applyProtection="1">
      <alignment horizontal="center"/>
    </xf>
    <xf numFmtId="3" fontId="103" fillId="0" borderId="13" xfId="0" applyNumberFormat="1" applyFont="1" applyFill="1" applyBorder="1" applyAlignment="1" applyProtection="1">
      <alignment horizontal="center"/>
    </xf>
    <xf numFmtId="3" fontId="103" fillId="28" borderId="13" xfId="0" applyNumberFormat="1" applyFont="1" applyFill="1" applyBorder="1" applyAlignment="1" applyProtection="1">
      <alignment horizontal="center"/>
    </xf>
    <xf numFmtId="3" fontId="102" fillId="29" borderId="13" xfId="0" applyNumberFormat="1" applyFont="1" applyFill="1" applyBorder="1" applyAlignment="1" applyProtection="1">
      <alignment horizontal="center"/>
    </xf>
    <xf numFmtId="17" fontId="111" fillId="47" borderId="13" xfId="0" applyNumberFormat="1" applyFont="1" applyFill="1" applyBorder="1" applyAlignment="1" applyProtection="1">
      <alignment horizontal="center"/>
    </xf>
    <xf numFmtId="3" fontId="111" fillId="47" borderId="13" xfId="0" applyNumberFormat="1" applyFont="1" applyFill="1" applyBorder="1" applyAlignment="1" applyProtection="1">
      <alignment horizontal="center"/>
    </xf>
    <xf numFmtId="43" fontId="99" fillId="49" borderId="13" xfId="324" applyNumberFormat="1" applyFont="1" applyFill="1" applyBorder="1" applyAlignment="1">
      <alignment horizontal="center" vertical="center" wrapText="1"/>
    </xf>
    <xf numFmtId="17" fontId="99" fillId="49" borderId="13" xfId="0" applyNumberFormat="1" applyFont="1" applyFill="1" applyBorder="1" applyAlignment="1">
      <alignment horizontal="center"/>
    </xf>
    <xf numFmtId="10" fontId="99" fillId="49" borderId="13" xfId="0" applyNumberFormat="1" applyFont="1" applyFill="1" applyBorder="1"/>
    <xf numFmtId="178" fontId="57" fillId="49" borderId="13" xfId="0" applyNumberFormat="1" applyFont="1" applyFill="1" applyBorder="1" applyAlignment="1">
      <alignment vertical="center"/>
    </xf>
    <xf numFmtId="17" fontId="99" fillId="49" borderId="13" xfId="0" applyNumberFormat="1" applyFont="1" applyFill="1" applyBorder="1" applyAlignment="1">
      <alignment horizontal="left" vertical="center"/>
    </xf>
    <xf numFmtId="10" fontId="99" fillId="49" borderId="13" xfId="0" applyNumberFormat="1" applyFont="1" applyFill="1" applyBorder="1" applyAlignment="1">
      <alignment vertical="center"/>
    </xf>
    <xf numFmtId="43" fontId="99" fillId="49" borderId="13" xfId="0" applyNumberFormat="1" applyFont="1" applyFill="1" applyBorder="1" applyAlignment="1">
      <alignment vertical="center"/>
    </xf>
    <xf numFmtId="178" fontId="99" fillId="49" borderId="13" xfId="0" applyFont="1" applyFill="1" applyBorder="1" applyAlignment="1">
      <alignment horizontal="center" vertical="center"/>
    </xf>
    <xf numFmtId="168" fontId="99" fillId="49" borderId="13" xfId="324" applyNumberFormat="1" applyFont="1" applyFill="1" applyBorder="1"/>
    <xf numFmtId="178" fontId="111" fillId="31" borderId="13" xfId="0" applyFont="1" applyFill="1" applyBorder="1" applyAlignment="1">
      <alignment horizontal="center" vertical="center"/>
    </xf>
    <xf numFmtId="49" fontId="111" fillId="31" borderId="13" xfId="0" applyNumberFormat="1" applyFont="1" applyFill="1" applyBorder="1" applyAlignment="1">
      <alignment horizontal="center" vertical="center" wrapText="1"/>
    </xf>
    <xf numFmtId="49" fontId="111" fillId="31" borderId="13" xfId="0" applyNumberFormat="1" applyFont="1" applyFill="1" applyBorder="1" applyAlignment="1">
      <alignment horizontal="left"/>
    </xf>
    <xf numFmtId="168" fontId="78" fillId="0" borderId="13" xfId="324" applyNumberFormat="1" applyFont="1" applyBorder="1"/>
    <xf numFmtId="168" fontId="111" fillId="31" borderId="13" xfId="0" applyNumberFormat="1" applyFont="1" applyFill="1" applyBorder="1" applyAlignment="1">
      <alignment horizontal="center" wrapText="1"/>
    </xf>
    <xf numFmtId="168" fontId="78" fillId="0" borderId="13" xfId="324" applyNumberFormat="1" applyFont="1" applyFill="1" applyBorder="1"/>
    <xf numFmtId="49" fontId="111" fillId="31" borderId="13" xfId="0" applyNumberFormat="1" applyFont="1" applyFill="1" applyBorder="1" applyAlignment="1">
      <alignment horizontal="left" vertical="center"/>
    </xf>
    <xf numFmtId="168" fontId="111" fillId="31" borderId="13" xfId="0" applyNumberFormat="1" applyFont="1" applyFill="1" applyBorder="1" applyAlignment="1">
      <alignment vertical="center" wrapText="1"/>
    </xf>
    <xf numFmtId="3" fontId="93" fillId="0" borderId="13" xfId="0" applyNumberFormat="1" applyFont="1" applyBorder="1" applyAlignment="1">
      <alignment horizontal="right"/>
    </xf>
    <xf numFmtId="168" fontId="93" fillId="28" borderId="13" xfId="0" applyNumberFormat="1" applyFont="1" applyFill="1" applyBorder="1" applyAlignment="1">
      <alignment horizontal="right"/>
    </xf>
    <xf numFmtId="3" fontId="106" fillId="0" borderId="13" xfId="329" applyNumberFormat="1" applyFont="1" applyBorder="1" applyAlignment="1">
      <alignment horizontal="right"/>
    </xf>
    <xf numFmtId="3" fontId="106" fillId="0" borderId="13" xfId="329" applyNumberFormat="1" applyFont="1" applyFill="1" applyBorder="1" applyAlignment="1">
      <alignment horizontal="right"/>
    </xf>
    <xf numFmtId="3" fontId="55" fillId="0" borderId="13" xfId="389" applyNumberFormat="1" applyFont="1" applyFill="1" applyBorder="1" applyAlignment="1">
      <alignment horizontal="center"/>
    </xf>
    <xf numFmtId="3" fontId="102" fillId="34" borderId="13" xfId="329" applyNumberFormat="1" applyFont="1" applyFill="1" applyBorder="1" applyAlignment="1">
      <alignment horizontal="right" vertical="center"/>
    </xf>
    <xf numFmtId="3" fontId="102" fillId="36" borderId="13" xfId="329" applyNumberFormat="1" applyFont="1" applyFill="1" applyBorder="1" applyAlignment="1">
      <alignment horizontal="right" vertical="center"/>
    </xf>
    <xf numFmtId="3" fontId="102" fillId="36" borderId="13" xfId="329" applyNumberFormat="1" applyFont="1" applyFill="1" applyBorder="1" applyAlignment="1">
      <alignment vertical="center"/>
    </xf>
    <xf numFmtId="3" fontId="106" fillId="0" borderId="13" xfId="329" applyNumberFormat="1" applyFont="1" applyBorder="1" applyAlignment="1">
      <alignment horizontal="center" vertical="center"/>
    </xf>
    <xf numFmtId="3" fontId="106" fillId="0" borderId="13" xfId="329" applyNumberFormat="1" applyFont="1" applyFill="1" applyBorder="1" applyAlignment="1">
      <alignment horizontal="center" vertical="center"/>
    </xf>
    <xf numFmtId="38" fontId="93" fillId="0" borderId="13" xfId="0" applyNumberFormat="1" applyFont="1" applyBorder="1" applyAlignment="1">
      <alignment horizontal="center" vertical="center"/>
    </xf>
    <xf numFmtId="38" fontId="93" fillId="0" borderId="13" xfId="0" applyNumberFormat="1" applyFont="1" applyFill="1" applyBorder="1" applyAlignment="1">
      <alignment horizontal="center" vertical="center"/>
    </xf>
    <xf numFmtId="3" fontId="75" fillId="0" borderId="13" xfId="329" applyNumberFormat="1" applyFont="1" applyFill="1" applyBorder="1" applyAlignment="1">
      <alignment horizontal="right" vertical="center" wrapText="1"/>
    </xf>
    <xf numFmtId="3" fontId="75" fillId="0" borderId="13" xfId="395" applyNumberFormat="1" applyFont="1" applyBorder="1" applyAlignment="1">
      <alignment horizontal="right"/>
    </xf>
    <xf numFmtId="38" fontId="93" fillId="0" borderId="13" xfId="0" applyNumberFormat="1" applyFont="1" applyFill="1" applyBorder="1" applyAlignment="1">
      <alignment horizontal="right" vertical="top"/>
    </xf>
    <xf numFmtId="168" fontId="93" fillId="0" borderId="13" xfId="0" applyNumberFormat="1" applyFont="1" applyFill="1" applyBorder="1" applyAlignment="1">
      <alignment horizontal="right"/>
    </xf>
    <xf numFmtId="3" fontId="55" fillId="36" borderId="13" xfId="389" applyNumberFormat="1" applyFont="1" applyFill="1" applyBorder="1" applyAlignment="1">
      <alignment horizontal="center"/>
    </xf>
    <xf numFmtId="173" fontId="55" fillId="36" borderId="13" xfId="552" applyNumberFormat="1" applyFont="1" applyFill="1" applyBorder="1" applyAlignment="1">
      <alignment horizontal="center"/>
    </xf>
    <xf numFmtId="168" fontId="99" fillId="49" borderId="13" xfId="0" applyNumberFormat="1" applyFont="1" applyFill="1" applyBorder="1" applyAlignment="1">
      <alignment horizontal="center" vertical="center" wrapText="1"/>
    </xf>
    <xf numFmtId="168" fontId="84" fillId="0" borderId="13" xfId="0" applyNumberFormat="1" applyFont="1" applyFill="1" applyBorder="1" applyAlignment="1">
      <alignment horizontal="center" vertical="center" wrapText="1"/>
    </xf>
    <xf numFmtId="49" fontId="57" fillId="49" borderId="13" xfId="0" applyNumberFormat="1" applyFont="1" applyFill="1" applyBorder="1" applyAlignment="1">
      <alignment horizontal="center" vertical="center"/>
    </xf>
    <xf numFmtId="49" fontId="57" fillId="49" borderId="13" xfId="0" applyNumberFormat="1" applyFont="1" applyFill="1" applyBorder="1" applyAlignment="1">
      <alignment horizontal="center" vertical="center" wrapText="1"/>
    </xf>
    <xf numFmtId="168" fontId="99" fillId="49" borderId="13" xfId="0" applyNumberFormat="1" applyFont="1" applyFill="1" applyBorder="1" applyAlignment="1">
      <alignment vertical="center" wrapText="1"/>
    </xf>
    <xf numFmtId="49" fontId="99" fillId="49" borderId="14" xfId="0" applyNumberFormat="1" applyFont="1" applyFill="1" applyBorder="1" applyAlignment="1">
      <alignment horizontal="center" vertical="center" wrapText="1"/>
    </xf>
    <xf numFmtId="49" fontId="99" fillId="49" borderId="13" xfId="0" applyNumberFormat="1" applyFont="1" applyFill="1" applyBorder="1" applyAlignment="1">
      <alignment vertical="center" wrapText="1"/>
    </xf>
    <xf numFmtId="168" fontId="57" fillId="49" borderId="13" xfId="0" applyNumberFormat="1" applyFont="1" applyFill="1" applyBorder="1" applyAlignment="1">
      <alignment horizontal="center" vertical="center" wrapText="1"/>
    </xf>
    <xf numFmtId="10" fontId="57" fillId="49" borderId="13" xfId="0" applyNumberFormat="1" applyFont="1" applyFill="1" applyBorder="1" applyAlignment="1">
      <alignment vertical="center"/>
    </xf>
    <xf numFmtId="168" fontId="99" fillId="49" borderId="13" xfId="0" applyNumberFormat="1" applyFont="1" applyFill="1" applyBorder="1" applyAlignment="1">
      <alignment horizontal="left" vertical="center" wrapText="1"/>
    </xf>
    <xf numFmtId="178" fontId="99" fillId="44" borderId="13" xfId="389" applyFont="1" applyFill="1" applyBorder="1" applyAlignment="1">
      <alignment horizontal="center" vertical="center" wrapText="1"/>
    </xf>
    <xf numFmtId="178" fontId="99" fillId="47" borderId="13" xfId="389" applyFont="1" applyFill="1" applyBorder="1" applyAlignment="1">
      <alignment horizontal="center" vertical="center"/>
    </xf>
    <xf numFmtId="178" fontId="99" fillId="47" borderId="13" xfId="389" applyFont="1" applyFill="1" applyBorder="1" applyAlignment="1">
      <alignment horizontal="center" vertical="center" wrapText="1"/>
    </xf>
    <xf numFmtId="178" fontId="99" fillId="47" borderId="13" xfId="389" applyNumberFormat="1" applyFont="1" applyFill="1" applyBorder="1" applyAlignment="1" applyProtection="1">
      <alignment horizontal="center"/>
    </xf>
    <xf numFmtId="49" fontId="99" fillId="47" borderId="13" xfId="389" applyNumberFormat="1" applyFont="1" applyFill="1" applyBorder="1" applyAlignment="1" applyProtection="1">
      <alignment horizontal="center"/>
    </xf>
    <xf numFmtId="172" fontId="138" fillId="47" borderId="13" xfId="362" applyNumberFormat="1" applyFont="1" applyFill="1" applyBorder="1" applyAlignment="1">
      <alignment horizontal="left" vertical="center"/>
    </xf>
    <xf numFmtId="49" fontId="138" fillId="47" borderId="13" xfId="362" applyNumberFormat="1" applyFont="1" applyFill="1" applyBorder="1" applyAlignment="1">
      <alignment horizontal="left" vertical="center"/>
    </xf>
    <xf numFmtId="178" fontId="138" fillId="47" borderId="13" xfId="362" applyFont="1" applyFill="1" applyBorder="1" applyAlignment="1">
      <alignment horizontal="center" vertical="center"/>
    </xf>
    <xf numFmtId="41" fontId="138" fillId="47" borderId="13" xfId="362" applyNumberFormat="1" applyFont="1" applyFill="1" applyBorder="1" applyAlignment="1">
      <alignment horizontal="center" vertical="center"/>
    </xf>
    <xf numFmtId="0" fontId="99" fillId="47" borderId="13" xfId="580" applyFont="1" applyFill="1" applyBorder="1" applyAlignment="1">
      <alignment horizontal="center"/>
    </xf>
    <xf numFmtId="0" fontId="57" fillId="47" borderId="13" xfId="580" applyFont="1" applyFill="1" applyBorder="1"/>
    <xf numFmtId="9" fontId="57" fillId="47" borderId="13" xfId="580" applyNumberFormat="1" applyFont="1" applyFill="1" applyBorder="1"/>
    <xf numFmtId="178" fontId="99" fillId="49" borderId="13" xfId="449" applyFont="1" applyFill="1" applyBorder="1" applyAlignment="1">
      <alignment horizontal="center" vertical="center"/>
    </xf>
    <xf numFmtId="178" fontId="160" fillId="26" borderId="0" xfId="0" applyFont="1" applyFill="1" applyBorder="1" applyAlignment="1">
      <alignment horizontal="center" vertical="center" wrapText="1"/>
    </xf>
    <xf numFmtId="173" fontId="101" fillId="0" borderId="0" xfId="0" applyNumberFormat="1" applyFont="1" applyFill="1" applyBorder="1" applyAlignment="1">
      <alignment horizontal="center"/>
    </xf>
    <xf numFmtId="173" fontId="0" fillId="28" borderId="0" xfId="552" applyNumberFormat="1" applyFont="1" applyFill="1"/>
    <xf numFmtId="173" fontId="103" fillId="34" borderId="13" xfId="329" applyNumberFormat="1" applyFont="1" applyFill="1" applyBorder="1" applyAlignment="1">
      <alignment horizontal="right" vertical="center"/>
    </xf>
    <xf numFmtId="10" fontId="103" fillId="36" borderId="13" xfId="329" applyNumberFormat="1" applyFont="1" applyFill="1" applyBorder="1" applyAlignment="1">
      <alignment vertical="center" wrapText="1"/>
    </xf>
    <xf numFmtId="10" fontId="103" fillId="36" borderId="13" xfId="329" applyNumberFormat="1" applyFont="1" applyFill="1" applyBorder="1" applyAlignment="1">
      <alignment horizontal="right" vertical="center"/>
    </xf>
    <xf numFmtId="173" fontId="103" fillId="0" borderId="13" xfId="329" applyNumberFormat="1" applyFont="1" applyFill="1" applyBorder="1" applyAlignment="1">
      <alignment horizontal="right" vertical="center"/>
    </xf>
    <xf numFmtId="40" fontId="72" fillId="35" borderId="13" xfId="389" applyNumberFormat="1" applyFont="1" applyFill="1" applyBorder="1" applyAlignment="1"/>
    <xf numFmtId="10" fontId="78" fillId="0" borderId="13" xfId="552" applyNumberFormat="1" applyFont="1" applyBorder="1" applyAlignment="1">
      <alignment horizontal="center" vertical="center" wrapText="1"/>
    </xf>
    <xf numFmtId="38" fontId="99" fillId="49" borderId="13" xfId="329" applyNumberFormat="1" applyFont="1" applyFill="1" applyBorder="1" applyAlignment="1">
      <alignment horizontal="left" vertical="center"/>
    </xf>
    <xf numFmtId="178" fontId="108" fillId="49" borderId="13" xfId="0" applyFont="1" applyFill="1" applyBorder="1" applyAlignment="1">
      <alignment horizontal="center" vertical="center" wrapText="1"/>
    </xf>
    <xf numFmtId="40" fontId="83" fillId="51" borderId="13" xfId="389" applyNumberFormat="1" applyFont="1" applyFill="1" applyBorder="1"/>
    <xf numFmtId="17" fontId="138" fillId="49" borderId="13" xfId="389" applyNumberFormat="1" applyFont="1" applyFill="1" applyBorder="1" applyAlignment="1">
      <alignment horizontal="center" vertical="center"/>
    </xf>
    <xf numFmtId="40" fontId="138" fillId="49" borderId="13" xfId="329" applyNumberFormat="1" applyFont="1" applyFill="1" applyBorder="1" applyAlignment="1">
      <alignment vertical="center"/>
    </xf>
    <xf numFmtId="178" fontId="139" fillId="0" borderId="0" xfId="0" applyFont="1" applyAlignment="1">
      <alignment vertical="center"/>
    </xf>
    <xf numFmtId="43" fontId="130" fillId="28" borderId="13" xfId="337" applyNumberFormat="1" applyFont="1" applyFill="1" applyBorder="1" applyAlignment="1">
      <alignment horizontal="right" vertical="center"/>
    </xf>
    <xf numFmtId="43" fontId="130" fillId="28" borderId="13" xfId="337" applyNumberFormat="1" applyFont="1" applyFill="1" applyBorder="1" applyAlignment="1">
      <alignment vertical="center"/>
    </xf>
    <xf numFmtId="178" fontId="111" fillId="31" borderId="13" xfId="337" applyNumberFormat="1" applyFont="1" applyFill="1" applyBorder="1" applyAlignment="1">
      <alignment horizontal="center" vertical="center" wrapText="1"/>
    </xf>
    <xf numFmtId="43" fontId="77" fillId="34" borderId="13" xfId="395" applyNumberFormat="1" applyFont="1" applyFill="1" applyBorder="1" applyAlignment="1">
      <alignment horizontal="center" vertical="center" wrapText="1"/>
    </xf>
    <xf numFmtId="168" fontId="99" fillId="47" borderId="13" xfId="339" applyNumberFormat="1" applyFont="1" applyFill="1" applyBorder="1" applyAlignment="1">
      <alignment horizontal="center" vertical="center" wrapText="1"/>
    </xf>
    <xf numFmtId="168" fontId="103" fillId="28" borderId="13" xfId="324" applyNumberFormat="1" applyFont="1" applyFill="1" applyBorder="1" applyAlignment="1">
      <alignment horizontal="center" vertical="center"/>
    </xf>
    <xf numFmtId="178" fontId="57" fillId="49" borderId="13" xfId="0" applyFont="1" applyFill="1" applyBorder="1" applyAlignment="1">
      <alignment horizontal="center" vertical="center" wrapText="1"/>
    </xf>
    <xf numFmtId="49" fontId="178" fillId="49" borderId="13" xfId="0" applyNumberFormat="1" applyFont="1" applyFill="1" applyBorder="1" applyAlignment="1">
      <alignment horizontal="center" vertical="center" wrapText="1"/>
    </xf>
    <xf numFmtId="178" fontId="108" fillId="49" borderId="19" xfId="0" applyFont="1" applyFill="1" applyBorder="1" applyAlignment="1">
      <alignment horizontal="center" vertical="center" wrapText="1"/>
    </xf>
    <xf numFmtId="1" fontId="57" fillId="47" borderId="13" xfId="0" applyNumberFormat="1" applyFont="1" applyFill="1" applyBorder="1" applyAlignment="1">
      <alignment horizontal="center"/>
    </xf>
    <xf numFmtId="178" fontId="72" fillId="0" borderId="13" xfId="447" applyFont="1" applyBorder="1" applyAlignment="1">
      <alignment horizontal="center"/>
    </xf>
    <xf numFmtId="43" fontId="83" fillId="0" borderId="13" xfId="324" applyNumberFormat="1" applyFont="1" applyBorder="1" applyAlignment="1">
      <alignment horizontal="center"/>
    </xf>
    <xf numFmtId="10" fontId="83" fillId="0" borderId="13" xfId="447" applyNumberFormat="1" applyFont="1" applyBorder="1" applyAlignment="1">
      <alignment horizontal="center"/>
    </xf>
    <xf numFmtId="10" fontId="72" fillId="0" borderId="13" xfId="447" applyNumberFormat="1" applyFont="1" applyBorder="1" applyAlignment="1">
      <alignment horizontal="center"/>
    </xf>
    <xf numFmtId="43" fontId="83" fillId="28" borderId="13" xfId="324" applyNumberFormat="1" applyFont="1" applyFill="1" applyBorder="1" applyAlignment="1">
      <alignment horizontal="center"/>
    </xf>
    <xf numFmtId="43" fontId="72" fillId="0" borderId="13" xfId="324" applyNumberFormat="1" applyFont="1" applyFill="1" applyBorder="1" applyAlignment="1">
      <alignment horizontal="center"/>
    </xf>
    <xf numFmtId="178" fontId="83" fillId="28" borderId="13" xfId="449" applyFont="1" applyFill="1" applyBorder="1" applyAlignment="1">
      <alignment horizontal="left" vertical="center"/>
    </xf>
    <xf numFmtId="173" fontId="72" fillId="0" borderId="13" xfId="449" applyNumberFormat="1" applyFont="1" applyBorder="1" applyAlignment="1">
      <alignment horizontal="center" vertical="center"/>
    </xf>
    <xf numFmtId="178" fontId="83" fillId="0" borderId="13" xfId="449" applyFont="1" applyFill="1" applyBorder="1" applyAlignment="1">
      <alignment horizontal="left" vertical="center"/>
    </xf>
    <xf numFmtId="10" fontId="72" fillId="0" borderId="13" xfId="449" applyNumberFormat="1" applyFont="1" applyBorder="1" applyAlignment="1">
      <alignment horizontal="center" vertical="center"/>
    </xf>
    <xf numFmtId="173" fontId="99" fillId="49" borderId="13" xfId="449" applyNumberFormat="1" applyFont="1" applyFill="1" applyBorder="1" applyAlignment="1">
      <alignment horizontal="center" vertical="center"/>
    </xf>
    <xf numFmtId="178" fontId="0" fillId="0" borderId="0" xfId="449" applyFont="1"/>
    <xf numFmtId="170" fontId="99" fillId="49" borderId="13" xfId="324" applyNumberFormat="1" applyFont="1" applyFill="1" applyBorder="1" applyAlignment="1">
      <alignment vertical="center"/>
    </xf>
    <xf numFmtId="43" fontId="99" fillId="49" borderId="13" xfId="0" applyNumberFormat="1" applyFont="1" applyFill="1" applyBorder="1" applyAlignment="1">
      <alignment horizontal="center" vertical="center" wrapText="1"/>
    </xf>
    <xf numFmtId="10" fontId="83" fillId="32" borderId="13" xfId="0" applyNumberFormat="1" applyFont="1" applyFill="1" applyBorder="1"/>
    <xf numFmtId="178" fontId="99" fillId="49" borderId="13" xfId="443" applyFont="1" applyFill="1" applyBorder="1" applyAlignment="1">
      <alignment horizontal="center" vertical="center"/>
    </xf>
    <xf numFmtId="0" fontId="99" fillId="49" borderId="13" xfId="443" applyNumberFormat="1" applyFont="1" applyFill="1" applyBorder="1" applyAlignment="1">
      <alignment horizontal="center"/>
    </xf>
    <xf numFmtId="178" fontId="99" fillId="49" borderId="13" xfId="443" applyFont="1" applyFill="1" applyBorder="1" applyAlignment="1">
      <alignment horizontal="center" vertical="center" wrapText="1"/>
    </xf>
    <xf numFmtId="168" fontId="99" fillId="49" borderId="13" xfId="0" applyNumberFormat="1" applyFont="1" applyFill="1" applyBorder="1" applyAlignment="1">
      <alignment horizontal="center"/>
    </xf>
    <xf numFmtId="43" fontId="99" fillId="49" borderId="13" xfId="324" applyNumberFormat="1" applyFont="1" applyFill="1" applyBorder="1" applyAlignment="1">
      <alignment horizontal="center"/>
    </xf>
    <xf numFmtId="178" fontId="57" fillId="31" borderId="13" xfId="0" applyFont="1" applyFill="1" applyBorder="1" applyAlignment="1">
      <alignment horizontal="center" vertical="center"/>
    </xf>
    <xf numFmtId="0" fontId="111" fillId="31" borderId="13" xfId="0" applyNumberFormat="1" applyFont="1" applyFill="1" applyBorder="1" applyAlignment="1">
      <alignment horizontal="center" vertical="center" wrapText="1"/>
    </xf>
    <xf numFmtId="0" fontId="108" fillId="31" borderId="13" xfId="0" applyNumberFormat="1" applyFont="1" applyFill="1" applyBorder="1" applyAlignment="1">
      <alignment horizontal="center" vertical="center"/>
    </xf>
    <xf numFmtId="0" fontId="108" fillId="31" borderId="13" xfId="0" applyNumberFormat="1" applyFont="1" applyFill="1" applyBorder="1" applyAlignment="1">
      <alignment horizontal="center" vertical="center" wrapText="1"/>
    </xf>
    <xf numFmtId="12" fontId="111" fillId="31" borderId="13" xfId="0" applyNumberFormat="1" applyFont="1" applyFill="1" applyBorder="1" applyAlignment="1">
      <alignment horizontal="center" vertical="center" wrapText="1"/>
    </xf>
    <xf numFmtId="3" fontId="103" fillId="0" borderId="13" xfId="0" applyNumberFormat="1" applyFont="1" applyBorder="1" applyAlignment="1">
      <alignment horizontal="center" vertical="center"/>
    </xf>
    <xf numFmtId="0" fontId="78" fillId="0" borderId="13" xfId="0" applyNumberFormat="1" applyFont="1" applyBorder="1" applyAlignment="1">
      <alignment horizontal="center" vertical="center"/>
    </xf>
    <xf numFmtId="173" fontId="78" fillId="0" borderId="13" xfId="552" applyNumberFormat="1" applyFont="1" applyBorder="1" applyAlignment="1">
      <alignment horizontal="center" vertical="center"/>
    </xf>
    <xf numFmtId="0" fontId="78" fillId="0" borderId="13" xfId="0" applyNumberFormat="1" applyFont="1" applyFill="1" applyBorder="1" applyAlignment="1">
      <alignment horizontal="center" vertical="center"/>
    </xf>
    <xf numFmtId="3" fontId="111" fillId="31" borderId="13" xfId="0" applyNumberFormat="1" applyFont="1" applyFill="1" applyBorder="1" applyAlignment="1">
      <alignment horizontal="center" vertical="center"/>
    </xf>
    <xf numFmtId="173" fontId="111" fillId="31" borderId="13" xfId="552" applyNumberFormat="1" applyFont="1" applyFill="1" applyBorder="1" applyAlignment="1">
      <alignment horizontal="center" vertical="center"/>
    </xf>
    <xf numFmtId="173" fontId="72" fillId="0" borderId="13" xfId="0" applyNumberFormat="1" applyFont="1" applyBorder="1" applyAlignment="1">
      <alignment horizontal="center" vertical="center"/>
    </xf>
    <xf numFmtId="178" fontId="111" fillId="47" borderId="13" xfId="0" applyNumberFormat="1" applyFont="1" applyFill="1" applyBorder="1" applyAlignment="1">
      <alignment horizontal="center"/>
    </xf>
    <xf numFmtId="3" fontId="103" fillId="28" borderId="13" xfId="0" applyNumberFormat="1" applyFont="1" applyFill="1" applyBorder="1" applyAlignment="1">
      <alignment horizontal="right" vertical="center"/>
    </xf>
    <xf numFmtId="173" fontId="0" fillId="0" borderId="0" xfId="552" applyNumberFormat="1" applyFont="1" applyFill="1" applyBorder="1" applyAlignment="1"/>
    <xf numFmtId="193" fontId="0" fillId="0" borderId="0" xfId="0" applyNumberFormat="1"/>
    <xf numFmtId="178" fontId="111" fillId="49" borderId="19" xfId="389" applyNumberFormat="1" applyFont="1" applyFill="1" applyBorder="1" applyAlignment="1">
      <alignment horizontal="center" vertical="center"/>
    </xf>
    <xf numFmtId="178" fontId="111" fillId="49" borderId="19" xfId="389" applyFont="1" applyFill="1" applyBorder="1" applyAlignment="1">
      <alignment horizontal="center" vertical="center" wrapText="1"/>
    </xf>
    <xf numFmtId="49" fontId="138" fillId="49" borderId="13" xfId="389" applyNumberFormat="1" applyFont="1" applyFill="1" applyBorder="1" applyAlignment="1">
      <alignment horizontal="center"/>
    </xf>
    <xf numFmtId="49" fontId="111" fillId="49" borderId="13" xfId="389" applyNumberFormat="1" applyFont="1" applyFill="1" applyBorder="1" applyAlignment="1">
      <alignment horizontal="center"/>
    </xf>
    <xf numFmtId="4" fontId="111" fillId="49" borderId="13" xfId="324" applyNumberFormat="1" applyFont="1" applyFill="1" applyBorder="1" applyAlignment="1">
      <alignment horizontal="right"/>
    </xf>
    <xf numFmtId="41" fontId="179" fillId="58" borderId="13" xfId="0" applyNumberFormat="1" applyFont="1" applyFill="1" applyBorder="1" applyAlignment="1">
      <alignment horizontal="center" vertical="center"/>
    </xf>
    <xf numFmtId="3" fontId="106" fillId="28" borderId="13" xfId="329" applyNumberFormat="1" applyFont="1" applyFill="1" applyBorder="1" applyAlignment="1">
      <alignment horizontal="center" vertical="center"/>
    </xf>
    <xf numFmtId="177" fontId="75" fillId="28" borderId="13" xfId="0" applyNumberFormat="1" applyFont="1" applyFill="1" applyBorder="1" applyAlignment="1">
      <alignment horizontal="right" vertical="top"/>
    </xf>
    <xf numFmtId="178" fontId="55" fillId="0" borderId="0" xfId="660" applyFill="1" applyBorder="1"/>
    <xf numFmtId="178" fontId="55" fillId="0" borderId="0" xfId="660" applyNumberFormat="1"/>
    <xf numFmtId="178" fontId="55" fillId="0" borderId="0" xfId="660" applyNumberFormat="1" applyBorder="1"/>
    <xf numFmtId="178" fontId="55" fillId="0" borderId="0" xfId="660" applyNumberFormat="1" applyBorder="1" applyAlignment="1">
      <alignment horizontal="center"/>
    </xf>
    <xf numFmtId="3" fontId="55" fillId="0" borderId="0" xfId="660" applyNumberFormat="1" applyBorder="1"/>
    <xf numFmtId="3" fontId="111" fillId="31" borderId="13" xfId="660" applyNumberFormat="1" applyFont="1" applyFill="1" applyBorder="1" applyAlignment="1">
      <alignment horizontal="center" vertical="center"/>
    </xf>
    <xf numFmtId="0" fontId="111" fillId="31" borderId="13" xfId="660" applyNumberFormat="1" applyFont="1" applyFill="1" applyBorder="1" applyAlignment="1">
      <alignment horizontal="center" vertical="center" wrapText="1"/>
    </xf>
    <xf numFmtId="0" fontId="78" fillId="0" borderId="13" xfId="660" applyNumberFormat="1" applyFont="1" applyFill="1" applyBorder="1" applyAlignment="1">
      <alignment horizontal="center" vertical="center"/>
    </xf>
    <xf numFmtId="3" fontId="103" fillId="0" borderId="13" xfId="660" applyNumberFormat="1" applyFont="1" applyBorder="1" applyAlignment="1">
      <alignment horizontal="center" vertical="center"/>
    </xf>
    <xf numFmtId="17" fontId="111" fillId="31" borderId="13" xfId="660" applyNumberFormat="1" applyFont="1" applyFill="1" applyBorder="1" applyAlignment="1">
      <alignment horizontal="center" vertical="center" wrapText="1"/>
    </xf>
    <xf numFmtId="0" fontId="78" fillId="0" borderId="13" xfId="660" applyNumberFormat="1" applyFont="1" applyBorder="1" applyAlignment="1">
      <alignment horizontal="center" vertical="center"/>
    </xf>
    <xf numFmtId="178" fontId="55" fillId="0" borderId="0" xfId="660"/>
    <xf numFmtId="12" fontId="111" fillId="31" borderId="13" xfId="660" applyNumberFormat="1" applyFont="1" applyFill="1" applyBorder="1" applyAlignment="1">
      <alignment horizontal="center" vertical="center" wrapText="1"/>
    </xf>
    <xf numFmtId="0" fontId="108" fillId="31" borderId="13" xfId="660" applyNumberFormat="1" applyFont="1" applyFill="1" applyBorder="1" applyAlignment="1">
      <alignment horizontal="center" vertical="center" wrapText="1"/>
    </xf>
    <xf numFmtId="0" fontId="108" fillId="31" borderId="13" xfId="660" applyNumberFormat="1" applyFont="1" applyFill="1" applyBorder="1" applyAlignment="1">
      <alignment horizontal="center" vertical="center"/>
    </xf>
    <xf numFmtId="178" fontId="108" fillId="0" borderId="0" xfId="660" applyFont="1" applyFill="1" applyBorder="1" applyAlignment="1">
      <alignment horizontal="center" vertical="center" wrapText="1"/>
    </xf>
    <xf numFmtId="0" fontId="55" fillId="0" borderId="0" xfId="661"/>
    <xf numFmtId="0" fontId="55" fillId="0" borderId="0" xfId="662"/>
    <xf numFmtId="0" fontId="60" fillId="0" borderId="0" xfId="662" applyFont="1" applyAlignment="1">
      <alignment horizontal="center" vertical="center"/>
    </xf>
    <xf numFmtId="168" fontId="117" fillId="29" borderId="13" xfId="324" applyNumberFormat="1" applyFont="1" applyFill="1" applyBorder="1" applyAlignment="1">
      <alignment horizontal="right" indent="1"/>
    </xf>
    <xf numFmtId="173" fontId="116" fillId="29" borderId="13" xfId="395" applyNumberFormat="1" applyFont="1" applyFill="1" applyBorder="1" applyAlignment="1">
      <alignment horizontal="right" indent="1"/>
    </xf>
    <xf numFmtId="168" fontId="117" fillId="36" borderId="13" xfId="324" applyNumberFormat="1" applyFont="1" applyFill="1" applyBorder="1" applyAlignment="1">
      <alignment horizontal="right"/>
    </xf>
    <xf numFmtId="173" fontId="116" fillId="36" borderId="13" xfId="395" applyNumberFormat="1" applyFont="1" applyFill="1" applyBorder="1" applyAlignment="1">
      <alignment horizontal="right"/>
    </xf>
    <xf numFmtId="3" fontId="103" fillId="42" borderId="13" xfId="0" applyNumberFormat="1" applyFont="1" applyFill="1" applyBorder="1" applyAlignment="1">
      <alignment horizontal="right" vertical="center"/>
    </xf>
    <xf numFmtId="173" fontId="83" fillId="28" borderId="13" xfId="0" applyNumberFormat="1" applyFont="1" applyFill="1" applyBorder="1" applyAlignment="1">
      <alignment horizontal="center"/>
    </xf>
    <xf numFmtId="0" fontId="108" fillId="46" borderId="13" xfId="438" applyFont="1" applyFill="1" applyBorder="1" applyAlignment="1">
      <alignment horizontal="center" vertical="center" wrapText="1"/>
    </xf>
    <xf numFmtId="0" fontId="108" fillId="46" borderId="13" xfId="438" applyFont="1" applyFill="1" applyBorder="1" applyAlignment="1">
      <alignment horizontal="left" vertical="center" wrapText="1"/>
    </xf>
    <xf numFmtId="0" fontId="55" fillId="0" borderId="0" xfId="663"/>
    <xf numFmtId="168" fontId="0" fillId="0" borderId="13" xfId="324" applyNumberFormat="1" applyFont="1" applyBorder="1"/>
    <xf numFmtId="168" fontId="94" fillId="0" borderId="13" xfId="324" applyNumberFormat="1" applyFont="1" applyBorder="1"/>
    <xf numFmtId="168" fontId="94" fillId="0" borderId="14" xfId="324" applyNumberFormat="1" applyFont="1" applyBorder="1"/>
    <xf numFmtId="168" fontId="108" fillId="46" borderId="13" xfId="324" applyNumberFormat="1" applyFont="1" applyFill="1" applyBorder="1" applyAlignment="1">
      <alignment horizontal="center" vertical="center" wrapText="1"/>
    </xf>
    <xf numFmtId="10" fontId="143" fillId="0" borderId="0" xfId="627" applyNumberFormat="1" applyFont="1"/>
    <xf numFmtId="0" fontId="55" fillId="0" borderId="0" xfId="657" applyAlignment="1">
      <alignment vertical="center"/>
    </xf>
    <xf numFmtId="0" fontId="55" fillId="0" borderId="13" xfId="657" applyBorder="1" applyAlignment="1">
      <alignment horizontal="center"/>
    </xf>
    <xf numFmtId="0" fontId="55" fillId="0" borderId="0" xfId="657"/>
    <xf numFmtId="0" fontId="57" fillId="47" borderId="13" xfId="657" applyFont="1" applyFill="1" applyBorder="1" applyAlignment="1">
      <alignment horizontal="center" vertical="center"/>
    </xf>
    <xf numFmtId="49" fontId="57" fillId="47" borderId="13" xfId="657" applyNumberFormat="1" applyFont="1" applyFill="1" applyBorder="1" applyAlignment="1">
      <alignment horizontal="center" vertical="center"/>
    </xf>
    <xf numFmtId="0" fontId="57" fillId="47" borderId="13" xfId="657" applyFont="1" applyFill="1" applyBorder="1" applyAlignment="1">
      <alignment horizontal="center"/>
    </xf>
    <xf numFmtId="173" fontId="69" fillId="44" borderId="13" xfId="0" applyNumberFormat="1" applyFont="1" applyFill="1" applyBorder="1" applyAlignment="1">
      <alignment horizontal="center" vertical="center"/>
    </xf>
    <xf numFmtId="171" fontId="69" fillId="44" borderId="13" xfId="0" applyNumberFormat="1" applyFont="1" applyFill="1" applyBorder="1" applyAlignment="1">
      <alignment horizontal="center" vertical="center"/>
    </xf>
    <xf numFmtId="178" fontId="69" fillId="44" borderId="13" xfId="0" applyNumberFormat="1" applyFont="1" applyFill="1" applyBorder="1" applyAlignment="1">
      <alignment horizontal="center" vertical="center"/>
    </xf>
    <xf numFmtId="177" fontId="69" fillId="44" borderId="13" xfId="0" applyNumberFormat="1" applyFont="1" applyFill="1" applyBorder="1" applyAlignment="1">
      <alignment horizontal="center" vertical="center"/>
    </xf>
    <xf numFmtId="178" fontId="108" fillId="44" borderId="13" xfId="0" applyNumberFormat="1" applyFont="1" applyFill="1" applyBorder="1" applyAlignment="1">
      <alignment horizontal="center" vertical="center" wrapText="1"/>
    </xf>
    <xf numFmtId="0" fontId="108" fillId="44" borderId="13" xfId="0" applyNumberFormat="1" applyFont="1" applyFill="1" applyBorder="1" applyAlignment="1">
      <alignment horizontal="center" vertical="center"/>
    </xf>
    <xf numFmtId="3" fontId="83" fillId="0" borderId="13" xfId="324" applyNumberFormat="1" applyFont="1" applyBorder="1" applyAlignment="1">
      <alignment horizontal="center" vertical="center"/>
    </xf>
    <xf numFmtId="40" fontId="99" fillId="49" borderId="13" xfId="329" applyNumberFormat="1" applyFont="1" applyFill="1" applyBorder="1" applyAlignment="1">
      <alignment horizontal="center" vertical="center"/>
    </xf>
    <xf numFmtId="43" fontId="99" fillId="44" borderId="13" xfId="0" applyNumberFormat="1" applyFont="1" applyFill="1" applyBorder="1"/>
    <xf numFmtId="173" fontId="99" fillId="31" borderId="13" xfId="0" applyNumberFormat="1" applyFont="1" applyFill="1" applyBorder="1" applyAlignment="1">
      <alignment horizontal="center"/>
    </xf>
    <xf numFmtId="194" fontId="3" fillId="59" borderId="53" xfId="0" applyNumberFormat="1" applyFont="1" applyFill="1" applyBorder="1" applyAlignment="1">
      <alignment horizontal="center" vertical="center" wrapText="1"/>
    </xf>
    <xf numFmtId="178" fontId="147" fillId="0" borderId="58" xfId="0" applyFont="1" applyFill="1" applyBorder="1" applyAlignment="1">
      <alignment vertical="top" wrapText="1"/>
    </xf>
    <xf numFmtId="194" fontId="147" fillId="0" borderId="58" xfId="0" applyNumberFormat="1" applyFont="1" applyFill="1" applyBorder="1" applyAlignment="1">
      <alignment horizontal="right" vertical="top" wrapText="1"/>
    </xf>
    <xf numFmtId="178" fontId="147" fillId="0" borderId="54" xfId="0" applyFont="1" applyFill="1" applyBorder="1" applyAlignment="1">
      <alignment vertical="top" wrapText="1"/>
    </xf>
    <xf numFmtId="194" fontId="147" fillId="0" borderId="54" xfId="0" applyNumberFormat="1" applyFont="1" applyFill="1" applyBorder="1" applyAlignment="1">
      <alignment horizontal="right" vertical="top" wrapText="1"/>
    </xf>
    <xf numFmtId="0" fontId="124" fillId="47" borderId="13" xfId="657" applyFont="1" applyFill="1" applyBorder="1" applyAlignment="1">
      <alignment horizontal="center" vertical="center"/>
    </xf>
    <xf numFmtId="0" fontId="124" fillId="47" borderId="13" xfId="657" applyFont="1" applyFill="1" applyBorder="1"/>
    <xf numFmtId="0" fontId="124" fillId="47" borderId="13" xfId="657" applyFont="1" applyFill="1" applyBorder="1" applyAlignment="1">
      <alignment horizontal="center" vertical="center" wrapText="1"/>
    </xf>
    <xf numFmtId="49" fontId="78" fillId="0" borderId="13" xfId="0" applyNumberFormat="1" applyFont="1" applyFill="1" applyBorder="1" applyAlignment="1">
      <alignment horizontal="right"/>
    </xf>
    <xf numFmtId="49" fontId="103" fillId="0" borderId="13" xfId="0" applyNumberFormat="1" applyFont="1" applyFill="1" applyBorder="1" applyAlignment="1">
      <alignment horizontal="right" vertical="center"/>
    </xf>
    <xf numFmtId="1" fontId="57" fillId="50" borderId="13" xfId="0" applyNumberFormat="1" applyFont="1" applyFill="1" applyBorder="1" applyAlignment="1">
      <alignment horizontal="center" vertical="center" wrapText="1"/>
    </xf>
    <xf numFmtId="0" fontId="99" fillId="55" borderId="13" xfId="0" applyNumberFormat="1" applyFont="1" applyFill="1" applyBorder="1" applyAlignment="1">
      <alignment horizontal="center" vertical="center"/>
    </xf>
    <xf numFmtId="178" fontId="57" fillId="50" borderId="13" xfId="0" applyFont="1" applyFill="1" applyBorder="1" applyAlignment="1">
      <alignment horizontal="center" vertical="center" wrapText="1"/>
    </xf>
    <xf numFmtId="49" fontId="72" fillId="0" borderId="13" xfId="0" applyNumberFormat="1" applyFont="1" applyFill="1" applyBorder="1" applyAlignment="1">
      <alignment horizontal="center"/>
    </xf>
    <xf numFmtId="49" fontId="124" fillId="50" borderId="13" xfId="0" applyNumberFormat="1" applyFont="1" applyFill="1" applyBorder="1" applyAlignment="1">
      <alignment horizontal="center" vertical="center" wrapText="1"/>
    </xf>
    <xf numFmtId="4" fontId="78" fillId="0" borderId="13" xfId="0" applyNumberFormat="1" applyFont="1" applyBorder="1" applyAlignment="1">
      <alignment horizontal="center" vertical="center" wrapText="1"/>
    </xf>
    <xf numFmtId="43" fontId="84" fillId="32" borderId="13" xfId="395" applyNumberFormat="1" applyFont="1" applyFill="1" applyBorder="1" applyAlignment="1">
      <alignment horizontal="left" vertical="center" wrapText="1"/>
    </xf>
    <xf numFmtId="172" fontId="99" fillId="49" borderId="16" xfId="362" applyNumberFormat="1" applyFont="1" applyFill="1" applyBorder="1" applyAlignment="1">
      <alignment horizontal="left" vertical="center"/>
    </xf>
    <xf numFmtId="49" fontId="99" fillId="49" borderId="16" xfId="362" applyNumberFormat="1" applyFont="1" applyFill="1" applyBorder="1" applyAlignment="1">
      <alignment horizontal="left" vertical="center"/>
    </xf>
    <xf numFmtId="178" fontId="55" fillId="0" borderId="0" xfId="634" applyFont="1"/>
    <xf numFmtId="178" fontId="55" fillId="0" borderId="0" xfId="634" applyFont="1" applyBorder="1"/>
    <xf numFmtId="178" fontId="55" fillId="0" borderId="0" xfId="637"/>
    <xf numFmtId="178" fontId="55" fillId="0" borderId="0" xfId="637" applyBorder="1"/>
    <xf numFmtId="178" fontId="55" fillId="0" borderId="0" xfId="634" applyFont="1" applyBorder="1" applyAlignment="1"/>
    <xf numFmtId="168" fontId="0" fillId="0" borderId="0" xfId="0" applyNumberFormat="1" applyFill="1" applyBorder="1"/>
    <xf numFmtId="173" fontId="78" fillId="0" borderId="13" xfId="392" applyNumberFormat="1" applyFont="1" applyBorder="1" applyAlignment="1">
      <alignment horizontal="center"/>
    </xf>
    <xf numFmtId="17" fontId="57" fillId="49" borderId="13" xfId="348" applyNumberFormat="1" applyFont="1" applyFill="1" applyBorder="1" applyAlignment="1">
      <alignment horizontal="center" vertical="center" wrapText="1"/>
    </xf>
    <xf numFmtId="187" fontId="0" fillId="0" borderId="0" xfId="0" applyNumberFormat="1" applyFill="1" applyBorder="1"/>
    <xf numFmtId="178" fontId="0" fillId="0" borderId="0" xfId="0" applyFill="1" applyBorder="1" applyAlignment="1">
      <alignment horizontal="right"/>
    </xf>
    <xf numFmtId="14" fontId="99" fillId="49" borderId="13" xfId="0" applyNumberFormat="1" applyFont="1" applyFill="1" applyBorder="1" applyAlignment="1">
      <alignment horizontal="center" vertical="center" wrapText="1"/>
    </xf>
    <xf numFmtId="3" fontId="64" fillId="0" borderId="13" xfId="395" applyNumberFormat="1" applyFont="1" applyFill="1" applyBorder="1" applyAlignment="1">
      <alignment horizontal="right"/>
    </xf>
    <xf numFmtId="173" fontId="0" fillId="0" borderId="13" xfId="0" applyNumberFormat="1" applyFont="1" applyFill="1" applyBorder="1" applyAlignment="1">
      <alignment horizontal="right"/>
    </xf>
    <xf numFmtId="173" fontId="0" fillId="0" borderId="13" xfId="0" applyNumberFormat="1" applyFont="1" applyBorder="1" applyAlignment="1">
      <alignment horizontal="right"/>
    </xf>
    <xf numFmtId="3" fontId="64" fillId="28" borderId="13" xfId="395" applyNumberFormat="1" applyFont="1" applyFill="1" applyBorder="1" applyAlignment="1">
      <alignment horizontal="right"/>
    </xf>
    <xf numFmtId="178" fontId="108" fillId="33" borderId="13" xfId="389" applyFont="1" applyFill="1" applyBorder="1" applyAlignment="1">
      <alignment horizontal="center" vertical="center" wrapText="1"/>
    </xf>
    <xf numFmtId="178" fontId="108" fillId="33" borderId="13" xfId="389" applyFont="1" applyFill="1" applyBorder="1" applyAlignment="1">
      <alignment horizontal="center" vertical="center"/>
    </xf>
    <xf numFmtId="17" fontId="108" fillId="33" borderId="13" xfId="0" applyNumberFormat="1" applyFont="1" applyFill="1" applyBorder="1" applyAlignment="1">
      <alignment horizontal="center" vertical="center"/>
    </xf>
    <xf numFmtId="178" fontId="108" fillId="33" borderId="13" xfId="0" applyFont="1" applyFill="1" applyBorder="1" applyAlignment="1">
      <alignment horizontal="center" vertical="center"/>
    </xf>
    <xf numFmtId="178" fontId="108" fillId="46" borderId="13" xfId="0" applyNumberFormat="1" applyFont="1" applyFill="1" applyBorder="1" applyAlignment="1">
      <alignment horizontal="center" vertical="center" wrapText="1"/>
    </xf>
    <xf numFmtId="2" fontId="99" fillId="49" borderId="13" xfId="348" applyNumberFormat="1" applyFont="1" applyFill="1" applyBorder="1" applyAlignment="1">
      <alignment horizontal="center" vertical="center" wrapText="1"/>
    </xf>
    <xf numFmtId="178" fontId="124" fillId="49" borderId="13" xfId="0" applyFont="1" applyFill="1" applyBorder="1" applyAlignment="1"/>
    <xf numFmtId="178" fontId="108" fillId="31" borderId="17" xfId="0" applyNumberFormat="1" applyFont="1" applyFill="1" applyBorder="1" applyAlignment="1">
      <alignment horizontal="right" vertical="center" wrapText="1"/>
    </xf>
    <xf numFmtId="173" fontId="108" fillId="31" borderId="13" xfId="0" applyNumberFormat="1" applyFont="1" applyFill="1" applyBorder="1" applyAlignment="1">
      <alignment horizontal="right" vertical="center"/>
    </xf>
    <xf numFmtId="178" fontId="108" fillId="31" borderId="13" xfId="0" applyNumberFormat="1" applyFont="1" applyFill="1" applyBorder="1" applyAlignment="1">
      <alignment horizontal="right" vertical="center"/>
    </xf>
    <xf numFmtId="173" fontId="83" fillId="0" borderId="13" xfId="0" applyNumberFormat="1" applyFont="1" applyBorder="1" applyAlignment="1">
      <alignment horizontal="center" vertical="center"/>
    </xf>
    <xf numFmtId="178" fontId="55" fillId="0" borderId="0" xfId="447" applyFont="1" applyAlignment="1">
      <alignment horizontal="left"/>
    </xf>
    <xf numFmtId="10" fontId="83" fillId="0" borderId="13" xfId="324" applyNumberFormat="1" applyFont="1" applyBorder="1"/>
    <xf numFmtId="10" fontId="83" fillId="0" borderId="13" xfId="324" applyNumberFormat="1" applyFont="1" applyFill="1" applyBorder="1"/>
    <xf numFmtId="178" fontId="182" fillId="0" borderId="0" xfId="0" applyFont="1"/>
    <xf numFmtId="0" fontId="55" fillId="0" borderId="0" xfId="677"/>
    <xf numFmtId="0" fontId="57" fillId="49" borderId="13" xfId="677" applyFont="1" applyFill="1" applyBorder="1" applyAlignment="1">
      <alignment horizontal="center" vertical="center"/>
    </xf>
    <xf numFmtId="0" fontId="57" fillId="49" borderId="13" xfId="677" applyFont="1" applyFill="1" applyBorder="1" applyAlignment="1">
      <alignment horizontal="center" vertical="center" wrapText="1"/>
    </xf>
    <xf numFmtId="0" fontId="57" fillId="49" borderId="13" xfId="677" applyFont="1" applyFill="1" applyBorder="1" applyAlignment="1">
      <alignment horizontal="left"/>
    </xf>
    <xf numFmtId="3" fontId="55" fillId="0" borderId="13" xfId="677" applyNumberFormat="1" applyBorder="1"/>
    <xf numFmtId="179" fontId="55" fillId="0" borderId="13" xfId="677" applyNumberFormat="1" applyBorder="1"/>
    <xf numFmtId="0" fontId="57" fillId="49" borderId="13" xfId="677" applyFont="1" applyFill="1" applyBorder="1" applyAlignment="1">
      <alignment horizontal="center"/>
    </xf>
    <xf numFmtId="3" fontId="57" fillId="49" borderId="13" xfId="677" applyNumberFormat="1" applyFont="1" applyFill="1" applyBorder="1" applyAlignment="1">
      <alignment horizontal="right"/>
    </xf>
    <xf numFmtId="179" fontId="57" fillId="49" borderId="13" xfId="677" applyNumberFormat="1" applyFont="1" applyFill="1" applyBorder="1" applyAlignment="1">
      <alignment horizontal="right"/>
    </xf>
    <xf numFmtId="0" fontId="57" fillId="49" borderId="13" xfId="657" applyFont="1" applyFill="1" applyBorder="1" applyAlignment="1">
      <alignment horizontal="center" vertical="center"/>
    </xf>
    <xf numFmtId="0" fontId="57" fillId="49" borderId="13" xfId="657" applyFont="1" applyFill="1" applyBorder="1" applyAlignment="1">
      <alignment horizontal="center" vertical="center" wrapText="1"/>
    </xf>
    <xf numFmtId="0" fontId="57" fillId="49" borderId="13" xfId="657" applyFont="1" applyFill="1" applyBorder="1" applyAlignment="1">
      <alignment horizontal="left"/>
    </xf>
    <xf numFmtId="3" fontId="55" fillId="0" borderId="13" xfId="657" applyNumberFormat="1" applyBorder="1"/>
    <xf numFmtId="179" fontId="55" fillId="0" borderId="13" xfId="657" applyNumberFormat="1" applyBorder="1"/>
    <xf numFmtId="0" fontId="57" fillId="49" borderId="13" xfId="657" applyFont="1" applyFill="1" applyBorder="1" applyAlignment="1">
      <alignment horizontal="center"/>
    </xf>
    <xf numFmtId="3" fontId="57" fillId="49" borderId="13" xfId="657" applyNumberFormat="1" applyFont="1" applyFill="1" applyBorder="1" applyAlignment="1">
      <alignment horizontal="right"/>
    </xf>
    <xf numFmtId="179" fontId="57" fillId="49" borderId="13" xfId="657" applyNumberFormat="1" applyFont="1" applyFill="1" applyBorder="1" applyAlignment="1">
      <alignment horizontal="right"/>
    </xf>
    <xf numFmtId="3" fontId="55" fillId="0" borderId="0" xfId="657" applyNumberFormat="1"/>
    <xf numFmtId="0" fontId="55" fillId="0" borderId="0" xfId="657" applyAlignment="1">
      <alignment wrapText="1"/>
    </xf>
    <xf numFmtId="0" fontId="57" fillId="60" borderId="13" xfId="657" applyFont="1" applyFill="1" applyBorder="1"/>
    <xf numFmtId="0" fontId="57" fillId="60" borderId="13" xfId="657" applyFont="1" applyFill="1" applyBorder="1" applyAlignment="1">
      <alignment horizontal="center"/>
    </xf>
    <xf numFmtId="0" fontId="57" fillId="60" borderId="13" xfId="657" applyFont="1" applyFill="1" applyBorder="1" applyAlignment="1">
      <alignment horizontal="center" vertical="center"/>
    </xf>
    <xf numFmtId="0" fontId="55" fillId="0" borderId="13" xfId="657" applyNumberFormat="1" applyBorder="1"/>
    <xf numFmtId="3" fontId="57" fillId="49" borderId="13" xfId="657" applyNumberFormat="1" applyFont="1" applyFill="1" applyBorder="1" applyAlignment="1">
      <alignment horizontal="center" vertical="center"/>
    </xf>
    <xf numFmtId="0" fontId="57" fillId="60" borderId="13" xfId="657" applyFont="1" applyFill="1" applyBorder="1" applyAlignment="1">
      <alignment horizontal="left"/>
    </xf>
    <xf numFmtId="3" fontId="57" fillId="60" borderId="13" xfId="657" applyNumberFormat="1" applyFont="1" applyFill="1" applyBorder="1"/>
    <xf numFmtId="3" fontId="57" fillId="60" borderId="13" xfId="657" applyNumberFormat="1" applyFont="1" applyFill="1" applyBorder="1" applyAlignment="1">
      <alignment horizontal="center" vertical="center"/>
    </xf>
    <xf numFmtId="0" fontId="99" fillId="60" borderId="13" xfId="657" applyFont="1" applyFill="1" applyBorder="1" applyAlignment="1">
      <alignment horizontal="center" vertical="center"/>
    </xf>
    <xf numFmtId="0" fontId="99" fillId="60" borderId="13" xfId="657" applyFont="1" applyFill="1" applyBorder="1" applyAlignment="1">
      <alignment horizontal="center" vertical="center" wrapText="1"/>
    </xf>
    <xf numFmtId="0" fontId="83" fillId="0" borderId="13" xfId="657" applyFont="1" applyBorder="1" applyAlignment="1">
      <alignment horizontal="left"/>
    </xf>
    <xf numFmtId="3" fontId="72" fillId="0" borderId="13" xfId="657" applyNumberFormat="1" applyFont="1" applyBorder="1"/>
    <xf numFmtId="3" fontId="99" fillId="49" borderId="13" xfId="657" applyNumberFormat="1" applyFont="1" applyFill="1" applyBorder="1"/>
    <xf numFmtId="0" fontId="99" fillId="49" borderId="13" xfId="657" applyFont="1" applyFill="1" applyBorder="1" applyAlignment="1">
      <alignment horizontal="left"/>
    </xf>
    <xf numFmtId="0" fontId="55" fillId="0" borderId="0" xfId="657" applyAlignment="1">
      <alignment horizontal="center"/>
    </xf>
    <xf numFmtId="0" fontId="99" fillId="49" borderId="13" xfId="657" applyFont="1" applyFill="1" applyBorder="1" applyAlignment="1">
      <alignment horizontal="center" vertical="center"/>
    </xf>
    <xf numFmtId="3" fontId="83" fillId="0" borderId="13" xfId="657" applyNumberFormat="1" applyFont="1" applyBorder="1"/>
    <xf numFmtId="0" fontId="57" fillId="49" borderId="13" xfId="657" applyFont="1" applyFill="1" applyBorder="1"/>
    <xf numFmtId="183" fontId="55" fillId="0" borderId="13" xfId="657" applyNumberFormat="1" applyBorder="1"/>
    <xf numFmtId="3" fontId="57" fillId="49" borderId="13" xfId="657" applyNumberFormat="1" applyFont="1" applyFill="1" applyBorder="1"/>
    <xf numFmtId="3" fontId="55" fillId="0" borderId="0" xfId="657" applyNumberFormat="1" applyBorder="1"/>
    <xf numFmtId="0" fontId="55" fillId="0" borderId="0" xfId="657" applyBorder="1"/>
    <xf numFmtId="0" fontId="55" fillId="0" borderId="0" xfId="682"/>
    <xf numFmtId="0" fontId="57" fillId="49" borderId="13" xfId="682" applyFont="1" applyFill="1" applyBorder="1" applyAlignment="1">
      <alignment horizontal="center"/>
    </xf>
    <xf numFmtId="0" fontId="57" fillId="49" borderId="13" xfId="682" applyFont="1" applyFill="1" applyBorder="1" applyAlignment="1">
      <alignment horizontal="left"/>
    </xf>
    <xf numFmtId="41" fontId="55" fillId="0" borderId="13" xfId="682" applyNumberFormat="1" applyBorder="1"/>
    <xf numFmtId="41" fontId="60" fillId="0" borderId="13" xfId="682" applyNumberFormat="1" applyFont="1" applyBorder="1"/>
    <xf numFmtId="41" fontId="57" fillId="49" borderId="13" xfId="682" applyNumberFormat="1" applyFont="1" applyFill="1" applyBorder="1" applyAlignment="1">
      <alignment horizontal="center"/>
    </xf>
    <xf numFmtId="41" fontId="55" fillId="0" borderId="13" xfId="657" applyNumberFormat="1" applyBorder="1" applyAlignment="1"/>
    <xf numFmtId="43" fontId="55" fillId="0" borderId="13" xfId="657" applyNumberFormat="1" applyBorder="1" applyAlignment="1"/>
    <xf numFmtId="41" fontId="60" fillId="0" borderId="13" xfId="657" applyNumberFormat="1" applyFont="1" applyBorder="1" applyAlignment="1"/>
    <xf numFmtId="41" fontId="57" fillId="49" borderId="13" xfId="657" applyNumberFormat="1" applyFont="1" applyFill="1" applyBorder="1" applyAlignment="1"/>
    <xf numFmtId="185" fontId="57" fillId="49" borderId="13" xfId="657" applyNumberFormat="1" applyFont="1" applyFill="1" applyBorder="1" applyAlignment="1"/>
    <xf numFmtId="41" fontId="55" fillId="0" borderId="13" xfId="657" applyNumberFormat="1" applyBorder="1"/>
    <xf numFmtId="1" fontId="55" fillId="0" borderId="0" xfId="657" applyNumberFormat="1"/>
    <xf numFmtId="2" fontId="55" fillId="0" borderId="0" xfId="657" applyNumberFormat="1"/>
    <xf numFmtId="41" fontId="57" fillId="49" borderId="13" xfId="657" applyNumberFormat="1" applyFont="1" applyFill="1" applyBorder="1" applyAlignment="1">
      <alignment horizontal="center"/>
    </xf>
    <xf numFmtId="41" fontId="55" fillId="0" borderId="0" xfId="657" applyNumberFormat="1"/>
    <xf numFmtId="41" fontId="57" fillId="60" borderId="13" xfId="657" applyNumberFormat="1" applyFont="1" applyFill="1" applyBorder="1" applyAlignment="1">
      <alignment horizontal="center" vertical="center"/>
    </xf>
    <xf numFmtId="41" fontId="57" fillId="61" borderId="13" xfId="657" applyNumberFormat="1" applyFont="1" applyFill="1" applyBorder="1" applyAlignment="1">
      <alignment horizontal="center" vertical="center"/>
    </xf>
    <xf numFmtId="41" fontId="57" fillId="60" borderId="13" xfId="657" applyNumberFormat="1" applyFont="1" applyFill="1" applyBorder="1" applyAlignment="1">
      <alignment horizontal="center" vertical="center" wrapText="1"/>
    </xf>
    <xf numFmtId="0" fontId="60" fillId="0" borderId="13" xfId="657" applyFont="1" applyBorder="1" applyAlignment="1">
      <alignment horizontal="left"/>
    </xf>
    <xf numFmtId="3" fontId="60" fillId="0" borderId="13" xfId="657" applyNumberFormat="1" applyFont="1" applyBorder="1" applyAlignment="1">
      <alignment horizontal="right"/>
    </xf>
    <xf numFmtId="173" fontId="60" fillId="0" borderId="13" xfId="552" applyNumberFormat="1" applyFont="1" applyBorder="1" applyAlignment="1">
      <alignment horizontal="right"/>
    </xf>
    <xf numFmtId="41" fontId="55" fillId="0" borderId="13" xfId="657" applyNumberFormat="1" applyBorder="1" applyAlignment="1">
      <alignment horizontal="right"/>
    </xf>
    <xf numFmtId="3" fontId="60" fillId="0" borderId="13" xfId="657" applyNumberFormat="1" applyFont="1" applyBorder="1" applyAlignment="1">
      <alignment horizontal="right" indent="1"/>
    </xf>
    <xf numFmtId="173" fontId="0" fillId="0" borderId="13" xfId="552" applyNumberFormat="1" applyFont="1" applyBorder="1" applyAlignment="1">
      <alignment horizontal="right"/>
    </xf>
    <xf numFmtId="0" fontId="60" fillId="0" borderId="13" xfId="657" applyFont="1" applyFill="1" applyBorder="1" applyAlignment="1">
      <alignment horizontal="left"/>
    </xf>
    <xf numFmtId="3" fontId="60" fillId="0" borderId="13" xfId="657" applyNumberFormat="1" applyFont="1" applyFill="1" applyBorder="1" applyAlignment="1">
      <alignment horizontal="right"/>
    </xf>
    <xf numFmtId="173" fontId="60" fillId="0" borderId="13" xfId="552" applyNumberFormat="1" applyFont="1" applyFill="1" applyBorder="1" applyAlignment="1">
      <alignment horizontal="right"/>
    </xf>
    <xf numFmtId="41" fontId="55" fillId="0" borderId="13" xfId="657" applyNumberFormat="1" applyFill="1" applyBorder="1" applyAlignment="1">
      <alignment horizontal="right"/>
    </xf>
    <xf numFmtId="3" fontId="60" fillId="0" borderId="13" xfId="657" applyNumberFormat="1" applyFont="1" applyFill="1" applyBorder="1" applyAlignment="1">
      <alignment horizontal="right" indent="1"/>
    </xf>
    <xf numFmtId="173" fontId="0" fillId="0" borderId="13" xfId="552" applyNumberFormat="1" applyFont="1" applyFill="1" applyBorder="1" applyAlignment="1">
      <alignment horizontal="right"/>
    </xf>
    <xf numFmtId="3" fontId="57" fillId="60" borderId="13" xfId="657" applyNumberFormat="1" applyFont="1" applyFill="1" applyBorder="1" applyAlignment="1">
      <alignment horizontal="center"/>
    </xf>
    <xf numFmtId="41" fontId="57" fillId="60" borderId="13" xfId="657" applyNumberFormat="1" applyFont="1" applyFill="1" applyBorder="1"/>
    <xf numFmtId="41" fontId="57" fillId="60" borderId="13" xfId="657" applyNumberFormat="1" applyFont="1" applyFill="1" applyBorder="1" applyAlignment="1">
      <alignment horizontal="right" indent="1"/>
    </xf>
    <xf numFmtId="0" fontId="55" fillId="0" borderId="0" xfId="683"/>
    <xf numFmtId="43" fontId="55" fillId="0" borderId="13" xfId="657" applyNumberFormat="1" applyBorder="1"/>
    <xf numFmtId="41" fontId="60" fillId="0" borderId="13" xfId="657" applyNumberFormat="1" applyFont="1" applyBorder="1" applyAlignment="1">
      <alignment horizontal="center"/>
    </xf>
    <xf numFmtId="185" fontId="57" fillId="49" borderId="13" xfId="657" applyNumberFormat="1" applyFont="1" applyFill="1" applyBorder="1" applyAlignment="1">
      <alignment horizontal="center"/>
    </xf>
    <xf numFmtId="178" fontId="55" fillId="0" borderId="0" xfId="684"/>
    <xf numFmtId="178" fontId="159" fillId="46" borderId="13" xfId="684" applyFont="1" applyFill="1" applyBorder="1" applyAlignment="1">
      <alignment horizontal="center" vertical="center" wrapText="1"/>
    </xf>
    <xf numFmtId="49" fontId="124" fillId="46" borderId="13" xfId="684" applyNumberFormat="1" applyFont="1" applyFill="1" applyBorder="1" applyAlignment="1">
      <alignment horizontal="center"/>
    </xf>
    <xf numFmtId="3" fontId="101" fillId="0" borderId="13" xfId="684" applyNumberFormat="1" applyFont="1" applyFill="1" applyBorder="1" applyAlignment="1">
      <alignment horizontal="center"/>
    </xf>
    <xf numFmtId="41" fontId="159" fillId="46" borderId="13" xfId="684" applyNumberFormat="1" applyFont="1" applyFill="1" applyBorder="1" applyAlignment="1">
      <alignment horizontal="center" vertical="center" wrapText="1"/>
    </xf>
    <xf numFmtId="10" fontId="55" fillId="0" borderId="0" xfId="684" applyNumberFormat="1"/>
    <xf numFmtId="178" fontId="160" fillId="30" borderId="13" xfId="684" applyFont="1" applyFill="1" applyBorder="1" applyAlignment="1">
      <alignment horizontal="center" vertical="center" wrapText="1"/>
    </xf>
    <xf numFmtId="178" fontId="160" fillId="26" borderId="13" xfId="684" applyFont="1" applyFill="1" applyBorder="1" applyAlignment="1">
      <alignment horizontal="center" vertical="center" wrapText="1"/>
    </xf>
    <xf numFmtId="178" fontId="160" fillId="26" borderId="0" xfId="684" applyFont="1" applyFill="1" applyBorder="1" applyAlignment="1">
      <alignment horizontal="center" vertical="center" wrapText="1"/>
    </xf>
    <xf numFmtId="49" fontId="73" fillId="30" borderId="13" xfId="684" applyNumberFormat="1" applyFont="1" applyFill="1" applyBorder="1" applyAlignment="1">
      <alignment horizontal="center"/>
    </xf>
    <xf numFmtId="183" fontId="101" fillId="0" borderId="13" xfId="684" applyNumberFormat="1" applyFont="1" applyFill="1" applyBorder="1" applyAlignment="1">
      <alignment horizontal="center"/>
    </xf>
    <xf numFmtId="173" fontId="101" fillId="0" borderId="0" xfId="684" applyNumberFormat="1" applyFont="1" applyFill="1" applyBorder="1" applyAlignment="1">
      <alignment horizontal="center"/>
    </xf>
    <xf numFmtId="173" fontId="55" fillId="0" borderId="0" xfId="684" applyNumberFormat="1"/>
    <xf numFmtId="178" fontId="63" fillId="46" borderId="0" xfId="684" applyFont="1" applyFill="1" applyBorder="1" applyAlignment="1">
      <alignment vertical="center" wrapText="1"/>
    </xf>
    <xf numFmtId="0" fontId="57" fillId="62" borderId="13" xfId="657" applyFont="1" applyFill="1" applyBorder="1" applyAlignment="1">
      <alignment horizontal="center" vertical="center"/>
    </xf>
    <xf numFmtId="0" fontId="57" fillId="63" borderId="13" xfId="657" applyFont="1" applyFill="1" applyBorder="1" applyAlignment="1">
      <alignment horizontal="center" vertical="center" wrapText="1"/>
    </xf>
    <xf numFmtId="0" fontId="57" fillId="62" borderId="13" xfId="657" applyFont="1" applyFill="1" applyBorder="1" applyAlignment="1">
      <alignment horizontal="center" vertical="center" wrapText="1"/>
    </xf>
    <xf numFmtId="0" fontId="57" fillId="60" borderId="13" xfId="657" applyFont="1" applyFill="1" applyBorder="1" applyAlignment="1">
      <alignment horizontal="center" vertical="center" wrapText="1"/>
    </xf>
    <xf numFmtId="0" fontId="55" fillId="0" borderId="0" xfId="657" applyAlignment="1">
      <alignment horizontal="center" vertical="center"/>
    </xf>
    <xf numFmtId="0" fontId="57" fillId="47" borderId="13" xfId="657" applyFont="1" applyFill="1" applyBorder="1" applyAlignment="1">
      <alignment horizontal="left" vertical="center"/>
    </xf>
    <xf numFmtId="3" fontId="77" fillId="28" borderId="13" xfId="657" applyNumberFormat="1" applyFont="1" applyFill="1" applyBorder="1"/>
    <xf numFmtId="173" fontId="77" fillId="28" borderId="13" xfId="552" applyNumberFormat="1" applyFont="1" applyFill="1" applyBorder="1"/>
    <xf numFmtId="9" fontId="77" fillId="28" borderId="13" xfId="552" applyFont="1" applyFill="1" applyBorder="1"/>
    <xf numFmtId="0" fontId="57" fillId="62" borderId="13" xfId="657" applyFont="1" applyFill="1" applyBorder="1" applyAlignment="1">
      <alignment horizontal="left" vertical="center"/>
    </xf>
    <xf numFmtId="3" fontId="57" fillId="62" borderId="13" xfId="657" applyNumberFormat="1" applyFont="1" applyFill="1" applyBorder="1"/>
    <xf numFmtId="0" fontId="99" fillId="49" borderId="13" xfId="657" applyFont="1" applyFill="1" applyBorder="1" applyAlignment="1">
      <alignment horizontal="center" vertical="center" wrapText="1"/>
    </xf>
    <xf numFmtId="0" fontId="99" fillId="44" borderId="13" xfId="657" applyFont="1" applyFill="1" applyBorder="1" applyAlignment="1">
      <alignment horizontal="center" vertical="center" wrapText="1"/>
    </xf>
    <xf numFmtId="0" fontId="85" fillId="0" borderId="13" xfId="657" applyFont="1" applyBorder="1" applyAlignment="1">
      <alignment vertical="center" wrapText="1"/>
    </xf>
    <xf numFmtId="0" fontId="85" fillId="0" borderId="13" xfId="657" applyFont="1" applyBorder="1" applyAlignment="1">
      <alignment horizontal="left" vertical="center" wrapText="1"/>
    </xf>
    <xf numFmtId="3" fontId="85" fillId="0" borderId="19" xfId="657" applyNumberFormat="1" applyFont="1" applyBorder="1" applyAlignment="1">
      <alignment horizontal="center" vertical="center" wrapText="1"/>
    </xf>
    <xf numFmtId="3" fontId="85" fillId="28" borderId="13" xfId="657" applyNumberFormat="1" applyFont="1" applyFill="1" applyBorder="1" applyAlignment="1">
      <alignment horizontal="center" vertical="center" wrapText="1"/>
    </xf>
    <xf numFmtId="173" fontId="85" fillId="28" borderId="13" xfId="552" applyNumberFormat="1" applyFont="1" applyFill="1" applyBorder="1" applyAlignment="1">
      <alignment horizontal="center" vertical="center" wrapText="1"/>
    </xf>
    <xf numFmtId="173" fontId="85" fillId="28" borderId="13" xfId="657" applyNumberFormat="1" applyFont="1" applyFill="1" applyBorder="1" applyAlignment="1">
      <alignment horizontal="center" vertical="center" wrapText="1"/>
    </xf>
    <xf numFmtId="3" fontId="72" fillId="0" borderId="13" xfId="657" applyNumberFormat="1" applyFont="1" applyBorder="1" applyAlignment="1">
      <alignment horizontal="center" vertical="center"/>
    </xf>
    <xf numFmtId="173" fontId="72" fillId="0" borderId="13" xfId="552" applyNumberFormat="1" applyFont="1" applyBorder="1" applyAlignment="1">
      <alignment horizontal="center" vertical="center"/>
    </xf>
    <xf numFmtId="173" fontId="85" fillId="64" borderId="13" xfId="657" applyNumberFormat="1" applyFont="1" applyFill="1" applyBorder="1" applyAlignment="1">
      <alignment horizontal="center" vertical="center" wrapText="1"/>
    </xf>
    <xf numFmtId="0" fontId="85" fillId="0" borderId="19" xfId="657" applyFont="1" applyBorder="1" applyAlignment="1">
      <alignment vertical="center" wrapText="1"/>
    </xf>
    <xf numFmtId="10" fontId="85" fillId="28" borderId="13" xfId="657" applyNumberFormat="1" applyFont="1" applyFill="1" applyBorder="1" applyAlignment="1">
      <alignment horizontal="center" vertical="center" wrapText="1"/>
    </xf>
    <xf numFmtId="0" fontId="85" fillId="0" borderId="19" xfId="657" applyFont="1" applyBorder="1" applyAlignment="1">
      <alignment horizontal="left" vertical="center" wrapText="1"/>
    </xf>
    <xf numFmtId="3" fontId="85" fillId="0" borderId="13" xfId="657" applyNumberFormat="1" applyFont="1" applyBorder="1" applyAlignment="1">
      <alignment horizontal="center" vertical="center" wrapText="1"/>
    </xf>
    <xf numFmtId="10" fontId="85" fillId="28" borderId="13" xfId="552" applyNumberFormat="1" applyFont="1" applyFill="1" applyBorder="1" applyAlignment="1">
      <alignment horizontal="center" vertical="center" wrapText="1"/>
    </xf>
    <xf numFmtId="3" fontId="99" fillId="49" borderId="13" xfId="657" applyNumberFormat="1" applyFont="1" applyFill="1" applyBorder="1" applyAlignment="1">
      <alignment horizontal="center" vertical="center" wrapText="1"/>
    </xf>
    <xf numFmtId="173" fontId="99" fillId="49" borderId="13" xfId="552" applyNumberFormat="1" applyFont="1" applyFill="1" applyBorder="1" applyAlignment="1">
      <alignment horizontal="center" vertical="center" wrapText="1"/>
    </xf>
    <xf numFmtId="0" fontId="57" fillId="47" borderId="13" xfId="657" applyFont="1" applyFill="1" applyBorder="1" applyAlignment="1">
      <alignment horizontal="left"/>
    </xf>
    <xf numFmtId="3" fontId="57" fillId="47" borderId="13" xfId="657" applyNumberFormat="1" applyFont="1" applyFill="1" applyBorder="1"/>
    <xf numFmtId="0" fontId="57" fillId="62" borderId="13" xfId="657" applyFont="1" applyFill="1" applyBorder="1" applyAlignment="1">
      <alignment horizontal="left"/>
    </xf>
    <xf numFmtId="0" fontId="57" fillId="60" borderId="13" xfId="657" applyFont="1" applyFill="1" applyBorder="1" applyAlignment="1">
      <alignment horizontal="center" wrapText="1"/>
    </xf>
    <xf numFmtId="41" fontId="60" fillId="0" borderId="13" xfId="657" applyNumberFormat="1" applyFont="1" applyBorder="1" applyAlignment="1">
      <alignment horizontal="right"/>
    </xf>
    <xf numFmtId="41" fontId="57" fillId="60" borderId="13" xfId="657" applyNumberFormat="1" applyFont="1" applyFill="1" applyBorder="1" applyAlignment="1">
      <alignment horizontal="right" vertical="center" wrapText="1"/>
    </xf>
    <xf numFmtId="178" fontId="72" fillId="0" borderId="0" xfId="0" applyFont="1" applyAlignment="1">
      <alignment vertical="center"/>
    </xf>
    <xf numFmtId="178" fontId="184" fillId="56" borderId="56" xfId="0" applyFont="1" applyFill="1" applyBorder="1" applyAlignment="1">
      <alignment horizontal="center" vertical="center" wrapText="1"/>
    </xf>
    <xf numFmtId="178" fontId="184" fillId="56" borderId="57" xfId="0" applyFont="1" applyFill="1" applyBorder="1" applyAlignment="1">
      <alignment horizontal="center" vertical="center" wrapText="1"/>
    </xf>
    <xf numFmtId="0" fontId="186" fillId="28" borderId="0" xfId="685" applyFont="1" applyFill="1"/>
    <xf numFmtId="0" fontId="47" fillId="28" borderId="0" xfId="685" applyFont="1" applyFill="1"/>
    <xf numFmtId="0" fontId="2" fillId="28" borderId="0" xfId="685" applyFont="1" applyFill="1"/>
    <xf numFmtId="168" fontId="187" fillId="49" borderId="13" xfId="685" applyNumberFormat="1" applyFont="1" applyFill="1" applyBorder="1" applyAlignment="1">
      <alignment horizontal="center"/>
    </xf>
    <xf numFmtId="0" fontId="186" fillId="28" borderId="0" xfId="685" applyFont="1" applyFill="1" applyAlignment="1">
      <alignment horizontal="center"/>
    </xf>
    <xf numFmtId="0" fontId="188" fillId="49" borderId="13" xfId="685" applyFont="1" applyFill="1" applyBorder="1" applyAlignment="1">
      <alignment wrapText="1"/>
    </xf>
    <xf numFmtId="168" fontId="47" fillId="28" borderId="13" xfId="685" applyNumberFormat="1" applyFont="1" applyFill="1" applyBorder="1"/>
    <xf numFmtId="168" fontId="47" fillId="28" borderId="13" xfId="324" applyNumberFormat="1" applyFont="1" applyFill="1" applyBorder="1"/>
    <xf numFmtId="168" fontId="189" fillId="65" borderId="13" xfId="687" applyNumberFormat="1" applyFont="1" applyFill="1" applyBorder="1"/>
    <xf numFmtId="49" fontId="47" fillId="28" borderId="13" xfId="685" applyNumberFormat="1" applyFont="1" applyFill="1" applyBorder="1" applyAlignment="1">
      <alignment horizontal="right"/>
    </xf>
    <xf numFmtId="168" fontId="47" fillId="28" borderId="13" xfId="685" applyNumberFormat="1" applyFont="1" applyFill="1" applyBorder="1" applyAlignment="1">
      <alignment horizontal="right"/>
    </xf>
    <xf numFmtId="168" fontId="190" fillId="28" borderId="13" xfId="685" applyNumberFormat="1" applyFont="1" applyFill="1" applyBorder="1"/>
    <xf numFmtId="168" fontId="189" fillId="28" borderId="13" xfId="687" applyNumberFormat="1" applyFont="1" applyFill="1" applyBorder="1"/>
    <xf numFmtId="0" fontId="188" fillId="49" borderId="13" xfId="685" applyFont="1" applyFill="1" applyBorder="1" applyAlignment="1">
      <alignment vertical="center" wrapText="1"/>
    </xf>
    <xf numFmtId="168" fontId="47" fillId="28" borderId="13" xfId="685" applyNumberFormat="1" applyFont="1" applyFill="1" applyBorder="1" applyAlignment="1">
      <alignment vertical="center"/>
    </xf>
    <xf numFmtId="168" fontId="47" fillId="28" borderId="13" xfId="324" applyNumberFormat="1" applyFont="1" applyFill="1" applyBorder="1" applyAlignment="1">
      <alignment vertical="center"/>
    </xf>
    <xf numFmtId="168" fontId="189" fillId="65" borderId="13" xfId="687" applyNumberFormat="1" applyFont="1" applyFill="1" applyBorder="1" applyAlignment="1">
      <alignment vertical="center"/>
    </xf>
    <xf numFmtId="49" fontId="47" fillId="28" borderId="13" xfId="685" applyNumberFormat="1" applyFont="1" applyFill="1" applyBorder="1" applyAlignment="1">
      <alignment horizontal="right" vertical="center"/>
    </xf>
    <xf numFmtId="168" fontId="47" fillId="28" borderId="13" xfId="685" applyNumberFormat="1" applyFont="1" applyFill="1" applyBorder="1" applyAlignment="1">
      <alignment horizontal="right" vertical="center"/>
    </xf>
    <xf numFmtId="0" fontId="186" fillId="28" borderId="0" xfId="685" applyFont="1" applyFill="1" applyAlignment="1">
      <alignment vertical="center"/>
    </xf>
    <xf numFmtId="168" fontId="47" fillId="38" borderId="13" xfId="685" applyNumberFormat="1" applyFont="1" applyFill="1" applyBorder="1"/>
    <xf numFmtId="49" fontId="47" fillId="38" borderId="13" xfId="685" applyNumberFormat="1" applyFont="1" applyFill="1" applyBorder="1" applyAlignment="1">
      <alignment horizontal="right"/>
    </xf>
    <xf numFmtId="168" fontId="47" fillId="38" borderId="13" xfId="685" applyNumberFormat="1" applyFont="1" applyFill="1" applyBorder="1" applyAlignment="1">
      <alignment horizontal="right"/>
    </xf>
    <xf numFmtId="168" fontId="189" fillId="38" borderId="13" xfId="687" applyNumberFormat="1" applyFont="1" applyFill="1" applyBorder="1"/>
    <xf numFmtId="0" fontId="188" fillId="49" borderId="13" xfId="685" applyFont="1" applyFill="1" applyBorder="1"/>
    <xf numFmtId="0" fontId="191" fillId="28" borderId="0" xfId="685" applyFont="1" applyFill="1"/>
    <xf numFmtId="168" fontId="187" fillId="49" borderId="13" xfId="685" applyNumberFormat="1" applyFont="1" applyFill="1" applyBorder="1"/>
    <xf numFmtId="3" fontId="89" fillId="42" borderId="13" xfId="657" applyNumberFormat="1" applyFont="1" applyFill="1" applyBorder="1"/>
    <xf numFmtId="173" fontId="108" fillId="31" borderId="13" xfId="329" applyNumberFormat="1" applyFont="1" applyFill="1" applyBorder="1" applyAlignment="1">
      <alignment horizontal="center" vertical="center" wrapText="1"/>
    </xf>
    <xf numFmtId="184" fontId="55" fillId="0" borderId="0" xfId="443" applyNumberFormat="1" applyFont="1"/>
    <xf numFmtId="41" fontId="92" fillId="60" borderId="13" xfId="657" applyNumberFormat="1" applyFont="1" applyFill="1" applyBorder="1" applyAlignment="1">
      <alignment horizontal="center" vertical="center"/>
    </xf>
    <xf numFmtId="3" fontId="138" fillId="60" borderId="13" xfId="683" applyNumberFormat="1" applyFont="1" applyFill="1" applyBorder="1" applyAlignment="1">
      <alignment horizontal="center" vertical="center" wrapText="1"/>
    </xf>
    <xf numFmtId="0" fontId="115" fillId="0" borderId="13" xfId="683" applyFont="1" applyBorder="1"/>
    <xf numFmtId="3" fontId="115" fillId="0" borderId="13" xfId="683" applyNumberFormat="1" applyFont="1" applyBorder="1" applyAlignment="1">
      <alignment horizontal="right"/>
    </xf>
    <xf numFmtId="9" fontId="115" fillId="0" borderId="13" xfId="552" applyFont="1" applyBorder="1"/>
    <xf numFmtId="3" fontId="138" fillId="60" borderId="13" xfId="683" applyNumberFormat="1" applyFont="1" applyFill="1" applyBorder="1" applyAlignment="1">
      <alignment horizontal="center" vertical="center"/>
    </xf>
    <xf numFmtId="3" fontId="138" fillId="60" borderId="13" xfId="683" applyNumberFormat="1" applyFont="1" applyFill="1" applyBorder="1" applyAlignment="1">
      <alignment horizontal="right" vertical="center"/>
    </xf>
    <xf numFmtId="178" fontId="0" fillId="0" borderId="0" xfId="0" applyAlignment="1">
      <alignment vertical="center" wrapText="1"/>
    </xf>
    <xf numFmtId="49" fontId="108" fillId="49" borderId="0" xfId="0" applyNumberFormat="1" applyFont="1" applyFill="1" applyBorder="1" applyAlignment="1">
      <alignment horizontal="center" vertical="center" wrapText="1"/>
    </xf>
    <xf numFmtId="178" fontId="0" fillId="0" borderId="0" xfId="0" applyFont="1" applyBorder="1" applyAlignment="1">
      <alignment vertical="top" wrapText="1"/>
    </xf>
    <xf numFmtId="168" fontId="99" fillId="49" borderId="13" xfId="324" applyNumberFormat="1" applyFont="1" applyFill="1" applyBorder="1" applyAlignment="1">
      <alignment horizontal="right"/>
    </xf>
    <xf numFmtId="173" fontId="83" fillId="28" borderId="13" xfId="324" applyNumberFormat="1" applyFont="1" applyFill="1" applyBorder="1" applyAlignment="1">
      <alignment horizontal="right"/>
    </xf>
    <xf numFmtId="10" fontId="83" fillId="28" borderId="13" xfId="324" applyNumberFormat="1" applyFont="1" applyFill="1" applyBorder="1"/>
    <xf numFmtId="168" fontId="99" fillId="49" borderId="13" xfId="324" applyNumberFormat="1" applyFont="1" applyFill="1" applyBorder="1" applyAlignment="1">
      <alignment vertical="center"/>
    </xf>
    <xf numFmtId="3" fontId="124" fillId="49" borderId="13" xfId="0" applyNumberFormat="1" applyFont="1" applyFill="1" applyBorder="1" applyAlignment="1">
      <alignment horizontal="center"/>
    </xf>
    <xf numFmtId="178" fontId="159" fillId="49" borderId="13" xfId="0" applyFont="1" applyFill="1" applyBorder="1" applyAlignment="1">
      <alignment horizontal="center" vertical="center" wrapText="1"/>
    </xf>
    <xf numFmtId="17" fontId="124" fillId="49" borderId="13" xfId="0" applyNumberFormat="1" applyFont="1" applyFill="1" applyBorder="1" applyAlignment="1">
      <alignment horizontal="center"/>
    </xf>
    <xf numFmtId="41" fontId="99" fillId="49" borderId="13" xfId="0" applyNumberFormat="1" applyFont="1" applyFill="1" applyBorder="1" applyAlignment="1">
      <alignment horizontal="center" vertical="center"/>
    </xf>
    <xf numFmtId="168" fontId="99" fillId="49" borderId="13" xfId="324" applyNumberFormat="1" applyFont="1" applyFill="1" applyBorder="1" applyAlignment="1">
      <alignment horizontal="center" vertical="center"/>
    </xf>
    <xf numFmtId="38" fontId="110" fillId="0" borderId="13" xfId="0" applyNumberFormat="1" applyFont="1" applyBorder="1" applyAlignment="1">
      <alignment horizontal="center" vertical="center"/>
    </xf>
    <xf numFmtId="173" fontId="110" fillId="0" borderId="13" xfId="0" applyNumberFormat="1" applyFont="1" applyBorder="1" applyAlignment="1">
      <alignment horizontal="center" vertical="center"/>
    </xf>
    <xf numFmtId="173" fontId="110" fillId="0" borderId="13" xfId="0" applyNumberFormat="1" applyFont="1" applyFill="1" applyBorder="1" applyAlignment="1">
      <alignment horizontal="center" vertical="center"/>
    </xf>
    <xf numFmtId="173" fontId="110" fillId="28" borderId="13" xfId="0" applyNumberFormat="1" applyFont="1" applyFill="1" applyBorder="1" applyAlignment="1">
      <alignment horizontal="center" vertical="center"/>
    </xf>
    <xf numFmtId="177" fontId="193" fillId="28" borderId="13" xfId="0" applyNumberFormat="1" applyFont="1" applyFill="1" applyBorder="1" applyAlignment="1">
      <alignment horizontal="center" vertical="center"/>
    </xf>
    <xf numFmtId="3" fontId="64" fillId="28" borderId="13" xfId="0" applyNumberFormat="1" applyFont="1" applyFill="1" applyBorder="1" applyAlignment="1" applyProtection="1">
      <alignment horizontal="right"/>
    </xf>
    <xf numFmtId="10" fontId="64" fillId="28" borderId="13" xfId="0" applyNumberFormat="1" applyFont="1" applyFill="1" applyBorder="1" applyAlignment="1" applyProtection="1">
      <alignment horizontal="right"/>
    </xf>
    <xf numFmtId="3" fontId="103" fillId="28" borderId="13" xfId="329" applyNumberFormat="1" applyFont="1" applyFill="1" applyBorder="1" applyAlignment="1">
      <alignment vertical="center"/>
    </xf>
    <xf numFmtId="168" fontId="72" fillId="28" borderId="13" xfId="324" applyNumberFormat="1" applyFont="1" applyFill="1" applyBorder="1" applyAlignment="1">
      <alignment horizontal="right"/>
    </xf>
    <xf numFmtId="49" fontId="111" fillId="49" borderId="13" xfId="0" applyNumberFormat="1" applyFont="1" applyFill="1" applyBorder="1" applyAlignment="1">
      <alignment horizontal="center" vertical="center" wrapText="1"/>
    </xf>
    <xf numFmtId="168" fontId="78" fillId="0" borderId="13" xfId="0" applyNumberFormat="1" applyFont="1" applyFill="1" applyBorder="1" applyAlignment="1">
      <alignment horizontal="center" vertical="center" wrapText="1"/>
    </xf>
    <xf numFmtId="168" fontId="78" fillId="0" borderId="13" xfId="324" applyNumberFormat="1" applyFont="1" applyFill="1" applyBorder="1" applyAlignment="1">
      <alignment horizontal="right" vertical="center"/>
    </xf>
    <xf numFmtId="168" fontId="111" fillId="49" borderId="13" xfId="0" applyNumberFormat="1" applyFont="1" applyFill="1" applyBorder="1" applyAlignment="1">
      <alignment horizontal="center" vertical="center" wrapText="1"/>
    </xf>
    <xf numFmtId="173" fontId="64" fillId="0" borderId="0" xfId="552" applyNumberFormat="1" applyFont="1" applyFill="1" applyBorder="1" applyAlignment="1" applyProtection="1"/>
    <xf numFmtId="168" fontId="84" fillId="28" borderId="13" xfId="0" applyNumberFormat="1" applyFont="1" applyFill="1" applyBorder="1" applyAlignment="1">
      <alignment horizontal="center" vertical="center" wrapText="1"/>
    </xf>
    <xf numFmtId="49" fontId="111" fillId="49" borderId="13" xfId="0" applyNumberFormat="1" applyFont="1" applyFill="1" applyBorder="1" applyAlignment="1">
      <alignment horizontal="center" vertical="center"/>
    </xf>
    <xf numFmtId="168" fontId="78" fillId="0" borderId="13" xfId="324" applyNumberFormat="1" applyFont="1" applyBorder="1" applyAlignment="1">
      <alignment horizontal="right" vertical="center"/>
    </xf>
    <xf numFmtId="10" fontId="111" fillId="49" borderId="13" xfId="0" applyNumberFormat="1" applyFont="1" applyFill="1" applyBorder="1" applyAlignment="1">
      <alignment vertical="center"/>
    </xf>
    <xf numFmtId="178" fontId="78" fillId="0" borderId="0" xfId="0" applyFont="1" applyAlignment="1">
      <alignment vertical="center"/>
    </xf>
    <xf numFmtId="3" fontId="103" fillId="28" borderId="13" xfId="329" applyNumberFormat="1" applyFont="1" applyFill="1" applyBorder="1" applyAlignment="1">
      <alignment horizontal="right" vertical="center"/>
    </xf>
    <xf numFmtId="184" fontId="0" fillId="0" borderId="0" xfId="0" applyNumberFormat="1" applyBorder="1" applyAlignment="1">
      <alignment horizontal="left"/>
    </xf>
    <xf numFmtId="43" fontId="57" fillId="47" borderId="13" xfId="324" applyNumberFormat="1" applyFont="1" applyFill="1" applyBorder="1"/>
    <xf numFmtId="184" fontId="196" fillId="0" borderId="0" xfId="0" quotePrefix="1" applyNumberFormat="1" applyFont="1"/>
    <xf numFmtId="184" fontId="196" fillId="0" borderId="0" xfId="0" applyNumberFormat="1" applyFont="1"/>
    <xf numFmtId="184" fontId="75" fillId="0" borderId="0" xfId="0" applyNumberFormat="1" applyFont="1"/>
    <xf numFmtId="187" fontId="94" fillId="0" borderId="0" xfId="0" applyNumberFormat="1" applyFont="1"/>
    <xf numFmtId="184" fontId="94" fillId="0" borderId="0" xfId="0" applyNumberFormat="1" applyFont="1"/>
    <xf numFmtId="168" fontId="78" fillId="28" borderId="13" xfId="324" applyNumberFormat="1" applyFont="1" applyFill="1" applyBorder="1" applyAlignment="1">
      <alignment horizontal="right" vertical="center"/>
    </xf>
    <xf numFmtId="43" fontId="55" fillId="0" borderId="0" xfId="580" applyNumberFormat="1"/>
    <xf numFmtId="173" fontId="84" fillId="28" borderId="13" xfId="348" applyNumberFormat="1" applyFont="1" applyFill="1" applyBorder="1" applyAlignment="1">
      <alignment horizontal="center"/>
    </xf>
    <xf numFmtId="1" fontId="0" fillId="0" borderId="0" xfId="552" applyNumberFormat="1" applyFont="1"/>
    <xf numFmtId="43" fontId="111" fillId="40" borderId="13" xfId="395" applyNumberFormat="1" applyFont="1" applyFill="1" applyBorder="1" applyAlignment="1">
      <alignment horizontal="center" vertical="center" wrapText="1"/>
    </xf>
    <xf numFmtId="43" fontId="111" fillId="41" borderId="13" xfId="395" applyNumberFormat="1" applyFont="1" applyFill="1" applyBorder="1" applyAlignment="1">
      <alignment horizontal="center" vertical="center" wrapText="1"/>
    </xf>
    <xf numFmtId="168" fontId="64" fillId="28" borderId="13" xfId="325" applyNumberFormat="1" applyFont="1" applyFill="1" applyBorder="1" applyAlignment="1">
      <alignment vertical="center"/>
    </xf>
    <xf numFmtId="3" fontId="197" fillId="28" borderId="13" xfId="0" applyNumberFormat="1" applyFont="1" applyFill="1" applyBorder="1" applyAlignment="1">
      <alignment horizontal="right"/>
    </xf>
    <xf numFmtId="41" fontId="64" fillId="0" borderId="13" xfId="0" applyNumberFormat="1" applyFont="1" applyFill="1" applyBorder="1" applyAlignment="1">
      <alignment horizontal="center" vertical="center"/>
    </xf>
    <xf numFmtId="3" fontId="64" fillId="0" borderId="13" xfId="389" quotePrefix="1" applyNumberFormat="1" applyFont="1" applyFill="1" applyBorder="1" applyAlignment="1" applyProtection="1">
      <alignment horizontal="right"/>
    </xf>
    <xf numFmtId="178" fontId="0" fillId="0" borderId="0" xfId="0" applyAlignment="1">
      <alignment horizontal="center"/>
    </xf>
    <xf numFmtId="1" fontId="62" fillId="28" borderId="13" xfId="324" applyNumberFormat="1" applyFont="1" applyFill="1" applyBorder="1" applyAlignment="1">
      <alignment horizontal="center" vertical="center"/>
    </xf>
    <xf numFmtId="168" fontId="62" fillId="28" borderId="13" xfId="324" applyNumberFormat="1" applyFont="1" applyFill="1" applyBorder="1" applyAlignment="1">
      <alignment horizontal="center" vertical="center"/>
    </xf>
    <xf numFmtId="168" fontId="78" fillId="28" borderId="13" xfId="324" applyNumberFormat="1" applyFont="1" applyFill="1" applyBorder="1"/>
    <xf numFmtId="168" fontId="78" fillId="28" borderId="39" xfId="324" applyNumberFormat="1" applyFont="1" applyFill="1" applyBorder="1"/>
    <xf numFmtId="173" fontId="111" fillId="31" borderId="13" xfId="0" applyNumberFormat="1" applyFont="1" applyFill="1" applyBorder="1" applyAlignment="1">
      <alignment horizontal="right"/>
    </xf>
    <xf numFmtId="173" fontId="111" fillId="31" borderId="13" xfId="0" applyNumberFormat="1" applyFont="1" applyFill="1" applyBorder="1" applyAlignment="1">
      <alignment horizontal="right" vertical="center"/>
    </xf>
    <xf numFmtId="168" fontId="72" fillId="28" borderId="13" xfId="324" applyNumberFormat="1" applyFont="1" applyFill="1" applyBorder="1" applyAlignment="1">
      <alignment vertical="center"/>
    </xf>
    <xf numFmtId="168" fontId="83" fillId="28" borderId="13" xfId="0" applyNumberFormat="1" applyFont="1" applyFill="1" applyBorder="1" applyAlignment="1">
      <alignment horizontal="center" wrapText="1"/>
    </xf>
    <xf numFmtId="10" fontId="83" fillId="28" borderId="13" xfId="0" applyNumberFormat="1" applyFont="1" applyFill="1" applyBorder="1"/>
    <xf numFmtId="168" fontId="62" fillId="28" borderId="13" xfId="324" applyNumberFormat="1" applyFont="1" applyFill="1" applyBorder="1" applyAlignment="1">
      <alignment vertical="center"/>
    </xf>
    <xf numFmtId="168" fontId="84" fillId="28" borderId="13" xfId="324" applyNumberFormat="1" applyFont="1" applyFill="1" applyBorder="1" applyAlignment="1">
      <alignment vertical="center"/>
    </xf>
    <xf numFmtId="173" fontId="83" fillId="28" borderId="13" xfId="0" applyNumberFormat="1" applyFont="1" applyFill="1" applyBorder="1" applyAlignment="1">
      <alignment vertical="center"/>
    </xf>
    <xf numFmtId="173" fontId="83" fillId="28" borderId="13" xfId="0" applyNumberFormat="1" applyFont="1" applyFill="1" applyBorder="1"/>
    <xf numFmtId="168" fontId="72" fillId="28" borderId="13" xfId="324" applyNumberFormat="1" applyFont="1" applyFill="1" applyBorder="1" applyAlignment="1"/>
    <xf numFmtId="168" fontId="55" fillId="28" borderId="13" xfId="324" applyNumberFormat="1" applyFont="1" applyFill="1" applyBorder="1" applyAlignment="1">
      <alignment vertical="center"/>
    </xf>
    <xf numFmtId="168" fontId="0" fillId="28" borderId="13" xfId="324" applyNumberFormat="1" applyFont="1" applyFill="1" applyBorder="1" applyAlignment="1">
      <alignment vertical="center"/>
    </xf>
    <xf numFmtId="173" fontId="83" fillId="0" borderId="13" xfId="0" applyNumberFormat="1" applyFont="1" applyFill="1" applyBorder="1" applyAlignment="1">
      <alignment vertical="center"/>
    </xf>
    <xf numFmtId="0" fontId="72" fillId="28" borderId="13" xfId="324" applyNumberFormat="1" applyFont="1" applyFill="1" applyBorder="1" applyAlignment="1">
      <alignment vertical="center"/>
    </xf>
    <xf numFmtId="0" fontId="72" fillId="28" borderId="13" xfId="324" applyNumberFormat="1" applyFont="1" applyFill="1" applyBorder="1"/>
    <xf numFmtId="10" fontId="83" fillId="28" borderId="13" xfId="324" applyNumberFormat="1" applyFont="1" applyFill="1" applyBorder="1" applyAlignment="1">
      <alignment vertical="center"/>
    </xf>
    <xf numFmtId="49" fontId="72" fillId="28" borderId="13" xfId="0" applyNumberFormat="1" applyFont="1" applyFill="1" applyBorder="1" applyAlignment="1">
      <alignment horizontal="center"/>
    </xf>
    <xf numFmtId="49" fontId="100" fillId="28" borderId="13" xfId="0" applyNumberFormat="1" applyFont="1" applyFill="1" applyBorder="1" applyAlignment="1">
      <alignment horizontal="right" vertical="center"/>
    </xf>
    <xf numFmtId="49" fontId="99" fillId="49" borderId="13" xfId="389" applyNumberFormat="1" applyFont="1" applyFill="1" applyBorder="1" applyAlignment="1">
      <alignment horizontal="center" vertical="center"/>
    </xf>
    <xf numFmtId="41" fontId="59" fillId="0" borderId="13" xfId="0" applyNumberFormat="1" applyFont="1" applyFill="1" applyBorder="1" applyAlignment="1">
      <alignment horizontal="center" vertical="center"/>
    </xf>
    <xf numFmtId="3" fontId="62" fillId="0" borderId="13" xfId="0" applyNumberFormat="1" applyFont="1" applyFill="1" applyBorder="1" applyAlignment="1">
      <alignment horizontal="right"/>
    </xf>
    <xf numFmtId="40" fontId="83" fillId="28" borderId="13" xfId="0" applyNumberFormat="1" applyFont="1" applyFill="1" applyBorder="1"/>
    <xf numFmtId="185" fontId="99" fillId="49" borderId="13" xfId="0" applyNumberFormat="1" applyFont="1" applyFill="1" applyBorder="1"/>
    <xf numFmtId="4" fontId="78" fillId="0" borderId="13" xfId="0" applyNumberFormat="1" applyFont="1" applyFill="1" applyBorder="1" applyAlignment="1">
      <alignment horizontal="center" vertical="center" wrapText="1"/>
    </xf>
    <xf numFmtId="173" fontId="62" fillId="28" borderId="13" xfId="348" applyNumberFormat="1" applyFont="1" applyFill="1" applyBorder="1" applyAlignment="1">
      <alignment horizontal="center"/>
    </xf>
    <xf numFmtId="168" fontId="62" fillId="28" borderId="13" xfId="325" applyNumberFormat="1" applyFont="1" applyFill="1" applyBorder="1"/>
    <xf numFmtId="173" fontId="62" fillId="28" borderId="13" xfId="325" applyNumberFormat="1" applyFont="1" applyFill="1" applyBorder="1"/>
    <xf numFmtId="4" fontId="97" fillId="0" borderId="13" xfId="0" applyNumberFormat="1" applyFont="1" applyBorder="1" applyAlignment="1">
      <alignment horizontal="center" vertical="center" wrapText="1"/>
    </xf>
    <xf numFmtId="49" fontId="57" fillId="47" borderId="13" xfId="657" applyNumberFormat="1" applyFont="1" applyFill="1" applyBorder="1" applyAlignment="1">
      <alignment horizontal="center" vertical="center" wrapText="1"/>
    </xf>
    <xf numFmtId="3" fontId="84" fillId="0" borderId="13" xfId="324" applyNumberFormat="1" applyFont="1" applyBorder="1" applyAlignment="1">
      <alignment horizontal="center" vertical="center"/>
    </xf>
    <xf numFmtId="0" fontId="60" fillId="0" borderId="13" xfId="580" applyFont="1" applyBorder="1" applyAlignment="1">
      <alignment horizontal="left"/>
    </xf>
    <xf numFmtId="184" fontId="0" fillId="0" borderId="0" xfId="0" applyNumberFormat="1"/>
    <xf numFmtId="178" fontId="111" fillId="0" borderId="0" xfId="0" applyFont="1" applyFill="1" applyBorder="1" applyAlignment="1">
      <alignment horizontal="center" vertical="center" wrapText="1"/>
    </xf>
    <xf numFmtId="178" fontId="108" fillId="33" borderId="13" xfId="0" applyFont="1" applyFill="1" applyBorder="1" applyAlignment="1">
      <alignment horizontal="center" vertical="center" wrapText="1"/>
    </xf>
    <xf numFmtId="3" fontId="83" fillId="0" borderId="13" xfId="0" applyNumberFormat="1" applyFont="1" applyBorder="1" applyAlignment="1">
      <alignment horizontal="center" vertical="center"/>
    </xf>
    <xf numFmtId="178" fontId="124" fillId="31" borderId="13" xfId="0" applyFont="1" applyFill="1" applyBorder="1" applyAlignment="1">
      <alignment horizontal="left" vertical="center" wrapText="1"/>
    </xf>
    <xf numFmtId="178" fontId="124" fillId="31" borderId="13" xfId="0" applyFont="1" applyFill="1" applyBorder="1" applyAlignment="1">
      <alignment horizontal="left" vertical="center"/>
    </xf>
    <xf numFmtId="168" fontId="57" fillId="31" borderId="13" xfId="325" applyNumberFormat="1" applyFont="1" applyFill="1" applyBorder="1"/>
    <xf numFmtId="10" fontId="57" fillId="31" borderId="13" xfId="325" applyNumberFormat="1" applyFont="1" applyFill="1" applyBorder="1"/>
    <xf numFmtId="178" fontId="57" fillId="31" borderId="13" xfId="0" applyFont="1" applyFill="1" applyBorder="1" applyAlignment="1">
      <alignment horizontal="left" vertical="center" wrapText="1"/>
    </xf>
    <xf numFmtId="178" fontId="57" fillId="31" borderId="13" xfId="0" applyFont="1" applyFill="1" applyBorder="1" applyAlignment="1">
      <alignment horizontal="left" vertical="center"/>
    </xf>
    <xf numFmtId="43" fontId="60" fillId="0" borderId="13" xfId="0" applyNumberFormat="1" applyFont="1" applyBorder="1" applyAlignment="1">
      <alignment vertical="center"/>
    </xf>
    <xf numFmtId="43" fontId="0" fillId="28" borderId="13" xfId="0" applyNumberFormat="1" applyFont="1" applyFill="1" applyBorder="1" applyAlignment="1">
      <alignment vertical="center"/>
    </xf>
    <xf numFmtId="43" fontId="64" fillId="0" borderId="13" xfId="0" applyNumberFormat="1" applyFont="1" applyFill="1" applyBorder="1" applyAlignment="1">
      <alignment vertical="center"/>
    </xf>
    <xf numFmtId="43" fontId="0" fillId="0" borderId="13" xfId="0" applyNumberFormat="1" applyFont="1" applyBorder="1" applyAlignment="1">
      <alignment vertical="center"/>
    </xf>
    <xf numFmtId="43" fontId="0" fillId="48" borderId="13" xfId="0" applyNumberFormat="1" applyFont="1" applyFill="1" applyBorder="1" applyAlignment="1">
      <alignment vertical="center"/>
    </xf>
    <xf numFmtId="43" fontId="64" fillId="0" borderId="39" xfId="0" applyNumberFormat="1" applyFont="1" applyFill="1" applyBorder="1" applyAlignment="1">
      <alignment vertical="center"/>
    </xf>
    <xf numFmtId="43" fontId="0" fillId="0" borderId="13" xfId="0" applyNumberFormat="1" applyFont="1" applyFill="1" applyBorder="1" applyAlignment="1">
      <alignment vertical="center"/>
    </xf>
    <xf numFmtId="10" fontId="61" fillId="0" borderId="13" xfId="552" applyNumberFormat="1" applyFont="1" applyBorder="1" applyAlignment="1">
      <alignment horizontal="center" vertical="center" wrapText="1"/>
    </xf>
    <xf numFmtId="168" fontId="64" fillId="43" borderId="13" xfId="395" applyNumberFormat="1" applyFont="1" applyFill="1" applyBorder="1" applyAlignment="1">
      <alignment horizontal="right"/>
    </xf>
    <xf numFmtId="17" fontId="64" fillId="0" borderId="0" xfId="395" applyNumberFormat="1" applyFont="1" applyFill="1" applyBorder="1" applyAlignment="1"/>
    <xf numFmtId="49" fontId="111" fillId="44" borderId="13" xfId="395" applyNumberFormat="1" applyFont="1" applyFill="1" applyBorder="1" applyAlignment="1">
      <alignment horizontal="center" vertical="center"/>
    </xf>
    <xf numFmtId="9" fontId="108" fillId="33" borderId="13" xfId="0" applyNumberFormat="1" applyFont="1" applyFill="1" applyBorder="1" applyAlignment="1">
      <alignment horizontal="center" vertical="center"/>
    </xf>
    <xf numFmtId="178" fontId="108" fillId="44" borderId="13" xfId="0" applyNumberFormat="1" applyFont="1" applyFill="1" applyBorder="1" applyAlignment="1">
      <alignment horizontal="center" vertical="center"/>
    </xf>
    <xf numFmtId="178" fontId="111" fillId="49" borderId="14" xfId="634" applyFont="1" applyFill="1" applyBorder="1" applyAlignment="1">
      <alignment horizontal="center" vertical="center"/>
    </xf>
    <xf numFmtId="178" fontId="111" fillId="49" borderId="14" xfId="634" applyFont="1" applyFill="1" applyBorder="1" applyAlignment="1">
      <alignment horizontal="center" vertical="center" wrapText="1"/>
    </xf>
    <xf numFmtId="17" fontId="111" fillId="49" borderId="13" xfId="634" applyNumberFormat="1" applyFont="1" applyFill="1" applyBorder="1" applyAlignment="1">
      <alignment horizontal="center"/>
    </xf>
    <xf numFmtId="178" fontId="102" fillId="0" borderId="11" xfId="0" applyFont="1" applyFill="1" applyBorder="1" applyAlignment="1">
      <alignment horizontal="center" vertical="center" wrapText="1"/>
    </xf>
    <xf numFmtId="0" fontId="30" fillId="0" borderId="0" xfId="363" applyFont="1"/>
    <xf numFmtId="0" fontId="200" fillId="0" borderId="0" xfId="363" applyFont="1" applyFill="1" applyBorder="1" applyAlignment="1"/>
    <xf numFmtId="0" fontId="30" fillId="0" borderId="0" xfId="363" applyFont="1" applyFill="1"/>
    <xf numFmtId="0" fontId="157" fillId="26" borderId="65" xfId="691" applyFont="1" applyFill="1" applyBorder="1" applyAlignment="1">
      <alignment horizontal="center" vertical="center" wrapText="1"/>
    </xf>
    <xf numFmtId="0" fontId="198" fillId="0" borderId="66" xfId="691" applyFont="1" applyFill="1" applyBorder="1" applyAlignment="1">
      <alignment horizontal="left" vertical="center" wrapText="1"/>
    </xf>
    <xf numFmtId="10" fontId="29" fillId="25" borderId="67" xfId="556" applyNumberFormat="1" applyFont="1" applyFill="1" applyBorder="1" applyAlignment="1">
      <alignment horizontal="center" vertical="center" wrapText="1"/>
    </xf>
    <xf numFmtId="185" fontId="29" fillId="24" borderId="67" xfId="417" applyNumberFormat="1" applyFont="1" applyFill="1" applyBorder="1" applyAlignment="1">
      <alignment horizontal="center" vertical="center" wrapText="1"/>
    </xf>
    <xf numFmtId="10" fontId="146" fillId="0" borderId="67" xfId="556" applyNumberFormat="1" applyFont="1" applyFill="1" applyBorder="1" applyAlignment="1">
      <alignment horizontal="center" vertical="center" wrapText="1"/>
    </xf>
    <xf numFmtId="0" fontId="202" fillId="0" borderId="0" xfId="691" applyFont="1" applyFill="1" applyBorder="1" applyAlignment="1">
      <alignment horizontal="left" vertical="center" wrapText="1"/>
    </xf>
    <xf numFmtId="10" fontId="146" fillId="25" borderId="0" xfId="556" applyNumberFormat="1" applyFont="1" applyFill="1" applyBorder="1" applyAlignment="1">
      <alignment horizontal="center" vertical="center" wrapText="1"/>
    </xf>
    <xf numFmtId="185" fontId="29" fillId="24" borderId="68" xfId="417" applyNumberFormat="1" applyFont="1" applyFill="1" applyBorder="1" applyAlignment="1">
      <alignment horizontal="center" vertical="center" wrapText="1"/>
    </xf>
    <xf numFmtId="10" fontId="29" fillId="25" borderId="0" xfId="556" applyNumberFormat="1" applyFont="1" applyFill="1" applyBorder="1" applyAlignment="1">
      <alignment horizontal="center" vertical="center" wrapText="1"/>
    </xf>
    <xf numFmtId="10" fontId="30" fillId="0" borderId="0" xfId="363" applyNumberFormat="1" applyFont="1" applyBorder="1" applyAlignment="1">
      <alignment horizontal="center"/>
    </xf>
    <xf numFmtId="0" fontId="204" fillId="0" borderId="0" xfId="691" applyFont="1" applyFill="1" applyBorder="1" applyAlignment="1">
      <alignment horizontal="left" vertical="center" wrapText="1"/>
    </xf>
    <xf numFmtId="185" fontId="146" fillId="24" borderId="0" xfId="417" applyNumberFormat="1" applyFont="1" applyFill="1" applyBorder="1" applyAlignment="1">
      <alignment horizontal="center" vertical="center" wrapText="1"/>
    </xf>
    <xf numFmtId="0" fontId="198" fillId="0" borderId="44" xfId="691" applyFont="1" applyFill="1" applyBorder="1" applyAlignment="1">
      <alignment horizontal="left" vertical="center" wrapText="1"/>
    </xf>
    <xf numFmtId="10" fontId="29" fillId="25" borderId="69" xfId="556" applyNumberFormat="1" applyFont="1" applyFill="1" applyBorder="1" applyAlignment="1">
      <alignment horizontal="center" vertical="center" wrapText="1"/>
    </xf>
    <xf numFmtId="185" fontId="29" fillId="24" borderId="69" xfId="417" applyNumberFormat="1" applyFont="1" applyFill="1" applyBorder="1" applyAlignment="1">
      <alignment horizontal="center" vertical="center" wrapText="1"/>
    </xf>
    <xf numFmtId="10" fontId="146" fillId="0" borderId="70" xfId="556" applyNumberFormat="1" applyFont="1" applyFill="1" applyBorder="1" applyAlignment="1">
      <alignment horizontal="center" vertical="center" wrapText="1"/>
    </xf>
    <xf numFmtId="43" fontId="30" fillId="0" borderId="0" xfId="363" applyNumberFormat="1" applyFont="1"/>
    <xf numFmtId="10" fontId="29" fillId="25" borderId="70" xfId="556" applyNumberFormat="1" applyFont="1" applyFill="1" applyBorder="1" applyAlignment="1">
      <alignment horizontal="center" vertical="center" wrapText="1"/>
    </xf>
    <xf numFmtId="185" fontId="29" fillId="24" borderId="70" xfId="417" applyNumberFormat="1" applyFont="1" applyFill="1" applyBorder="1" applyAlignment="1">
      <alignment horizontal="center" vertical="center" wrapText="1"/>
    </xf>
    <xf numFmtId="185" fontId="29" fillId="24" borderId="0" xfId="417" applyNumberFormat="1" applyFont="1" applyFill="1" applyBorder="1" applyAlignment="1">
      <alignment horizontal="center" vertical="center" wrapText="1"/>
    </xf>
    <xf numFmtId="10" fontId="146" fillId="0" borderId="12" xfId="556" applyNumberFormat="1" applyFont="1" applyFill="1" applyBorder="1" applyAlignment="1">
      <alignment horizontal="center" vertical="center" wrapText="1"/>
    </xf>
    <xf numFmtId="10" fontId="100" fillId="0" borderId="0" xfId="363" applyNumberFormat="1" applyFont="1" applyBorder="1" applyAlignment="1">
      <alignment horizontal="center"/>
    </xf>
    <xf numFmtId="0" fontId="202" fillId="0" borderId="0" xfId="363" applyFont="1" applyFill="1" applyBorder="1" applyAlignment="1">
      <alignment vertical="center" wrapText="1"/>
    </xf>
    <xf numFmtId="10" fontId="146" fillId="0" borderId="0" xfId="556" applyNumberFormat="1" applyFont="1" applyFill="1" applyBorder="1" applyAlignment="1">
      <alignment horizontal="center" vertical="center" wrapText="1"/>
    </xf>
    <xf numFmtId="0" fontId="204" fillId="0" borderId="0" xfId="363" applyFont="1" applyFill="1" applyBorder="1" applyAlignment="1">
      <alignment vertical="center" wrapText="1"/>
    </xf>
    <xf numFmtId="10" fontId="146" fillId="0" borderId="71" xfId="556" applyNumberFormat="1" applyFont="1" applyFill="1" applyBorder="1" applyAlignment="1">
      <alignment horizontal="center" vertical="center" wrapText="1"/>
    </xf>
    <xf numFmtId="10" fontId="146" fillId="0" borderId="72" xfId="556" applyNumberFormat="1" applyFont="1" applyFill="1" applyBorder="1" applyAlignment="1">
      <alignment horizontal="center" vertical="center" wrapText="1"/>
    </xf>
    <xf numFmtId="10" fontId="146" fillId="0" borderId="73" xfId="556" applyNumberFormat="1" applyFont="1" applyFill="1" applyBorder="1" applyAlignment="1">
      <alignment horizontal="center" vertical="center" wrapText="1"/>
    </xf>
    <xf numFmtId="0" fontId="205" fillId="0" borderId="0" xfId="691" applyFont="1" applyFill="1" applyBorder="1" applyAlignment="1">
      <alignment horizontal="left" vertical="center" wrapText="1"/>
    </xf>
    <xf numFmtId="10" fontId="100" fillId="0" borderId="0" xfId="363" applyNumberFormat="1" applyFont="1" applyBorder="1" applyAlignment="1"/>
    <xf numFmtId="9" fontId="100" fillId="0" borderId="0" xfId="363" applyNumberFormat="1" applyFont="1" applyBorder="1" applyAlignment="1"/>
    <xf numFmtId="0" fontId="30" fillId="0" borderId="0" xfId="363" applyFont="1" applyAlignment="1">
      <alignment horizontal="center"/>
    </xf>
    <xf numFmtId="0" fontId="198" fillId="0" borderId="44" xfId="363" applyFont="1" applyFill="1" applyBorder="1" applyAlignment="1">
      <alignment wrapText="1"/>
    </xf>
    <xf numFmtId="10" fontId="146" fillId="25" borderId="44" xfId="556" applyNumberFormat="1" applyFont="1" applyFill="1" applyBorder="1" applyAlignment="1">
      <alignment horizontal="center" vertical="center" wrapText="1"/>
    </xf>
    <xf numFmtId="10" fontId="146" fillId="24" borderId="69" xfId="417" applyNumberFormat="1" applyFont="1" applyFill="1" applyBorder="1" applyAlignment="1">
      <alignment horizontal="center" vertical="center" wrapText="1"/>
    </xf>
    <xf numFmtId="185" fontId="29" fillId="24" borderId="44" xfId="417" applyNumberFormat="1" applyFont="1" applyFill="1" applyBorder="1" applyAlignment="1">
      <alignment horizontal="center" vertical="center" wrapText="1"/>
    </xf>
    <xf numFmtId="10" fontId="29" fillId="25" borderId="44" xfId="556" applyNumberFormat="1" applyFont="1" applyFill="1" applyBorder="1" applyAlignment="1">
      <alignment horizontal="center" vertical="center" wrapText="1"/>
    </xf>
    <xf numFmtId="0" fontId="204" fillId="0" borderId="0" xfId="363" applyFont="1" applyFill="1" applyBorder="1" applyAlignment="1">
      <alignment wrapText="1"/>
    </xf>
    <xf numFmtId="10" fontId="146" fillId="0" borderId="44" xfId="556" applyNumberFormat="1" applyFont="1" applyFill="1" applyBorder="1" applyAlignment="1">
      <alignment horizontal="center" vertical="center" wrapText="1"/>
    </xf>
    <xf numFmtId="4" fontId="30" fillId="0" borderId="0" xfId="363" applyNumberFormat="1" applyFont="1"/>
    <xf numFmtId="185" fontId="146" fillId="24" borderId="0" xfId="417" applyNumberFormat="1" applyFont="1" applyFill="1" applyBorder="1" applyAlignment="1">
      <alignment horizontal="center" vertical="center"/>
    </xf>
    <xf numFmtId="0" fontId="198" fillId="0" borderId="74" xfId="691" applyFont="1" applyFill="1" applyBorder="1" applyAlignment="1">
      <alignment horizontal="left" vertical="center" wrapText="1"/>
    </xf>
    <xf numFmtId="10" fontId="146" fillId="25" borderId="70" xfId="556" applyNumberFormat="1" applyFont="1" applyFill="1" applyBorder="1" applyAlignment="1">
      <alignment horizontal="center" vertical="center" wrapText="1"/>
    </xf>
    <xf numFmtId="0" fontId="202" fillId="0" borderId="0" xfId="691" applyFont="1" applyFill="1" applyBorder="1" applyAlignment="1">
      <alignment horizontal="left" vertical="center"/>
    </xf>
    <xf numFmtId="0" fontId="29" fillId="0" borderId="44" xfId="363" applyFont="1" applyFill="1" applyBorder="1" applyAlignment="1">
      <alignment vertical="center" wrapText="1"/>
    </xf>
    <xf numFmtId="10" fontId="30" fillId="0" borderId="44" xfId="363" applyNumberFormat="1" applyFont="1" applyFill="1" applyBorder="1" applyAlignment="1">
      <alignment horizontal="center" vertical="center" wrapText="1"/>
    </xf>
    <xf numFmtId="0" fontId="198" fillId="0" borderId="70" xfId="691" applyFont="1" applyFill="1" applyBorder="1" applyAlignment="1">
      <alignment horizontal="left" vertical="center" wrapText="1"/>
    </xf>
    <xf numFmtId="43" fontId="30" fillId="0" borderId="0" xfId="608" applyFont="1"/>
    <xf numFmtId="0" fontId="207" fillId="0" borderId="0" xfId="692" applyFont="1" applyAlignment="1">
      <alignment vertical="justify" wrapText="1"/>
    </xf>
    <xf numFmtId="43" fontId="30" fillId="0" borderId="0" xfId="693" applyFont="1"/>
    <xf numFmtId="43" fontId="30" fillId="0" borderId="0" xfId="363" applyNumberFormat="1" applyFont="1" applyFill="1"/>
    <xf numFmtId="43" fontId="100" fillId="0" borderId="0" xfId="694" applyFont="1"/>
    <xf numFmtId="170" fontId="72" fillId="0" borderId="13" xfId="324" applyNumberFormat="1" applyFont="1" applyFill="1" applyBorder="1" applyAlignment="1">
      <alignment vertical="center"/>
    </xf>
    <xf numFmtId="4" fontId="78" fillId="28" borderId="13" xfId="0" applyNumberFormat="1" applyFont="1" applyFill="1" applyBorder="1" applyAlignment="1">
      <alignment horizontal="center" vertical="center" wrapText="1"/>
    </xf>
    <xf numFmtId="178" fontId="99" fillId="44" borderId="13" xfId="0" applyNumberFormat="1" applyFont="1" applyFill="1" applyBorder="1" applyAlignment="1">
      <alignment horizontal="center" vertical="center"/>
    </xf>
    <xf numFmtId="178" fontId="99" fillId="44" borderId="13" xfId="0" applyNumberFormat="1" applyFont="1" applyFill="1" applyBorder="1" applyAlignment="1">
      <alignment horizontal="center" vertical="center" wrapText="1"/>
    </xf>
    <xf numFmtId="187" fontId="55" fillId="0" borderId="0" xfId="389" applyNumberFormat="1" applyFont="1" applyBorder="1"/>
    <xf numFmtId="10" fontId="78" fillId="0" borderId="13" xfId="634" applyNumberFormat="1" applyFont="1" applyBorder="1"/>
    <xf numFmtId="43" fontId="84" fillId="28" borderId="13" xfId="324" applyNumberFormat="1" applyFont="1" applyFill="1" applyBorder="1" applyAlignment="1">
      <alignment horizontal="center"/>
    </xf>
    <xf numFmtId="178" fontId="167" fillId="0" borderId="0" xfId="0" applyFont="1"/>
    <xf numFmtId="178" fontId="209" fillId="0" borderId="0" xfId="0" applyFont="1"/>
    <xf numFmtId="178" fontId="55" fillId="28" borderId="0" xfId="389" applyFont="1" applyFill="1"/>
    <xf numFmtId="3" fontId="101" fillId="28" borderId="13" xfId="0" applyNumberFormat="1" applyFont="1" applyFill="1" applyBorder="1" applyAlignment="1">
      <alignment horizontal="center"/>
    </xf>
    <xf numFmtId="188" fontId="72" fillId="28" borderId="13" xfId="324" applyNumberFormat="1" applyFont="1" applyFill="1" applyBorder="1" applyAlignment="1">
      <alignment horizontal="center"/>
    </xf>
    <xf numFmtId="38" fontId="72" fillId="28" borderId="13" xfId="324" applyNumberFormat="1" applyFont="1" applyFill="1" applyBorder="1" applyAlignment="1">
      <alignment horizontal="center"/>
    </xf>
    <xf numFmtId="38" fontId="84" fillId="32" borderId="13" xfId="324" applyNumberFormat="1" applyFont="1" applyFill="1" applyBorder="1" applyAlignment="1">
      <alignment horizontal="center" vertical="center"/>
    </xf>
    <xf numFmtId="178" fontId="64" fillId="0" borderId="0" xfId="0" applyNumberFormat="1" applyFont="1" applyAlignment="1">
      <alignment vertical="center"/>
    </xf>
    <xf numFmtId="178" fontId="0" fillId="0" borderId="0" xfId="0" applyNumberFormat="1" applyAlignment="1">
      <alignment vertical="center"/>
    </xf>
    <xf numFmtId="3" fontId="42" fillId="0" borderId="0" xfId="0" applyNumberFormat="1" applyFont="1" applyFill="1" applyBorder="1" applyAlignment="1">
      <alignment horizontal="center" vertical="center"/>
    </xf>
    <xf numFmtId="43" fontId="72" fillId="28" borderId="13" xfId="324" applyNumberFormat="1" applyFont="1" applyFill="1" applyBorder="1" applyAlignment="1">
      <alignment horizontal="center"/>
    </xf>
    <xf numFmtId="10" fontId="72" fillId="28" borderId="13" xfId="447" applyNumberFormat="1" applyFont="1" applyFill="1" applyBorder="1" applyAlignment="1">
      <alignment horizontal="center"/>
    </xf>
    <xf numFmtId="10" fontId="83" fillId="28" borderId="13" xfId="447" applyNumberFormat="1" applyFont="1" applyFill="1" applyBorder="1" applyAlignment="1">
      <alignment horizontal="center"/>
    </xf>
    <xf numFmtId="178" fontId="110" fillId="0" borderId="0" xfId="0" applyNumberFormat="1" applyFont="1" applyBorder="1" applyAlignment="1">
      <alignment horizontal="left" vertical="center"/>
    </xf>
    <xf numFmtId="43" fontId="99" fillId="49" borderId="13" xfId="0" applyNumberFormat="1" applyFont="1" applyFill="1" applyBorder="1" applyAlignment="1">
      <alignment horizontal="center" vertical="center" wrapText="1"/>
    </xf>
    <xf numFmtId="43" fontId="111" fillId="31" borderId="13" xfId="0" applyNumberFormat="1" applyFont="1" applyFill="1" applyBorder="1" applyAlignment="1">
      <alignment horizontal="center" vertical="center"/>
    </xf>
    <xf numFmtId="43" fontId="99" fillId="49" borderId="13" xfId="0" applyNumberFormat="1" applyFont="1" applyFill="1" applyBorder="1" applyAlignment="1">
      <alignment horizontal="center" vertical="center"/>
    </xf>
    <xf numFmtId="43" fontId="99" fillId="49" borderId="13" xfId="0" applyNumberFormat="1" applyFont="1" applyFill="1" applyBorder="1" applyAlignment="1">
      <alignment horizontal="center"/>
    </xf>
    <xf numFmtId="38" fontId="93" fillId="28" borderId="13" xfId="0" applyNumberFormat="1" applyFont="1" applyFill="1" applyBorder="1" applyAlignment="1">
      <alignment horizontal="center" vertical="center"/>
    </xf>
    <xf numFmtId="3" fontId="106" fillId="28" borderId="13" xfId="329" applyNumberFormat="1" applyFont="1" applyFill="1" applyBorder="1" applyAlignment="1">
      <alignment horizontal="right"/>
    </xf>
    <xf numFmtId="10" fontId="94" fillId="28" borderId="13" xfId="0" applyNumberFormat="1" applyFont="1" applyFill="1" applyBorder="1" applyAlignment="1">
      <alignment horizontal="right" vertical="top"/>
    </xf>
    <xf numFmtId="3" fontId="62" fillId="28" borderId="13" xfId="329" applyNumberFormat="1" applyFont="1" applyFill="1" applyBorder="1" applyAlignment="1"/>
    <xf numFmtId="3" fontId="103" fillId="28" borderId="13" xfId="329" applyNumberFormat="1" applyFont="1" applyFill="1" applyBorder="1" applyAlignment="1"/>
    <xf numFmtId="3" fontId="106" fillId="28" borderId="13" xfId="395" applyNumberFormat="1" applyFont="1" applyFill="1" applyBorder="1" applyAlignment="1">
      <alignment vertical="center"/>
    </xf>
    <xf numFmtId="173" fontId="72" fillId="0" borderId="13" xfId="324" applyNumberFormat="1" applyFont="1" applyBorder="1" applyAlignment="1">
      <alignment vertical="center"/>
    </xf>
    <xf numFmtId="173" fontId="72" fillId="0" borderId="13" xfId="324" applyNumberFormat="1" applyFont="1" applyFill="1" applyBorder="1" applyAlignment="1">
      <alignment vertical="center"/>
    </xf>
    <xf numFmtId="168" fontId="99" fillId="49" borderId="13" xfId="324" applyNumberFormat="1" applyFont="1" applyFill="1" applyBorder="1" applyAlignment="1">
      <alignment horizontal="center"/>
    </xf>
    <xf numFmtId="173" fontId="89" fillId="49" borderId="13" xfId="0" applyNumberFormat="1" applyFont="1" applyFill="1" applyBorder="1" applyAlignment="1">
      <alignment vertical="center"/>
    </xf>
    <xf numFmtId="10" fontId="89" fillId="49" borderId="13" xfId="0" applyNumberFormat="1" applyFont="1" applyFill="1" applyBorder="1" applyAlignment="1">
      <alignment vertical="center"/>
    </xf>
    <xf numFmtId="168" fontId="99" fillId="49" borderId="13" xfId="0" applyNumberFormat="1" applyFont="1" applyFill="1" applyBorder="1" applyAlignment="1">
      <alignment vertical="center"/>
    </xf>
    <xf numFmtId="43" fontId="83" fillId="0" borderId="13" xfId="324" applyNumberFormat="1" applyFont="1" applyBorder="1"/>
    <xf numFmtId="43" fontId="83" fillId="0" borderId="13" xfId="324" applyFont="1" applyBorder="1"/>
    <xf numFmtId="43" fontId="61" fillId="0" borderId="13" xfId="324" applyNumberFormat="1" applyFont="1" applyBorder="1"/>
    <xf numFmtId="43" fontId="111" fillId="49" borderId="13" xfId="0" applyNumberFormat="1" applyFont="1" applyFill="1" applyBorder="1" applyAlignment="1">
      <alignment horizontal="center" vertical="center"/>
    </xf>
    <xf numFmtId="43" fontId="111" fillId="49" borderId="13" xfId="0" applyNumberFormat="1" applyFont="1" applyFill="1" applyBorder="1" applyAlignment="1">
      <alignment horizontal="center" vertical="center" wrapText="1"/>
    </xf>
    <xf numFmtId="43" fontId="111" fillId="49" borderId="13" xfId="0" applyNumberFormat="1" applyFont="1" applyFill="1" applyBorder="1" applyAlignment="1">
      <alignment horizontal="center"/>
    </xf>
    <xf numFmtId="43" fontId="111" fillId="49" borderId="13" xfId="324" applyNumberFormat="1" applyFont="1" applyFill="1" applyBorder="1"/>
    <xf numFmtId="43" fontId="78" fillId="0" borderId="13" xfId="324" applyNumberFormat="1" applyFont="1" applyBorder="1" applyAlignment="1">
      <alignment vertical="center"/>
    </xf>
    <xf numFmtId="43" fontId="111" fillId="49" borderId="13" xfId="324" applyNumberFormat="1" applyFont="1" applyFill="1" applyBorder="1" applyAlignment="1">
      <alignment vertical="center"/>
    </xf>
    <xf numFmtId="43" fontId="111" fillId="31" borderId="13" xfId="0" applyNumberFormat="1" applyFont="1" applyFill="1" applyBorder="1" applyAlignment="1">
      <alignment horizontal="center" vertical="center" wrapText="1"/>
    </xf>
    <xf numFmtId="43" fontId="111" fillId="31" borderId="13" xfId="0" applyNumberFormat="1" applyFont="1" applyFill="1" applyBorder="1" applyAlignment="1">
      <alignment horizontal="center"/>
    </xf>
    <xf numFmtId="168" fontId="78" fillId="0" borderId="13" xfId="0" applyNumberFormat="1" applyFont="1" applyBorder="1" applyAlignment="1">
      <alignment horizontal="center"/>
    </xf>
    <xf numFmtId="43" fontId="78" fillId="0" borderId="13" xfId="324" applyNumberFormat="1" applyFont="1" applyBorder="1" applyAlignment="1">
      <alignment horizontal="center"/>
    </xf>
    <xf numFmtId="0" fontId="57" fillId="49" borderId="13" xfId="663" applyFont="1" applyFill="1" applyBorder="1" applyAlignment="1">
      <alignment horizontal="center" vertical="center"/>
    </xf>
    <xf numFmtId="0" fontId="57" fillId="49" borderId="13" xfId="663" applyFont="1" applyFill="1" applyBorder="1" applyAlignment="1">
      <alignment horizontal="center" vertical="center" wrapText="1"/>
    </xf>
    <xf numFmtId="168" fontId="57" fillId="49" borderId="13" xfId="324" applyNumberFormat="1" applyFont="1" applyFill="1" applyBorder="1"/>
    <xf numFmtId="0" fontId="108" fillId="49" borderId="13" xfId="438" applyFont="1" applyFill="1" applyBorder="1" applyAlignment="1">
      <alignment horizontal="left" vertical="center" wrapText="1"/>
    </xf>
    <xf numFmtId="17" fontId="108" fillId="49" borderId="13" xfId="438" applyNumberFormat="1" applyFont="1" applyFill="1" applyBorder="1" applyAlignment="1">
      <alignment horizontal="left" vertical="center" wrapText="1"/>
    </xf>
    <xf numFmtId="168" fontId="108" fillId="49" borderId="13" xfId="324" applyNumberFormat="1" applyFont="1" applyFill="1" applyBorder="1" applyAlignment="1">
      <alignment horizontal="center" vertical="center" wrapText="1"/>
    </xf>
    <xf numFmtId="168" fontId="94" fillId="0" borderId="13" xfId="324" applyNumberFormat="1" applyFont="1" applyBorder="1" applyAlignment="1">
      <alignment vertical="center"/>
    </xf>
    <xf numFmtId="178" fontId="111" fillId="49" borderId="13" xfId="0" applyFont="1" applyFill="1" applyBorder="1" applyAlignment="1">
      <alignment horizontal="center" vertical="center" wrapText="1"/>
    </xf>
    <xf numFmtId="43" fontId="99" fillId="49" borderId="13" xfId="0" applyNumberFormat="1" applyFont="1" applyFill="1" applyBorder="1" applyAlignment="1">
      <alignment horizontal="center" vertical="center"/>
    </xf>
    <xf numFmtId="43" fontId="99" fillId="49" borderId="13" xfId="0" applyNumberFormat="1" applyFont="1" applyFill="1" applyBorder="1" applyAlignment="1">
      <alignment horizontal="center"/>
    </xf>
    <xf numFmtId="173" fontId="84" fillId="28" borderId="13" xfId="0" applyNumberFormat="1" applyFont="1" applyFill="1" applyBorder="1" applyAlignment="1" applyProtection="1"/>
    <xf numFmtId="3" fontId="103" fillId="0" borderId="0" xfId="494" applyNumberFormat="1" applyFont="1" applyBorder="1" applyAlignment="1">
      <alignment horizontal="right" vertical="center"/>
    </xf>
    <xf numFmtId="3" fontId="103" fillId="0" borderId="0" xfId="494" applyNumberFormat="1" applyFont="1" applyFill="1" applyBorder="1" applyAlignment="1">
      <alignment horizontal="right" vertical="center"/>
    </xf>
    <xf numFmtId="3" fontId="103" fillId="0" borderId="0" xfId="474" applyNumberFormat="1" applyFont="1" applyFill="1" applyBorder="1" applyAlignment="1" applyProtection="1">
      <alignment vertical="center"/>
    </xf>
    <xf numFmtId="3" fontId="103" fillId="28" borderId="0" xfId="0" applyNumberFormat="1" applyFont="1" applyFill="1" applyBorder="1" applyAlignment="1">
      <alignment vertical="center"/>
    </xf>
    <xf numFmtId="43" fontId="35" fillId="28" borderId="13" xfId="337" applyFont="1" applyFill="1" applyBorder="1" applyAlignment="1">
      <alignment horizontal="center" vertical="center"/>
    </xf>
    <xf numFmtId="49" fontId="57" fillId="31" borderId="13" xfId="0" applyNumberFormat="1" applyFont="1" applyFill="1" applyBorder="1" applyAlignment="1">
      <alignment horizontal="center" vertical="center" wrapText="1"/>
    </xf>
    <xf numFmtId="9" fontId="55" fillId="0" borderId="0" xfId="552" applyFont="1" applyBorder="1"/>
    <xf numFmtId="40" fontId="99" fillId="49" borderId="0" xfId="329" applyNumberFormat="1" applyFont="1" applyFill="1" applyBorder="1" applyAlignment="1">
      <alignment horizontal="center" vertical="center"/>
    </xf>
    <xf numFmtId="43" fontId="99" fillId="49" borderId="13" xfId="324" applyFont="1" applyFill="1" applyBorder="1" applyAlignment="1">
      <alignment horizontal="center"/>
    </xf>
    <xf numFmtId="43" fontId="99" fillId="49" borderId="13" xfId="324" applyFont="1" applyFill="1" applyBorder="1" applyAlignment="1">
      <alignment horizontal="right"/>
    </xf>
    <xf numFmtId="10" fontId="99" fillId="49" borderId="13" xfId="0" applyNumberFormat="1" applyFont="1" applyFill="1" applyBorder="1" applyAlignment="1">
      <alignment horizontal="center" vertical="center"/>
    </xf>
    <xf numFmtId="43" fontId="99" fillId="49" borderId="13" xfId="324" applyNumberFormat="1" applyFont="1" applyFill="1" applyBorder="1" applyAlignment="1">
      <alignment horizontal="center" vertical="center"/>
    </xf>
    <xf numFmtId="43" fontId="72" fillId="0" borderId="13" xfId="0" applyNumberFormat="1" applyFont="1" applyFill="1" applyBorder="1" applyAlignment="1">
      <alignment horizontal="right" vertical="center"/>
    </xf>
    <xf numFmtId="10" fontId="83" fillId="0" borderId="13" xfId="0" applyNumberFormat="1" applyFont="1" applyFill="1" applyBorder="1" applyAlignment="1">
      <alignment horizontal="right" vertical="center"/>
    </xf>
    <xf numFmtId="43" fontId="62" fillId="0" borderId="13" xfId="0" applyNumberFormat="1" applyFont="1" applyFill="1" applyBorder="1" applyAlignment="1">
      <alignment horizontal="right" vertical="center"/>
    </xf>
    <xf numFmtId="10" fontId="84" fillId="0" borderId="13" xfId="0" applyNumberFormat="1" applyFont="1" applyFill="1" applyBorder="1" applyAlignment="1">
      <alignment horizontal="right" vertical="center"/>
    </xf>
    <xf numFmtId="178" fontId="111" fillId="49" borderId="13" xfId="0" applyFont="1" applyFill="1" applyBorder="1" applyAlignment="1">
      <alignment horizontal="center" vertical="center"/>
    </xf>
    <xf numFmtId="49" fontId="111" fillId="49" borderId="13" xfId="0" applyNumberFormat="1" applyFont="1" applyFill="1" applyBorder="1" applyAlignment="1">
      <alignment horizontal="center"/>
    </xf>
    <xf numFmtId="168" fontId="78" fillId="0" borderId="13" xfId="324" applyNumberFormat="1" applyFont="1" applyBorder="1" applyAlignment="1">
      <alignment horizontal="right"/>
    </xf>
    <xf numFmtId="0" fontId="111" fillId="49" borderId="13" xfId="0" applyNumberFormat="1" applyFont="1" applyFill="1" applyBorder="1" applyAlignment="1">
      <alignment horizontal="center"/>
    </xf>
    <xf numFmtId="168" fontId="78" fillId="28" borderId="13" xfId="324" applyNumberFormat="1" applyFont="1" applyFill="1" applyBorder="1" applyAlignment="1">
      <alignment horizontal="right"/>
    </xf>
    <xf numFmtId="178" fontId="111" fillId="49" borderId="13" xfId="0" applyFont="1" applyFill="1" applyBorder="1"/>
    <xf numFmtId="168" fontId="111" fillId="49" borderId="13" xfId="324" applyNumberFormat="1" applyFont="1" applyFill="1" applyBorder="1"/>
    <xf numFmtId="173" fontId="111" fillId="49" borderId="13" xfId="0" applyNumberFormat="1" applyFont="1" applyFill="1" applyBorder="1"/>
    <xf numFmtId="168" fontId="55" fillId="0" borderId="0" xfId="663" applyNumberFormat="1"/>
    <xf numFmtId="178" fontId="210" fillId="50" borderId="13" xfId="0" applyFont="1" applyFill="1" applyBorder="1" applyAlignment="1">
      <alignment horizontal="center" vertical="center" wrapText="1"/>
    </xf>
    <xf numFmtId="168" fontId="124" fillId="31" borderId="13" xfId="325" applyNumberFormat="1" applyFont="1" applyFill="1" applyBorder="1"/>
    <xf numFmtId="10" fontId="124" fillId="31" borderId="13" xfId="325" applyNumberFormat="1" applyFont="1" applyFill="1" applyBorder="1"/>
    <xf numFmtId="178" fontId="124" fillId="49" borderId="13" xfId="348" applyNumberFormat="1" applyFont="1" applyFill="1" applyBorder="1" applyAlignment="1">
      <alignment horizontal="left" vertical="center"/>
    </xf>
    <xf numFmtId="168" fontId="124" fillId="49" borderId="13" xfId="325" applyNumberFormat="1" applyFont="1" applyFill="1" applyBorder="1" applyAlignment="1">
      <alignment horizontal="right" vertical="center"/>
    </xf>
    <xf numFmtId="10" fontId="124" fillId="49" borderId="13" xfId="325" applyNumberFormat="1" applyFont="1" applyFill="1" applyBorder="1" applyAlignment="1">
      <alignment horizontal="right" vertical="center"/>
    </xf>
    <xf numFmtId="178" fontId="211" fillId="49" borderId="13" xfId="0" applyFont="1" applyFill="1" applyBorder="1" applyAlignment="1">
      <alignment horizontal="right" vertical="center"/>
    </xf>
    <xf numFmtId="184" fontId="55" fillId="0" borderId="0" xfId="447" applyNumberFormat="1" applyFont="1"/>
    <xf numFmtId="193" fontId="55" fillId="0" borderId="0" xfId="447" applyNumberFormat="1" applyFont="1"/>
    <xf numFmtId="3" fontId="99" fillId="49" borderId="13" xfId="324" applyNumberFormat="1" applyFont="1" applyFill="1" applyBorder="1" applyAlignment="1">
      <alignment horizontal="center"/>
    </xf>
    <xf numFmtId="43" fontId="99" fillId="49" borderId="13" xfId="0" applyNumberFormat="1" applyFont="1" applyFill="1" applyBorder="1" applyAlignment="1">
      <alignment horizontal="center" vertical="center"/>
    </xf>
    <xf numFmtId="168" fontId="111" fillId="49" borderId="13" xfId="324" applyNumberFormat="1" applyFont="1" applyFill="1" applyBorder="1" applyAlignment="1">
      <alignment horizontal="right"/>
    </xf>
    <xf numFmtId="176" fontId="72" fillId="0" borderId="13" xfId="324" applyNumberFormat="1" applyFont="1" applyFill="1" applyBorder="1"/>
    <xf numFmtId="176" fontId="72" fillId="28" borderId="13" xfId="324" applyNumberFormat="1" applyFont="1" applyFill="1" applyBorder="1"/>
    <xf numFmtId="176" fontId="62" fillId="28" borderId="13" xfId="324" applyNumberFormat="1" applyFont="1" applyFill="1" applyBorder="1"/>
    <xf numFmtId="43" fontId="0" fillId="28" borderId="13" xfId="324" applyFont="1" applyFill="1" applyBorder="1"/>
    <xf numFmtId="3" fontId="84" fillId="28" borderId="13" xfId="0" applyNumberFormat="1" applyFont="1" applyFill="1" applyBorder="1" applyAlignment="1" applyProtection="1"/>
    <xf numFmtId="173" fontId="72" fillId="28" borderId="13" xfId="0" applyNumberFormat="1" applyFont="1" applyFill="1" applyBorder="1"/>
    <xf numFmtId="10" fontId="99" fillId="49" borderId="13" xfId="0" applyNumberFormat="1" applyFont="1" applyFill="1" applyBorder="1" applyAlignment="1">
      <alignment horizontal="right"/>
    </xf>
    <xf numFmtId="43" fontId="62" fillId="28" borderId="13" xfId="0" applyNumberFormat="1" applyFont="1" applyFill="1" applyBorder="1" applyAlignment="1">
      <alignment horizontal="right" vertical="center"/>
    </xf>
    <xf numFmtId="10" fontId="84" fillId="28" borderId="13" xfId="0" applyNumberFormat="1" applyFont="1" applyFill="1" applyBorder="1" applyAlignment="1">
      <alignment horizontal="right" vertical="center"/>
    </xf>
    <xf numFmtId="178" fontId="87" fillId="0" borderId="0" xfId="316" applyNumberFormat="1" applyFont="1" applyBorder="1" applyAlignment="1" applyProtection="1">
      <alignment horizontal="left" vertical="center" indent="1"/>
    </xf>
    <xf numFmtId="178" fontId="87" fillId="0" borderId="0" xfId="316" applyNumberFormat="1" applyFont="1" applyBorder="1" applyAlignment="1" applyProtection="1">
      <alignment horizontal="left" indent="1"/>
    </xf>
    <xf numFmtId="178" fontId="87" fillId="0" borderId="0" xfId="316" applyNumberFormat="1" applyFont="1" applyBorder="1" applyAlignment="1" applyProtection="1">
      <alignment horizontal="left" wrapText="1" indent="1"/>
    </xf>
    <xf numFmtId="178" fontId="212" fillId="0" borderId="0" xfId="316" applyNumberFormat="1" applyFont="1" applyBorder="1" applyAlignment="1" applyProtection="1">
      <alignment horizontal="left" vertical="top" wrapText="1" indent="7"/>
    </xf>
    <xf numFmtId="178" fontId="212" fillId="0" borderId="0" xfId="316" applyNumberFormat="1" applyFont="1" applyFill="1" applyBorder="1" applyAlignment="1" applyProtection="1">
      <alignment horizontal="left" indent="7"/>
    </xf>
    <xf numFmtId="178" fontId="213" fillId="0" borderId="0" xfId="316" applyNumberFormat="1" applyFont="1" applyFill="1" applyBorder="1" applyAlignment="1" applyProtection="1">
      <alignment horizontal="left" indent="1"/>
    </xf>
    <xf numFmtId="178" fontId="212" fillId="28" borderId="0" xfId="316" applyNumberFormat="1" applyFont="1" applyFill="1" applyBorder="1" applyAlignment="1" applyProtection="1">
      <alignment horizontal="left" vertical="top" wrapText="1" indent="7"/>
    </xf>
    <xf numFmtId="2" fontId="106" fillId="0" borderId="13" xfId="329" applyNumberFormat="1" applyFont="1" applyFill="1" applyBorder="1" applyAlignment="1">
      <alignment horizontal="right" vertical="center"/>
    </xf>
    <xf numFmtId="0" fontId="55" fillId="0" borderId="0" xfId="1025"/>
    <xf numFmtId="168" fontId="47" fillId="42" borderId="13" xfId="1025" applyNumberFormat="1" applyFont="1" applyFill="1" applyBorder="1"/>
    <xf numFmtId="168" fontId="47" fillId="28" borderId="13" xfId="1025" applyNumberFormat="1" applyFont="1" applyFill="1" applyBorder="1"/>
    <xf numFmtId="0" fontId="55" fillId="0" borderId="0" xfId="1030"/>
    <xf numFmtId="168" fontId="47" fillId="42" borderId="13" xfId="1030" applyNumberFormat="1" applyFont="1" applyFill="1" applyBorder="1"/>
    <xf numFmtId="168" fontId="47" fillId="28" borderId="13" xfId="1030" applyNumberFormat="1" applyFont="1" applyFill="1" applyBorder="1"/>
    <xf numFmtId="168" fontId="187" fillId="47" borderId="13" xfId="1030" applyNumberFormat="1" applyFont="1" applyFill="1" applyBorder="1" applyAlignment="1">
      <alignment horizontal="center" vertical="center"/>
    </xf>
    <xf numFmtId="0" fontId="215" fillId="47" borderId="19" xfId="1030" applyFont="1" applyFill="1" applyBorder="1" applyAlignment="1">
      <alignment vertical="center"/>
    </xf>
    <xf numFmtId="0" fontId="187" fillId="47" borderId="13" xfId="1030" applyFont="1" applyFill="1" applyBorder="1" applyAlignment="1">
      <alignment horizontal="center" vertical="center"/>
    </xf>
    <xf numFmtId="0" fontId="187" fillId="47" borderId="13" xfId="1030" applyFont="1" applyFill="1" applyBorder="1" applyAlignment="1">
      <alignment horizontal="center" vertical="center" wrapText="1"/>
    </xf>
    <xf numFmtId="0" fontId="186" fillId="28" borderId="0" xfId="1030" applyFont="1" applyFill="1"/>
    <xf numFmtId="0" fontId="47" fillId="28" borderId="0" xfId="1030" applyFont="1" applyFill="1"/>
    <xf numFmtId="0" fontId="2" fillId="28" borderId="0" xfId="1030" applyFont="1" applyFill="1"/>
    <xf numFmtId="168" fontId="46" fillId="28" borderId="13" xfId="1030" applyNumberFormat="1" applyFont="1" applyFill="1" applyBorder="1"/>
    <xf numFmtId="3" fontId="46" fillId="28" borderId="13" xfId="1030" applyNumberFormat="1" applyFont="1" applyFill="1" applyBorder="1"/>
    <xf numFmtId="168" fontId="46" fillId="28" borderId="13" xfId="324" applyNumberFormat="1" applyFont="1" applyFill="1" applyBorder="1"/>
    <xf numFmtId="168" fontId="46" fillId="68" borderId="13" xfId="324" applyNumberFormat="1" applyFont="1" applyFill="1" applyBorder="1" applyAlignment="1">
      <alignment wrapText="1"/>
    </xf>
    <xf numFmtId="168" fontId="46" fillId="28" borderId="13" xfId="324" applyNumberFormat="1" applyFont="1" applyFill="1" applyBorder="1" applyAlignment="1">
      <alignment wrapText="1"/>
    </xf>
    <xf numFmtId="168" fontId="219" fillId="28" borderId="13" xfId="686" applyNumberFormat="1" applyFont="1" applyFill="1" applyBorder="1"/>
    <xf numFmtId="168" fontId="219" fillId="28" borderId="13" xfId="687" applyNumberFormat="1" applyFont="1" applyFill="1" applyBorder="1"/>
    <xf numFmtId="168" fontId="219" fillId="65" borderId="13" xfId="687" applyNumberFormat="1" applyFont="1" applyFill="1" applyBorder="1"/>
    <xf numFmtId="168" fontId="131" fillId="65" borderId="13" xfId="688" applyNumberFormat="1" applyFont="1" applyFill="1" applyBorder="1"/>
    <xf numFmtId="168" fontId="131" fillId="65" borderId="13" xfId="689" applyNumberFormat="1" applyFont="1" applyFill="1" applyBorder="1"/>
    <xf numFmtId="49" fontId="46" fillId="28" borderId="13" xfId="1030" applyNumberFormat="1" applyFont="1" applyFill="1" applyBorder="1" applyAlignment="1">
      <alignment horizontal="right"/>
    </xf>
    <xf numFmtId="168" fontId="46" fillId="28" borderId="13" xfId="1030" applyNumberFormat="1" applyFont="1" applyFill="1" applyBorder="1" applyAlignment="1">
      <alignment horizontal="right"/>
    </xf>
    <xf numFmtId="168" fontId="46" fillId="28" borderId="13" xfId="324" applyNumberFormat="1" applyFont="1" applyFill="1" applyBorder="1" applyAlignment="1">
      <alignment horizontal="right"/>
    </xf>
    <xf numFmtId="49" fontId="46" fillId="28" borderId="22" xfId="1030" applyNumberFormat="1" applyFont="1" applyFill="1" applyBorder="1" applyAlignment="1">
      <alignment horizontal="right"/>
    </xf>
    <xf numFmtId="168" fontId="46" fillId="28" borderId="16" xfId="1030" applyNumberFormat="1" applyFont="1" applyFill="1" applyBorder="1" applyAlignment="1">
      <alignment horizontal="right"/>
    </xf>
    <xf numFmtId="168" fontId="131" fillId="28" borderId="13" xfId="688" applyNumberFormat="1" applyFont="1" applyFill="1" applyBorder="1"/>
    <xf numFmtId="168" fontId="131" fillId="28" borderId="13" xfId="689" applyNumberFormat="1" applyFont="1" applyFill="1" applyBorder="1"/>
    <xf numFmtId="0" fontId="46" fillId="28" borderId="13" xfId="1030" applyFont="1" applyFill="1" applyBorder="1"/>
    <xf numFmtId="168" fontId="46" fillId="42" borderId="13" xfId="1030" applyNumberFormat="1" applyFont="1" applyFill="1" applyBorder="1"/>
    <xf numFmtId="3" fontId="46" fillId="42" borderId="13" xfId="1030" applyNumberFormat="1" applyFont="1" applyFill="1" applyBorder="1"/>
    <xf numFmtId="168" fontId="46" fillId="42" borderId="13" xfId="324" applyNumberFormat="1" applyFont="1" applyFill="1" applyBorder="1"/>
    <xf numFmtId="168" fontId="46" fillId="42" borderId="13" xfId="324" applyNumberFormat="1" applyFont="1" applyFill="1" applyBorder="1" applyAlignment="1">
      <alignment wrapText="1"/>
    </xf>
    <xf numFmtId="168" fontId="219" fillId="42" borderId="13" xfId="686" applyNumberFormat="1" applyFont="1" applyFill="1" applyBorder="1"/>
    <xf numFmtId="168" fontId="219" fillId="66" borderId="13" xfId="687" applyNumberFormat="1" applyFont="1" applyFill="1" applyBorder="1"/>
    <xf numFmtId="168" fontId="131" fillId="66" borderId="13" xfId="688" applyNumberFormat="1" applyFont="1" applyFill="1" applyBorder="1"/>
    <xf numFmtId="168" fontId="131" fillId="66" borderId="13" xfId="689" applyNumberFormat="1" applyFont="1" applyFill="1" applyBorder="1"/>
    <xf numFmtId="49" fontId="46" fillId="42" borderId="13" xfId="1030" applyNumberFormat="1" applyFont="1" applyFill="1" applyBorder="1" applyAlignment="1">
      <alignment horizontal="right"/>
    </xf>
    <xf numFmtId="168" fontId="46" fillId="42" borderId="13" xfId="1030" applyNumberFormat="1" applyFont="1" applyFill="1" applyBorder="1" applyAlignment="1">
      <alignment horizontal="right"/>
    </xf>
    <xf numFmtId="168" fontId="46" fillId="42" borderId="13" xfId="324" applyNumberFormat="1" applyFont="1" applyFill="1" applyBorder="1" applyAlignment="1">
      <alignment horizontal="right"/>
    </xf>
    <xf numFmtId="49" fontId="46" fillId="42" borderId="22" xfId="1030" applyNumberFormat="1" applyFont="1" applyFill="1" applyBorder="1" applyAlignment="1">
      <alignment horizontal="right"/>
    </xf>
    <xf numFmtId="168" fontId="46" fillId="42" borderId="16" xfId="1030" applyNumberFormat="1" applyFont="1" applyFill="1" applyBorder="1" applyAlignment="1">
      <alignment horizontal="right"/>
    </xf>
    <xf numFmtId="0" fontId="46" fillId="42" borderId="13" xfId="1030" applyFont="1" applyFill="1" applyBorder="1"/>
    <xf numFmtId="168" fontId="46" fillId="67" borderId="13" xfId="324" applyNumberFormat="1" applyFont="1" applyFill="1" applyBorder="1" applyAlignment="1">
      <alignment wrapText="1"/>
    </xf>
    <xf numFmtId="168" fontId="219" fillId="42" borderId="13" xfId="687" applyNumberFormat="1" applyFont="1" applyFill="1" applyBorder="1"/>
    <xf numFmtId="168" fontId="219" fillId="42" borderId="13" xfId="324" applyNumberFormat="1" applyFont="1" applyFill="1" applyBorder="1"/>
    <xf numFmtId="168" fontId="131" fillId="42" borderId="13" xfId="688" applyNumberFormat="1" applyFont="1" applyFill="1" applyBorder="1"/>
    <xf numFmtId="168" fontId="131" fillId="42" borderId="13" xfId="689" applyNumberFormat="1" applyFont="1" applyFill="1" applyBorder="1"/>
    <xf numFmtId="49" fontId="46" fillId="42" borderId="23" xfId="1030" applyNumberFormat="1" applyFont="1" applyFill="1" applyBorder="1" applyAlignment="1">
      <alignment horizontal="right"/>
    </xf>
    <xf numFmtId="168" fontId="46" fillId="42" borderId="35" xfId="1030" applyNumberFormat="1" applyFont="1" applyFill="1" applyBorder="1" applyAlignment="1">
      <alignment horizontal="right"/>
    </xf>
    <xf numFmtId="49" fontId="46" fillId="42" borderId="75" xfId="1030" applyNumberFormat="1" applyFont="1" applyFill="1" applyBorder="1" applyAlignment="1">
      <alignment horizontal="right"/>
    </xf>
    <xf numFmtId="168" fontId="46" fillId="28" borderId="13" xfId="1025" applyNumberFormat="1" applyFont="1" applyFill="1" applyBorder="1"/>
    <xf numFmtId="3" fontId="46" fillId="28" borderId="13" xfId="1025" applyNumberFormat="1" applyFont="1" applyFill="1" applyBorder="1"/>
    <xf numFmtId="49" fontId="46" fillId="28" borderId="13" xfId="1025" applyNumberFormat="1" applyFont="1" applyFill="1" applyBorder="1" applyAlignment="1">
      <alignment horizontal="right"/>
    </xf>
    <xf numFmtId="168" fontId="46" fillId="28" borderId="13" xfId="1025" applyNumberFormat="1" applyFont="1" applyFill="1" applyBorder="1" applyAlignment="1">
      <alignment horizontal="right"/>
    </xf>
    <xf numFmtId="49" fontId="46" fillId="28" borderId="22" xfId="1025" applyNumberFormat="1" applyFont="1" applyFill="1" applyBorder="1" applyAlignment="1">
      <alignment horizontal="right"/>
    </xf>
    <xf numFmtId="168" fontId="46" fillId="28" borderId="16" xfId="1025" applyNumberFormat="1" applyFont="1" applyFill="1" applyBorder="1" applyAlignment="1">
      <alignment horizontal="right"/>
    </xf>
    <xf numFmtId="0" fontId="46" fillId="28" borderId="13" xfId="1025" applyFont="1" applyFill="1" applyBorder="1"/>
    <xf numFmtId="168" fontId="46" fillId="42" borderId="13" xfId="1025" applyNumberFormat="1" applyFont="1" applyFill="1" applyBorder="1"/>
    <xf numFmtId="3" fontId="46" fillId="42" borderId="13" xfId="1025" applyNumberFormat="1" applyFont="1" applyFill="1" applyBorder="1"/>
    <xf numFmtId="49" fontId="46" fillId="42" borderId="13" xfId="1025" applyNumberFormat="1" applyFont="1" applyFill="1" applyBorder="1" applyAlignment="1">
      <alignment horizontal="right"/>
    </xf>
    <xf numFmtId="168" fontId="46" fillId="42" borderId="13" xfId="1025" applyNumberFormat="1" applyFont="1" applyFill="1" applyBorder="1" applyAlignment="1">
      <alignment horizontal="right"/>
    </xf>
    <xf numFmtId="49" fontId="46" fillId="42" borderId="22" xfId="1025" applyNumberFormat="1" applyFont="1" applyFill="1" applyBorder="1" applyAlignment="1">
      <alignment horizontal="right"/>
    </xf>
    <xf numFmtId="168" fontId="46" fillId="42" borderId="16" xfId="1025" applyNumberFormat="1" applyFont="1" applyFill="1" applyBorder="1" applyAlignment="1">
      <alignment horizontal="right"/>
    </xf>
    <xf numFmtId="0" fontId="46" fillId="42" borderId="13" xfId="1025" applyFont="1" applyFill="1" applyBorder="1"/>
    <xf numFmtId="49" fontId="46" fillId="42" borderId="23" xfId="1025" applyNumberFormat="1" applyFont="1" applyFill="1" applyBorder="1" applyAlignment="1">
      <alignment horizontal="right"/>
    </xf>
    <xf numFmtId="168" fontId="46" fillId="42" borderId="35" xfId="1025" applyNumberFormat="1" applyFont="1" applyFill="1" applyBorder="1" applyAlignment="1">
      <alignment horizontal="right"/>
    </xf>
    <xf numFmtId="49" fontId="46" fillId="42" borderId="75" xfId="1025" applyNumberFormat="1" applyFont="1" applyFill="1" applyBorder="1" applyAlignment="1">
      <alignment horizontal="right"/>
    </xf>
    <xf numFmtId="168" fontId="218" fillId="70" borderId="13" xfId="1025" applyNumberFormat="1" applyFont="1" applyFill="1" applyBorder="1"/>
    <xf numFmtId="0" fontId="222" fillId="28" borderId="0" xfId="1025" applyFont="1" applyFill="1"/>
    <xf numFmtId="0" fontId="223" fillId="28" borderId="0" xfId="1025" applyFont="1" applyFill="1"/>
    <xf numFmtId="0" fontId="224" fillId="28" borderId="0" xfId="1025" applyFont="1" applyFill="1"/>
    <xf numFmtId="0" fontId="215" fillId="70" borderId="19" xfId="1025" applyFont="1" applyFill="1" applyBorder="1" applyAlignment="1">
      <alignment vertical="center"/>
    </xf>
    <xf numFmtId="0" fontId="187" fillId="70" borderId="13" xfId="1025" applyFont="1" applyFill="1" applyBorder="1" applyAlignment="1">
      <alignment horizontal="center" vertical="center"/>
    </xf>
    <xf numFmtId="0" fontId="187" fillId="70" borderId="13" xfId="1025" applyFont="1" applyFill="1" applyBorder="1" applyAlignment="1">
      <alignment horizontal="center" vertical="center" wrapText="1"/>
    </xf>
    <xf numFmtId="168" fontId="218" fillId="70" borderId="13" xfId="1025" applyNumberFormat="1" applyFont="1" applyFill="1" applyBorder="1" applyAlignment="1">
      <alignment horizontal="center" vertical="center"/>
    </xf>
    <xf numFmtId="0" fontId="56" fillId="28" borderId="0" xfId="1025" applyFont="1" applyFill="1"/>
    <xf numFmtId="0" fontId="55" fillId="28" borderId="0" xfId="1025" applyFill="1"/>
    <xf numFmtId="0" fontId="215" fillId="69" borderId="19" xfId="1030" applyFont="1" applyFill="1" applyBorder="1" applyAlignment="1">
      <alignment vertical="center"/>
    </xf>
    <xf numFmtId="168" fontId="187" fillId="69" borderId="13" xfId="1030" applyNumberFormat="1" applyFont="1" applyFill="1" applyBorder="1" applyAlignment="1">
      <alignment horizontal="center" vertical="center"/>
    </xf>
    <xf numFmtId="168" fontId="218" fillId="69" borderId="13" xfId="1030" applyNumberFormat="1" applyFont="1" applyFill="1" applyBorder="1" applyAlignment="1">
      <alignment horizontal="center" vertical="center"/>
    </xf>
    <xf numFmtId="17" fontId="218" fillId="69" borderId="13" xfId="1030" applyNumberFormat="1" applyFont="1" applyFill="1" applyBorder="1" applyAlignment="1">
      <alignment horizontal="center" vertical="center"/>
    </xf>
    <xf numFmtId="49" fontId="218" fillId="69" borderId="13" xfId="1030" applyNumberFormat="1" applyFont="1" applyFill="1" applyBorder="1" applyAlignment="1">
      <alignment horizontal="center" vertical="center"/>
    </xf>
    <xf numFmtId="168" fontId="218" fillId="69" borderId="76" xfId="1030" applyNumberFormat="1" applyFont="1" applyFill="1" applyBorder="1" applyAlignment="1">
      <alignment horizontal="center"/>
    </xf>
    <xf numFmtId="168" fontId="218" fillId="69" borderId="41" xfId="1030" applyNumberFormat="1" applyFont="1" applyFill="1" applyBorder="1" applyAlignment="1">
      <alignment horizontal="center"/>
    </xf>
    <xf numFmtId="168" fontId="187" fillId="69" borderId="13" xfId="1030" applyNumberFormat="1" applyFont="1" applyFill="1" applyBorder="1"/>
    <xf numFmtId="168" fontId="218" fillId="69" borderId="13" xfId="1030" applyNumberFormat="1" applyFont="1" applyFill="1" applyBorder="1"/>
    <xf numFmtId="0" fontId="214" fillId="48" borderId="13" xfId="1030" applyFont="1" applyFill="1" applyBorder="1" applyAlignment="1">
      <alignment wrapText="1"/>
    </xf>
    <xf numFmtId="0" fontId="187" fillId="69" borderId="13" xfId="1030" applyFont="1" applyFill="1" applyBorder="1" applyAlignment="1">
      <alignment wrapText="1"/>
    </xf>
    <xf numFmtId="0" fontId="190" fillId="42" borderId="13" xfId="1030" applyFont="1" applyFill="1" applyBorder="1" applyAlignment="1">
      <alignment wrapText="1"/>
    </xf>
    <xf numFmtId="0" fontId="187" fillId="69" borderId="13" xfId="1030" applyFont="1" applyFill="1" applyBorder="1"/>
    <xf numFmtId="41" fontId="84" fillId="32" borderId="13" xfId="348" applyNumberFormat="1" applyFont="1" applyFill="1" applyBorder="1" applyAlignment="1">
      <alignment horizontal="center"/>
    </xf>
    <xf numFmtId="168" fontId="84" fillId="27" borderId="13" xfId="325" applyNumberFormat="1" applyFont="1" applyFill="1" applyBorder="1"/>
    <xf numFmtId="3" fontId="72" fillId="35" borderId="13" xfId="0" applyNumberFormat="1" applyFont="1" applyFill="1" applyBorder="1" applyAlignment="1">
      <alignment horizontal="right"/>
    </xf>
    <xf numFmtId="4" fontId="83" fillId="35" borderId="13" xfId="0" applyNumberFormat="1" applyFont="1" applyFill="1" applyBorder="1" applyAlignment="1">
      <alignment horizontal="right"/>
    </xf>
    <xf numFmtId="3" fontId="62" fillId="28" borderId="13" xfId="0" applyNumberFormat="1" applyFont="1" applyFill="1" applyBorder="1" applyAlignment="1">
      <alignment horizontal="right"/>
    </xf>
    <xf numFmtId="178" fontId="0" fillId="35" borderId="13" xfId="0" applyFill="1" applyBorder="1"/>
    <xf numFmtId="3" fontId="154" fillId="35" borderId="13" xfId="0" applyNumberFormat="1" applyFont="1" applyFill="1" applyBorder="1" applyAlignment="1">
      <alignment horizontal="right"/>
    </xf>
    <xf numFmtId="178" fontId="59" fillId="35" borderId="13" xfId="0" applyFont="1" applyFill="1" applyBorder="1"/>
    <xf numFmtId="41" fontId="59" fillId="35" borderId="13" xfId="0" applyNumberFormat="1" applyFont="1" applyFill="1" applyBorder="1"/>
    <xf numFmtId="3" fontId="62" fillId="0" borderId="0" xfId="326" applyNumberFormat="1" applyFont="1" applyFill="1" applyBorder="1" applyAlignment="1">
      <alignment vertical="center"/>
    </xf>
    <xf numFmtId="9" fontId="0" fillId="28" borderId="0" xfId="552" applyFont="1" applyFill="1" applyAlignment="1"/>
    <xf numFmtId="2" fontId="64" fillId="28" borderId="0" xfId="0" applyNumberFormat="1" applyFont="1" applyFill="1" applyBorder="1" applyAlignment="1" applyProtection="1"/>
    <xf numFmtId="2" fontId="0" fillId="28" borderId="0" xfId="0" applyNumberFormat="1" applyFill="1"/>
    <xf numFmtId="2" fontId="0" fillId="28" borderId="0" xfId="552" applyNumberFormat="1" applyFont="1" applyFill="1"/>
    <xf numFmtId="196" fontId="0" fillId="28" borderId="0" xfId="0" applyNumberFormat="1" applyFill="1"/>
    <xf numFmtId="196" fontId="0" fillId="28" borderId="0" xfId="552" applyNumberFormat="1" applyFont="1" applyFill="1"/>
    <xf numFmtId="197" fontId="0" fillId="28" borderId="0" xfId="0" applyNumberFormat="1" applyFill="1" applyAlignment="1"/>
    <xf numFmtId="197" fontId="0" fillId="28" borderId="0" xfId="0" applyNumberFormat="1" applyFill="1"/>
    <xf numFmtId="165" fontId="0" fillId="28" borderId="0" xfId="0" applyNumberFormat="1" applyFill="1" applyAlignment="1"/>
    <xf numFmtId="165" fontId="0" fillId="28" borderId="0" xfId="552" applyNumberFormat="1" applyFont="1" applyFill="1" applyAlignment="1"/>
    <xf numFmtId="191" fontId="0" fillId="28" borderId="0" xfId="0" applyNumberFormat="1" applyFill="1"/>
    <xf numFmtId="191" fontId="0" fillId="28" borderId="0" xfId="0" applyNumberFormat="1" applyFill="1" applyBorder="1"/>
    <xf numFmtId="164" fontId="103" fillId="28" borderId="13" xfId="0" applyNumberFormat="1" applyFont="1" applyFill="1" applyBorder="1" applyAlignment="1" applyProtection="1">
      <alignment vertical="center"/>
    </xf>
    <xf numFmtId="178" fontId="108" fillId="47" borderId="13" xfId="0" applyNumberFormat="1" applyFont="1" applyFill="1" applyBorder="1" applyAlignment="1">
      <alignment horizontal="center" vertical="center" wrapText="1"/>
    </xf>
    <xf numFmtId="40" fontId="193" fillId="0" borderId="13" xfId="0" applyNumberFormat="1" applyFont="1" applyBorder="1" applyAlignment="1">
      <alignment horizontal="center" vertical="center"/>
    </xf>
    <xf numFmtId="40" fontId="193" fillId="0" borderId="13" xfId="0" applyNumberFormat="1" applyFont="1" applyFill="1" applyBorder="1" applyAlignment="1">
      <alignment horizontal="center" vertical="center"/>
    </xf>
    <xf numFmtId="40" fontId="193" fillId="28" borderId="13" xfId="0" applyNumberFormat="1" applyFont="1" applyFill="1" applyBorder="1" applyAlignment="1">
      <alignment horizontal="center" vertical="center"/>
    </xf>
    <xf numFmtId="178" fontId="0" fillId="57" borderId="0" xfId="0" applyFill="1"/>
    <xf numFmtId="43" fontId="99" fillId="49" borderId="13" xfId="0" applyNumberFormat="1" applyFont="1" applyFill="1" applyBorder="1" applyAlignment="1">
      <alignment horizontal="center" vertical="center"/>
    </xf>
    <xf numFmtId="0" fontId="218" fillId="49" borderId="13" xfId="1025" applyFont="1" applyFill="1" applyBorder="1" applyAlignment="1">
      <alignment wrapText="1"/>
    </xf>
    <xf numFmtId="0" fontId="220" fillId="49" borderId="13" xfId="1025" applyFont="1" applyFill="1" applyBorder="1" applyAlignment="1">
      <alignment wrapText="1"/>
    </xf>
    <xf numFmtId="0" fontId="218" fillId="49" borderId="13" xfId="1025" applyFont="1" applyFill="1" applyBorder="1"/>
    <xf numFmtId="168" fontId="218" fillId="49" borderId="13" xfId="1025" applyNumberFormat="1" applyFont="1" applyFill="1" applyBorder="1" applyAlignment="1">
      <alignment horizontal="center" vertical="center"/>
    </xf>
    <xf numFmtId="17" fontId="218" fillId="49" borderId="13" xfId="1025" applyNumberFormat="1" applyFont="1" applyFill="1" applyBorder="1" applyAlignment="1">
      <alignment horizontal="center" vertical="center"/>
    </xf>
    <xf numFmtId="49" fontId="218" fillId="49" borderId="13" xfId="1025" applyNumberFormat="1" applyFont="1" applyFill="1" applyBorder="1" applyAlignment="1">
      <alignment horizontal="center" vertical="center"/>
    </xf>
    <xf numFmtId="168" fontId="218" fillId="49" borderId="76" xfId="1025" applyNumberFormat="1" applyFont="1" applyFill="1" applyBorder="1" applyAlignment="1">
      <alignment horizontal="center"/>
    </xf>
    <xf numFmtId="168" fontId="218" fillId="49" borderId="41" xfId="1025" applyNumberFormat="1" applyFont="1" applyFill="1" applyBorder="1" applyAlignment="1">
      <alignment horizontal="center"/>
    </xf>
    <xf numFmtId="168" fontId="187" fillId="49" borderId="13" xfId="1025" applyNumberFormat="1" applyFont="1" applyFill="1" applyBorder="1" applyAlignment="1">
      <alignment horizontal="center" vertical="center"/>
    </xf>
    <xf numFmtId="168" fontId="218" fillId="49" borderId="13" xfId="1025" applyNumberFormat="1" applyFont="1" applyFill="1" applyBorder="1"/>
    <xf numFmtId="0" fontId="218" fillId="49" borderId="19" xfId="1025" applyFont="1" applyFill="1" applyBorder="1" applyAlignment="1">
      <alignment horizontal="center" vertical="center"/>
    </xf>
    <xf numFmtId="9" fontId="55" fillId="0" borderId="0" xfId="552" applyFont="1"/>
    <xf numFmtId="189" fontId="47" fillId="0" borderId="0" xfId="0" applyNumberFormat="1" applyFont="1" applyAlignment="1">
      <alignment wrapText="1"/>
    </xf>
    <xf numFmtId="3" fontId="103" fillId="0" borderId="0" xfId="0" applyNumberFormat="1" applyFont="1" applyFill="1" applyBorder="1" applyAlignment="1" applyProtection="1">
      <alignment horizontal="center"/>
    </xf>
    <xf numFmtId="49" fontId="61" fillId="0" borderId="16" xfId="0" applyNumberFormat="1" applyFont="1" applyFill="1" applyBorder="1" applyAlignment="1">
      <alignment horizontal="left" vertical="center" wrapText="1"/>
    </xf>
    <xf numFmtId="178" fontId="0" fillId="0" borderId="0" xfId="0" applyAlignment="1">
      <alignment horizontal="left"/>
    </xf>
    <xf numFmtId="178" fontId="0" fillId="0" borderId="0" xfId="0" applyFill="1" applyBorder="1" applyAlignment="1">
      <alignment horizontal="left"/>
    </xf>
    <xf numFmtId="10" fontId="103" fillId="0" borderId="13" xfId="552" applyNumberFormat="1" applyFont="1" applyFill="1" applyBorder="1" applyAlignment="1">
      <alignment horizontal="center"/>
    </xf>
    <xf numFmtId="41" fontId="77" fillId="32" borderId="13" xfId="348" applyNumberFormat="1" applyFont="1" applyFill="1" applyBorder="1" applyAlignment="1">
      <alignment horizontal="center" vertical="center"/>
    </xf>
    <xf numFmtId="168" fontId="77" fillId="34" borderId="13" xfId="325" applyNumberFormat="1" applyFont="1" applyFill="1" applyBorder="1" applyAlignment="1">
      <alignment vertical="center"/>
    </xf>
    <xf numFmtId="178" fontId="57" fillId="44" borderId="13" xfId="348" applyFont="1" applyFill="1" applyBorder="1" applyAlignment="1">
      <alignment horizontal="center" vertical="center" wrapText="1"/>
    </xf>
    <xf numFmtId="0" fontId="153" fillId="44" borderId="13" xfId="627" applyFont="1" applyFill="1" applyBorder="1" applyAlignment="1">
      <alignment horizontal="center" vertical="center"/>
    </xf>
    <xf numFmtId="0" fontId="153" fillId="44" borderId="13" xfId="627" applyFont="1" applyFill="1" applyBorder="1" applyAlignment="1">
      <alignment horizontal="center" vertical="center" wrapText="1"/>
    </xf>
    <xf numFmtId="0" fontId="153" fillId="44" borderId="13" xfId="627" applyFont="1" applyFill="1" applyBorder="1" applyAlignment="1">
      <alignment horizontal="center"/>
    </xf>
    <xf numFmtId="0" fontId="153" fillId="44" borderId="13" xfId="627" applyNumberFormat="1" applyFont="1" applyFill="1" applyBorder="1" applyAlignment="1">
      <alignment horizontal="center"/>
    </xf>
    <xf numFmtId="178" fontId="0" fillId="0" borderId="12" xfId="0" applyBorder="1"/>
    <xf numFmtId="178" fontId="111" fillId="49" borderId="19" xfId="0" applyFont="1" applyFill="1" applyBorder="1" applyAlignment="1">
      <alignment horizontal="left" vertical="center" wrapText="1"/>
    </xf>
    <xf numFmtId="43" fontId="111" fillId="49" borderId="19" xfId="608" applyFont="1" applyFill="1" applyBorder="1" applyAlignment="1">
      <alignment horizontal="right"/>
    </xf>
    <xf numFmtId="178" fontId="102" fillId="0" borderId="12" xfId="0" applyFont="1" applyFill="1" applyBorder="1" applyAlignment="1">
      <alignment horizontal="left" vertical="center" wrapText="1"/>
    </xf>
    <xf numFmtId="0" fontId="0" fillId="0" borderId="0" xfId="580" applyFont="1"/>
    <xf numFmtId="173" fontId="0" fillId="28" borderId="13" xfId="0" applyNumberFormat="1" applyFill="1" applyBorder="1"/>
    <xf numFmtId="168" fontId="83" fillId="48" borderId="13" xfId="324" applyNumberFormat="1" applyFont="1" applyFill="1" applyBorder="1"/>
    <xf numFmtId="168" fontId="84" fillId="48" borderId="13" xfId="324" applyNumberFormat="1" applyFont="1" applyFill="1" applyBorder="1" applyAlignment="1">
      <alignment vertical="center"/>
    </xf>
    <xf numFmtId="49" fontId="83" fillId="48" borderId="13" xfId="0" applyNumberFormat="1" applyFont="1" applyFill="1" applyBorder="1" applyAlignment="1">
      <alignment horizontal="center"/>
    </xf>
    <xf numFmtId="178" fontId="83" fillId="32" borderId="14" xfId="0" applyFont="1" applyFill="1" applyBorder="1" applyAlignment="1">
      <alignment horizontal="center" vertical="center"/>
    </xf>
    <xf numFmtId="49" fontId="83" fillId="32" borderId="14" xfId="0" applyNumberFormat="1" applyFont="1" applyFill="1" applyBorder="1" applyAlignment="1">
      <alignment horizontal="center" vertical="center" wrapText="1"/>
    </xf>
    <xf numFmtId="49" fontId="83" fillId="32" borderId="13" xfId="0" applyNumberFormat="1" applyFont="1" applyFill="1" applyBorder="1" applyAlignment="1">
      <alignment horizontal="center" wrapText="1"/>
    </xf>
    <xf numFmtId="168" fontId="83" fillId="32" borderId="13" xfId="0" applyNumberFormat="1" applyFont="1" applyFill="1" applyBorder="1" applyAlignment="1">
      <alignment horizontal="right" wrapText="1"/>
    </xf>
    <xf numFmtId="10" fontId="60" fillId="32" borderId="13" xfId="0" applyNumberFormat="1" applyFont="1" applyFill="1" applyBorder="1" applyAlignment="1">
      <alignment horizontal="right"/>
    </xf>
    <xf numFmtId="10" fontId="72" fillId="28" borderId="13" xfId="0" applyNumberFormat="1" applyFont="1" applyFill="1" applyBorder="1" applyAlignment="1">
      <alignment horizontal="right"/>
    </xf>
    <xf numFmtId="10" fontId="83" fillId="32" borderId="13" xfId="0" applyNumberFormat="1" applyFont="1" applyFill="1" applyBorder="1" applyAlignment="1">
      <alignment horizontal="right"/>
    </xf>
    <xf numFmtId="43" fontId="99" fillId="49" borderId="13" xfId="0" applyNumberFormat="1" applyFont="1" applyFill="1" applyBorder="1" applyAlignment="1">
      <alignment horizontal="center" vertical="center"/>
    </xf>
    <xf numFmtId="178" fontId="0" fillId="0" borderId="0" xfId="0" applyAlignment="1">
      <alignment horizontal="center"/>
    </xf>
    <xf numFmtId="178" fontId="64" fillId="0" borderId="0" xfId="0" applyNumberFormat="1" applyFont="1"/>
    <xf numFmtId="178" fontId="227" fillId="0" borderId="0" xfId="0" applyFont="1"/>
    <xf numFmtId="178" fontId="78" fillId="0" borderId="12" xfId="0" applyNumberFormat="1" applyFont="1" applyBorder="1" applyAlignment="1">
      <alignment vertical="top"/>
    </xf>
    <xf numFmtId="41" fontId="77" fillId="0" borderId="13" xfId="348" applyNumberFormat="1" applyFont="1" applyBorder="1" applyAlignment="1">
      <alignment horizontal="center" vertical="center"/>
    </xf>
    <xf numFmtId="173" fontId="77" fillId="0" borderId="13" xfId="348" applyNumberFormat="1" applyFont="1" applyFill="1" applyBorder="1" applyAlignment="1">
      <alignment horizontal="center" vertical="center"/>
    </xf>
    <xf numFmtId="173" fontId="77" fillId="28" borderId="13" xfId="348" applyNumberFormat="1" applyFont="1" applyFill="1" applyBorder="1" applyAlignment="1">
      <alignment horizontal="center" vertical="center"/>
    </xf>
    <xf numFmtId="173" fontId="77" fillId="0" borderId="13" xfId="325" applyNumberFormat="1" applyFont="1" applyBorder="1" applyAlignment="1">
      <alignment vertical="center"/>
    </xf>
    <xf numFmtId="173" fontId="77" fillId="0" borderId="13" xfId="325" applyNumberFormat="1" applyFont="1" applyFill="1" applyBorder="1" applyAlignment="1">
      <alignment vertical="center"/>
    </xf>
    <xf numFmtId="173" fontId="77" fillId="28" borderId="13" xfId="325" applyNumberFormat="1" applyFont="1" applyFill="1" applyBorder="1" applyAlignment="1">
      <alignment vertical="center"/>
    </xf>
    <xf numFmtId="178" fontId="60" fillId="0" borderId="13" xfId="0" applyFont="1" applyFill="1" applyBorder="1" applyAlignment="1">
      <alignment vertical="center"/>
    </xf>
    <xf numFmtId="173" fontId="77" fillId="0" borderId="13" xfId="348" applyNumberFormat="1" applyFont="1" applyBorder="1" applyAlignment="1">
      <alignment horizontal="center" vertical="center"/>
    </xf>
    <xf numFmtId="173" fontId="60" fillId="0" borderId="13" xfId="0" applyNumberFormat="1" applyFont="1" applyFill="1" applyBorder="1" applyAlignment="1">
      <alignment vertical="center"/>
    </xf>
    <xf numFmtId="173" fontId="60" fillId="28" borderId="13" xfId="0" applyNumberFormat="1" applyFont="1" applyFill="1" applyBorder="1" applyAlignment="1">
      <alignment vertical="center"/>
    </xf>
    <xf numFmtId="168" fontId="94" fillId="0" borderId="13" xfId="324" applyNumberFormat="1" applyFont="1" applyFill="1" applyBorder="1" applyAlignment="1">
      <alignment horizontal="center" vertical="center"/>
    </xf>
    <xf numFmtId="168" fontId="108" fillId="33" borderId="13" xfId="324" applyNumberFormat="1" applyFont="1" applyFill="1" applyBorder="1" applyAlignment="1">
      <alignment horizontal="center" vertical="center"/>
    </xf>
    <xf numFmtId="173" fontId="94" fillId="0" borderId="13" xfId="0" applyNumberFormat="1" applyFont="1" applyBorder="1" applyAlignment="1">
      <alignment vertical="center"/>
    </xf>
    <xf numFmtId="10" fontId="61" fillId="0" borderId="13" xfId="552" applyNumberFormat="1" applyFont="1" applyBorder="1"/>
    <xf numFmtId="10" fontId="83" fillId="0" borderId="13" xfId="0" applyNumberFormat="1" applyFont="1" applyFill="1" applyBorder="1" applyAlignment="1">
      <alignment horizontal="right"/>
    </xf>
    <xf numFmtId="10" fontId="84" fillId="28" borderId="13" xfId="0" applyNumberFormat="1" applyFont="1" applyFill="1" applyBorder="1" applyAlignment="1">
      <alignment horizontal="right"/>
    </xf>
    <xf numFmtId="1" fontId="99" fillId="49" borderId="13" xfId="348" applyNumberFormat="1" applyFont="1" applyFill="1" applyBorder="1" applyAlignment="1">
      <alignment horizontal="center" vertical="center"/>
    </xf>
    <xf numFmtId="0" fontId="55" fillId="0" borderId="0" xfId="1035"/>
    <xf numFmtId="43" fontId="57" fillId="49" borderId="13" xfId="1035" applyNumberFormat="1" applyFont="1" applyFill="1" applyBorder="1" applyAlignment="1">
      <alignment horizontal="center"/>
    </xf>
    <xf numFmtId="0" fontId="57" fillId="49" borderId="13" xfId="1035" applyFont="1" applyFill="1" applyBorder="1" applyAlignment="1">
      <alignment horizontal="center"/>
    </xf>
    <xf numFmtId="43" fontId="0" fillId="0" borderId="13" xfId="324" applyFont="1" applyBorder="1" applyAlignment="1">
      <alignment horizontal="center"/>
    </xf>
    <xf numFmtId="0" fontId="55" fillId="0" borderId="0" xfId="1036"/>
    <xf numFmtId="43" fontId="57" fillId="49" borderId="13" xfId="324" applyFont="1" applyFill="1" applyBorder="1"/>
    <xf numFmtId="0" fontId="57" fillId="49" borderId="13" xfId="1036" applyFont="1" applyFill="1" applyBorder="1" applyAlignment="1">
      <alignment horizontal="center"/>
    </xf>
    <xf numFmtId="43" fontId="60" fillId="0" borderId="13" xfId="324" applyFont="1" applyBorder="1"/>
    <xf numFmtId="43" fontId="0" fillId="0" borderId="13" xfId="324" applyFont="1" applyBorder="1"/>
    <xf numFmtId="0" fontId="60" fillId="0" borderId="13" xfId="1036" applyFont="1" applyBorder="1" applyAlignment="1">
      <alignment horizontal="center"/>
    </xf>
    <xf numFmtId="0" fontId="57" fillId="49" borderId="13" xfId="1036" applyFont="1" applyFill="1" applyBorder="1" applyAlignment="1">
      <alignment horizontal="center" vertical="center"/>
    </xf>
    <xf numFmtId="0" fontId="57" fillId="49" borderId="13" xfId="1036" applyFont="1" applyFill="1" applyBorder="1" applyAlignment="1">
      <alignment horizontal="center" vertical="center" wrapText="1"/>
    </xf>
    <xf numFmtId="0" fontId="68" fillId="0" borderId="0" xfId="1036" applyFont="1" applyBorder="1" applyAlignment="1">
      <alignment horizontal="center"/>
    </xf>
    <xf numFmtId="0" fontId="55" fillId="0" borderId="0" xfId="1037"/>
    <xf numFmtId="0" fontId="57" fillId="49" borderId="13" xfId="1037" applyFont="1" applyFill="1" applyBorder="1" applyAlignment="1">
      <alignment horizontal="center"/>
    </xf>
    <xf numFmtId="0" fontId="228" fillId="0" borderId="0" xfId="1037" applyFont="1" applyBorder="1" applyAlignment="1">
      <alignment horizontal="center" vertical="center"/>
    </xf>
    <xf numFmtId="43" fontId="99" fillId="49" borderId="13" xfId="0" applyNumberFormat="1" applyFont="1" applyFill="1" applyBorder="1" applyAlignment="1">
      <alignment horizontal="center" vertical="center"/>
    </xf>
    <xf numFmtId="3" fontId="62" fillId="28" borderId="13" xfId="0" applyNumberFormat="1" applyFont="1" applyFill="1" applyBorder="1" applyAlignment="1">
      <alignment horizontal="center" vertical="center"/>
    </xf>
    <xf numFmtId="3" fontId="62" fillId="0" borderId="13" xfId="0" applyNumberFormat="1" applyFont="1" applyFill="1" applyBorder="1" applyAlignment="1">
      <alignment horizontal="center" vertical="center"/>
    </xf>
    <xf numFmtId="173" fontId="62" fillId="0" borderId="13" xfId="552" applyNumberFormat="1" applyFont="1" applyFill="1" applyBorder="1" applyAlignment="1">
      <alignment horizontal="center" vertical="center"/>
    </xf>
    <xf numFmtId="41" fontId="99" fillId="49" borderId="14" xfId="362" applyNumberFormat="1" applyFont="1" applyFill="1" applyBorder="1" applyAlignment="1">
      <alignment horizontal="center" vertical="center"/>
    </xf>
    <xf numFmtId="3" fontId="153" fillId="44" borderId="13" xfId="627" applyNumberFormat="1" applyFont="1" applyFill="1" applyBorder="1" applyAlignment="1">
      <alignment horizontal="center"/>
    </xf>
    <xf numFmtId="3" fontId="144" fillId="0" borderId="13" xfId="393" applyNumberFormat="1" applyFont="1" applyFill="1" applyBorder="1" applyAlignment="1">
      <alignment horizontal="center"/>
    </xf>
    <xf numFmtId="173" fontId="150" fillId="0" borderId="13" xfId="393" applyNumberFormat="1" applyFont="1" applyFill="1" applyBorder="1" applyAlignment="1">
      <alignment horizontal="center"/>
    </xf>
    <xf numFmtId="168" fontId="153" fillId="44" borderId="13" xfId="324" applyNumberFormat="1" applyFont="1" applyFill="1" applyBorder="1" applyAlignment="1">
      <alignment horizontal="center"/>
    </xf>
    <xf numFmtId="168" fontId="143" fillId="0" borderId="13" xfId="324" applyNumberFormat="1" applyFont="1" applyBorder="1" applyAlignment="1">
      <alignment horizontal="center"/>
    </xf>
    <xf numFmtId="173" fontId="96" fillId="0" borderId="13" xfId="627" applyNumberFormat="1" applyFont="1" applyBorder="1" applyAlignment="1">
      <alignment horizontal="center"/>
    </xf>
    <xf numFmtId="10" fontId="96" fillId="0" borderId="13" xfId="627" applyNumberFormat="1" applyFont="1" applyBorder="1" applyAlignment="1">
      <alignment horizontal="center"/>
    </xf>
    <xf numFmtId="3" fontId="144" fillId="28" borderId="13" xfId="393" applyNumberFormat="1" applyFont="1" applyFill="1" applyBorder="1" applyAlignment="1">
      <alignment horizontal="center"/>
    </xf>
    <xf numFmtId="173" fontId="150" fillId="28" borderId="13" xfId="393" applyNumberFormat="1" applyFont="1" applyFill="1" applyBorder="1" applyAlignment="1">
      <alignment horizontal="center"/>
    </xf>
    <xf numFmtId="173" fontId="96" fillId="28" borderId="13" xfId="627" applyNumberFormat="1" applyFont="1" applyFill="1" applyBorder="1" applyAlignment="1">
      <alignment horizontal="center"/>
    </xf>
    <xf numFmtId="10" fontId="96" fillId="28" borderId="13" xfId="627" applyNumberFormat="1" applyFont="1" applyFill="1" applyBorder="1" applyAlignment="1">
      <alignment horizontal="center"/>
    </xf>
    <xf numFmtId="173" fontId="150" fillId="0" borderId="13" xfId="627" applyNumberFormat="1" applyFont="1" applyFill="1" applyBorder="1" applyAlignment="1">
      <alignment horizontal="center"/>
    </xf>
    <xf numFmtId="10" fontId="150" fillId="0" borderId="13" xfId="627" applyNumberFormat="1" applyFont="1" applyFill="1" applyBorder="1" applyAlignment="1">
      <alignment horizontal="center"/>
    </xf>
    <xf numFmtId="168" fontId="144" fillId="28" borderId="13" xfId="324" applyNumberFormat="1" applyFont="1" applyFill="1" applyBorder="1" applyAlignment="1">
      <alignment horizontal="center"/>
    </xf>
    <xf numFmtId="173" fontId="150" fillId="28" borderId="13" xfId="627" applyNumberFormat="1" applyFont="1" applyFill="1" applyBorder="1" applyAlignment="1">
      <alignment horizontal="center"/>
    </xf>
    <xf numFmtId="10" fontId="150" fillId="28" borderId="13" xfId="627" applyNumberFormat="1" applyFont="1" applyFill="1" applyBorder="1" applyAlignment="1">
      <alignment horizontal="center"/>
    </xf>
    <xf numFmtId="173" fontId="72" fillId="0" borderId="13" xfId="0" applyNumberFormat="1" applyFont="1" applyFill="1" applyBorder="1" applyAlignment="1">
      <alignment vertical="center"/>
    </xf>
    <xf numFmtId="2" fontId="102" fillId="0" borderId="13" xfId="329" applyNumberFormat="1" applyFont="1" applyBorder="1" applyAlignment="1">
      <alignment horizontal="right"/>
    </xf>
    <xf numFmtId="2" fontId="102" fillId="28" borderId="13" xfId="329" applyNumberFormat="1" applyFont="1" applyFill="1" applyBorder="1" applyAlignment="1">
      <alignment horizontal="right"/>
    </xf>
    <xf numFmtId="3" fontId="102" fillId="43" borderId="13" xfId="329" applyNumberFormat="1" applyFont="1" applyFill="1" applyBorder="1" applyAlignment="1">
      <alignment horizontal="right"/>
    </xf>
    <xf numFmtId="2" fontId="102" fillId="43" borderId="13" xfId="329" applyNumberFormat="1" applyFont="1" applyFill="1" applyBorder="1" applyAlignment="1">
      <alignment horizontal="right"/>
    </xf>
    <xf numFmtId="185" fontId="99" fillId="47" borderId="13" xfId="0" applyNumberFormat="1" applyFont="1" applyFill="1" applyBorder="1" applyAlignment="1">
      <alignment horizontal="center" vertical="center" wrapText="1"/>
    </xf>
    <xf numFmtId="43" fontId="57" fillId="49" borderId="13" xfId="324" applyFont="1" applyFill="1" applyBorder="1" applyAlignment="1">
      <alignment horizontal="center"/>
    </xf>
    <xf numFmtId="173" fontId="78" fillId="28" borderId="13" xfId="392" applyNumberFormat="1" applyFont="1" applyFill="1" applyBorder="1" applyAlignment="1">
      <alignment horizontal="center" vertical="center"/>
    </xf>
    <xf numFmtId="165" fontId="35" fillId="28" borderId="13" xfId="337" applyNumberFormat="1" applyFont="1" applyFill="1" applyBorder="1" applyAlignment="1">
      <alignment horizontal="center"/>
    </xf>
    <xf numFmtId="168" fontId="102" fillId="28" borderId="13" xfId="395" applyNumberFormat="1" applyFont="1" applyFill="1" applyBorder="1" applyAlignment="1">
      <alignment horizontal="center" vertical="center"/>
    </xf>
    <xf numFmtId="3" fontId="102" fillId="32" borderId="13" xfId="395" applyNumberFormat="1" applyFont="1" applyFill="1" applyBorder="1"/>
    <xf numFmtId="3" fontId="102" fillId="34" borderId="13" xfId="329" applyNumberFormat="1" applyFont="1" applyFill="1" applyBorder="1" applyAlignment="1">
      <alignment horizontal="right"/>
    </xf>
    <xf numFmtId="173" fontId="61" fillId="0" borderId="13" xfId="0" applyNumberFormat="1" applyFont="1" applyBorder="1" applyAlignment="1">
      <alignment horizontal="right"/>
    </xf>
    <xf numFmtId="173" fontId="61" fillId="0" borderId="13" xfId="0" applyNumberFormat="1" applyFont="1" applyFill="1" applyBorder="1" applyAlignment="1">
      <alignment horizontal="right"/>
    </xf>
    <xf numFmtId="173" fontId="61" fillId="28" borderId="13" xfId="0" applyNumberFormat="1" applyFont="1" applyFill="1" applyBorder="1" applyAlignment="1">
      <alignment horizontal="right"/>
    </xf>
    <xf numFmtId="0" fontId="55" fillId="35" borderId="0" xfId="1036" applyFill="1"/>
    <xf numFmtId="43" fontId="55" fillId="0" borderId="0" xfId="1037" applyNumberFormat="1"/>
    <xf numFmtId="173" fontId="110" fillId="0" borderId="0" xfId="552" applyNumberFormat="1" applyFont="1" applyAlignment="1">
      <alignment horizontal="center"/>
    </xf>
    <xf numFmtId="173" fontId="110" fillId="0" borderId="0" xfId="0" applyNumberFormat="1" applyFont="1" applyAlignment="1">
      <alignment horizontal="center"/>
    </xf>
    <xf numFmtId="43" fontId="99" fillId="49" borderId="13" xfId="0" applyNumberFormat="1" applyFont="1" applyFill="1" applyBorder="1" applyAlignment="1">
      <alignment horizontal="center" vertical="center"/>
    </xf>
    <xf numFmtId="3" fontId="101" fillId="28" borderId="0" xfId="0" applyNumberFormat="1" applyFont="1" applyFill="1" applyBorder="1" applyAlignment="1">
      <alignment horizontal="center"/>
    </xf>
    <xf numFmtId="43" fontId="99" fillId="49" borderId="13" xfId="0" applyNumberFormat="1" applyFont="1" applyFill="1" applyBorder="1" applyAlignment="1">
      <alignment horizontal="center" vertical="center"/>
    </xf>
    <xf numFmtId="178" fontId="111" fillId="44" borderId="13" xfId="389" applyNumberFormat="1" applyFont="1" applyFill="1" applyBorder="1" applyAlignment="1">
      <alignment horizontal="center" wrapText="1"/>
    </xf>
    <xf numFmtId="178" fontId="0" fillId="0" borderId="0" xfId="0" applyAlignment="1">
      <alignment horizontal="left" vertical="center"/>
    </xf>
    <xf numFmtId="2" fontId="106" fillId="28" borderId="13" xfId="329" applyNumberFormat="1" applyFont="1" applyFill="1" applyBorder="1" applyAlignment="1">
      <alignment horizontal="right" vertical="center"/>
    </xf>
    <xf numFmtId="41" fontId="62" fillId="28" borderId="13" xfId="0" applyNumberFormat="1" applyFont="1" applyFill="1" applyBorder="1" applyAlignment="1">
      <alignment vertical="center" wrapText="1"/>
    </xf>
    <xf numFmtId="41" fontId="62" fillId="28" borderId="13" xfId="0" applyNumberFormat="1" applyFont="1" applyFill="1" applyBorder="1" applyAlignment="1">
      <alignment horizontal="center" vertical="center" wrapText="1"/>
    </xf>
    <xf numFmtId="10" fontId="84" fillId="0" borderId="13" xfId="552" applyNumberFormat="1" applyFont="1" applyFill="1" applyBorder="1" applyAlignment="1">
      <alignment horizontal="right" vertical="center"/>
    </xf>
    <xf numFmtId="173" fontId="103" fillId="28" borderId="13" xfId="552" applyNumberFormat="1" applyFont="1" applyFill="1" applyBorder="1" applyAlignment="1">
      <alignment horizontal="right" vertical="center"/>
    </xf>
    <xf numFmtId="173" fontId="138" fillId="47" borderId="13" xfId="552" applyNumberFormat="1" applyFont="1" applyFill="1" applyBorder="1" applyAlignment="1">
      <alignment horizontal="center" vertical="center"/>
    </xf>
    <xf numFmtId="9" fontId="103" fillId="0" borderId="0" xfId="552" applyNumberFormat="1" applyFont="1" applyFill="1" applyBorder="1" applyAlignment="1" applyProtection="1">
      <alignment horizontal="center"/>
    </xf>
    <xf numFmtId="43" fontId="57" fillId="31" borderId="39" xfId="324" applyFont="1" applyFill="1" applyBorder="1" applyAlignment="1">
      <alignment horizontal="center" vertical="center"/>
    </xf>
    <xf numFmtId="43" fontId="0" fillId="0" borderId="0" xfId="324" applyFont="1" applyBorder="1"/>
    <xf numFmtId="0" fontId="108" fillId="49" borderId="13" xfId="438" applyFont="1" applyFill="1" applyBorder="1" applyAlignment="1">
      <alignment horizontal="center" vertical="center" wrapText="1"/>
    </xf>
    <xf numFmtId="0" fontId="108" fillId="49" borderId="16" xfId="438" applyFont="1" applyFill="1" applyBorder="1" applyAlignment="1">
      <alignment horizontal="center" vertical="center" wrapText="1"/>
    </xf>
    <xf numFmtId="0" fontId="108" fillId="49" borderId="44" xfId="438" applyFont="1" applyFill="1" applyBorder="1" applyAlignment="1">
      <alignment horizontal="center" vertical="center" wrapText="1"/>
    </xf>
    <xf numFmtId="0" fontId="108" fillId="49" borderId="17" xfId="438" applyFont="1" applyFill="1" applyBorder="1" applyAlignment="1">
      <alignment horizontal="center" vertical="center" wrapText="1"/>
    </xf>
    <xf numFmtId="168" fontId="55" fillId="0" borderId="0" xfId="661" applyNumberFormat="1"/>
    <xf numFmtId="0" fontId="0" fillId="0" borderId="0" xfId="663" applyFont="1"/>
    <xf numFmtId="2" fontId="55" fillId="0" borderId="0" xfId="663" applyNumberFormat="1"/>
    <xf numFmtId="197" fontId="55" fillId="0" borderId="0" xfId="663" applyNumberFormat="1"/>
    <xf numFmtId="3" fontId="93" fillId="34" borderId="13" xfId="0" applyNumberFormat="1" applyFont="1" applyFill="1" applyBorder="1" applyAlignment="1">
      <alignment horizontal="right"/>
    </xf>
    <xf numFmtId="10" fontId="106" fillId="34" borderId="13" xfId="329" applyNumberFormat="1" applyFont="1" applyFill="1" applyBorder="1" applyAlignment="1">
      <alignment horizontal="right" vertical="center" wrapText="1"/>
    </xf>
    <xf numFmtId="43" fontId="106" fillId="34" borderId="13" xfId="337" applyNumberFormat="1" applyFont="1" applyFill="1" applyBorder="1" applyAlignment="1">
      <alignment horizontal="right"/>
    </xf>
    <xf numFmtId="3" fontId="93" fillId="36" borderId="13" xfId="0" applyNumberFormat="1" applyFont="1" applyFill="1" applyBorder="1" applyAlignment="1">
      <alignment horizontal="right"/>
    </xf>
    <xf numFmtId="0" fontId="99" fillId="49" borderId="13" xfId="1037" applyFont="1" applyFill="1" applyBorder="1" applyAlignment="1">
      <alignment horizontal="center" vertical="center"/>
    </xf>
    <xf numFmtId="0" fontId="55" fillId="0" borderId="0" xfId="1037" applyAlignment="1">
      <alignment vertical="center"/>
    </xf>
    <xf numFmtId="178" fontId="72" fillId="0" borderId="0" xfId="0" applyFont="1" applyBorder="1"/>
    <xf numFmtId="43" fontId="231" fillId="0" borderId="0" xfId="329" applyFont="1"/>
    <xf numFmtId="43" fontId="99" fillId="49" borderId="13" xfId="0" applyNumberFormat="1" applyFont="1" applyFill="1" applyBorder="1" applyAlignment="1">
      <alignment horizontal="center" vertical="center"/>
    </xf>
    <xf numFmtId="173" fontId="99" fillId="44" borderId="13" xfId="389" applyNumberFormat="1" applyFont="1" applyFill="1" applyBorder="1" applyAlignment="1">
      <alignment horizontal="center" vertical="center"/>
    </xf>
    <xf numFmtId="173" fontId="57" fillId="49" borderId="13" xfId="0" applyNumberFormat="1" applyFont="1" applyFill="1" applyBorder="1" applyAlignment="1">
      <alignment vertical="center"/>
    </xf>
    <xf numFmtId="3" fontId="75" fillId="43" borderId="13" xfId="329" applyNumberFormat="1" applyFont="1" applyFill="1" applyBorder="1" applyAlignment="1">
      <alignment horizontal="right"/>
    </xf>
    <xf numFmtId="0" fontId="57" fillId="47" borderId="13" xfId="1036" applyFont="1" applyFill="1" applyBorder="1" applyAlignment="1">
      <alignment horizontal="center" vertical="center" wrapText="1"/>
    </xf>
    <xf numFmtId="198" fontId="0" fillId="0" borderId="0" xfId="0" applyNumberFormat="1"/>
    <xf numFmtId="193" fontId="0" fillId="0" borderId="0" xfId="0" applyNumberFormat="1" applyBorder="1" applyAlignment="1">
      <alignment vertical="center"/>
    </xf>
    <xf numFmtId="2" fontId="233" fillId="0" borderId="0" xfId="0" applyNumberFormat="1" applyFont="1"/>
    <xf numFmtId="38" fontId="93" fillId="0" borderId="0" xfId="0" applyNumberFormat="1" applyFont="1" applyBorder="1" applyAlignment="1">
      <alignment horizontal="center" vertical="center"/>
    </xf>
    <xf numFmtId="3" fontId="103" fillId="0" borderId="13" xfId="329" applyNumberFormat="1" applyFont="1" applyBorder="1" applyAlignment="1">
      <alignment horizontal="right" vertical="center"/>
    </xf>
    <xf numFmtId="173" fontId="55" fillId="0" borderId="13" xfId="663" applyNumberFormat="1" applyFill="1" applyBorder="1"/>
    <xf numFmtId="173" fontId="57" fillId="49" borderId="13" xfId="663" applyNumberFormat="1" applyFont="1" applyFill="1" applyBorder="1"/>
    <xf numFmtId="43" fontId="0" fillId="28" borderId="13" xfId="324" applyFont="1" applyFill="1" applyBorder="1"/>
    <xf numFmtId="43" fontId="0" fillId="28" borderId="13" xfId="324" applyFont="1" applyFill="1" applyBorder="1" applyAlignment="1">
      <alignment horizontal="right"/>
    </xf>
    <xf numFmtId="0" fontId="55" fillId="0" borderId="0" xfId="580"/>
    <xf numFmtId="43" fontId="103" fillId="28" borderId="13" xfId="608" applyFont="1" applyFill="1" applyBorder="1" applyAlignment="1">
      <alignment horizontal="right" vertical="center"/>
    </xf>
    <xf numFmtId="43" fontId="73" fillId="28" borderId="13" xfId="608" applyFont="1" applyFill="1" applyBorder="1" applyAlignment="1">
      <alignment horizontal="right"/>
    </xf>
    <xf numFmtId="0" fontId="124" fillId="47" borderId="13" xfId="657" applyFont="1" applyFill="1" applyBorder="1" applyAlignment="1">
      <alignment vertical="center"/>
    </xf>
    <xf numFmtId="43" fontId="99" fillId="49" borderId="13" xfId="0" applyNumberFormat="1" applyFont="1" applyFill="1" applyBorder="1" applyAlignment="1">
      <alignment horizontal="center" vertical="center"/>
    </xf>
    <xf numFmtId="43" fontId="35" fillId="28" borderId="13" xfId="337" applyNumberFormat="1" applyFont="1" applyFill="1" applyBorder="1" applyAlignment="1">
      <alignment horizontal="center" vertical="center"/>
    </xf>
    <xf numFmtId="3" fontId="111" fillId="49" borderId="13" xfId="0" applyNumberFormat="1" applyFont="1" applyFill="1" applyBorder="1" applyAlignment="1">
      <alignment horizontal="right"/>
    </xf>
    <xf numFmtId="168" fontId="72" fillId="35" borderId="13" xfId="324" applyNumberFormat="1" applyFont="1" applyFill="1" applyBorder="1" applyAlignment="1"/>
    <xf numFmtId="168" fontId="72" fillId="51" borderId="13" xfId="324" applyNumberFormat="1" applyFont="1" applyFill="1" applyBorder="1"/>
    <xf numFmtId="168" fontId="72" fillId="51" borderId="13" xfId="324" applyNumberFormat="1" applyFont="1" applyFill="1" applyBorder="1" applyAlignment="1">
      <alignment horizontal="right"/>
    </xf>
    <xf numFmtId="9" fontId="78" fillId="0" borderId="13" xfId="552" applyFont="1" applyFill="1" applyBorder="1" applyAlignment="1">
      <alignment horizontal="right" vertical="center"/>
    </xf>
    <xf numFmtId="168" fontId="111" fillId="44" borderId="13" xfId="324" applyNumberFormat="1" applyFont="1" applyFill="1" applyBorder="1" applyAlignment="1">
      <alignment horizontal="center" vertical="center"/>
    </xf>
    <xf numFmtId="173" fontId="102" fillId="34" borderId="13" xfId="329" applyNumberFormat="1" applyFont="1" applyFill="1" applyBorder="1" applyAlignment="1">
      <alignment horizontal="right" vertical="center"/>
    </xf>
    <xf numFmtId="178" fontId="108" fillId="49" borderId="13" xfId="0" applyNumberFormat="1" applyFont="1" applyFill="1" applyBorder="1" applyAlignment="1">
      <alignment horizontal="center" vertical="center" wrapText="1"/>
    </xf>
    <xf numFmtId="3" fontId="103" fillId="0" borderId="13" xfId="389" applyNumberFormat="1" applyFont="1" applyBorder="1" applyAlignment="1">
      <alignment horizontal="center"/>
    </xf>
    <xf numFmtId="9" fontId="166" fillId="0" borderId="13" xfId="552" applyFont="1" applyFill="1" applyBorder="1" applyAlignment="1">
      <alignment horizontal="center"/>
    </xf>
    <xf numFmtId="176" fontId="55" fillId="0" borderId="0" xfId="1035" applyNumberFormat="1"/>
    <xf numFmtId="10" fontId="72" fillId="0" borderId="0" xfId="552" applyNumberFormat="1" applyFont="1"/>
    <xf numFmtId="178" fontId="99" fillId="49" borderId="14" xfId="337" applyNumberFormat="1" applyFont="1" applyFill="1" applyBorder="1" applyAlignment="1">
      <alignment horizontal="center" vertical="center" wrapText="1"/>
    </xf>
    <xf numFmtId="168" fontId="99" fillId="49" borderId="14" xfId="337" applyNumberFormat="1" applyFont="1" applyFill="1" applyBorder="1" applyAlignment="1">
      <alignment horizontal="center" vertical="center" wrapText="1"/>
    </xf>
    <xf numFmtId="17" fontId="99" fillId="49" borderId="13" xfId="337" applyNumberFormat="1" applyFont="1" applyFill="1" applyBorder="1" applyAlignment="1">
      <alignment horizontal="center" vertical="center"/>
    </xf>
    <xf numFmtId="168" fontId="108" fillId="49" borderId="13" xfId="339" applyNumberFormat="1" applyFont="1" applyFill="1" applyBorder="1" applyAlignment="1">
      <alignment horizontal="center" vertical="center" wrapText="1"/>
    </xf>
    <xf numFmtId="168" fontId="111" fillId="49" borderId="13" xfId="339" applyNumberFormat="1" applyFont="1" applyFill="1" applyBorder="1" applyAlignment="1">
      <alignment horizontal="left" vertical="center" wrapText="1"/>
    </xf>
    <xf numFmtId="173" fontId="99" fillId="49" borderId="14" xfId="362" applyNumberFormat="1" applyFont="1" applyFill="1" applyBorder="1" applyAlignment="1">
      <alignment horizontal="center" vertical="center"/>
    </xf>
    <xf numFmtId="43" fontId="99" fillId="49" borderId="13" xfId="0" applyNumberFormat="1" applyFont="1" applyFill="1" applyBorder="1" applyAlignment="1">
      <alignment horizontal="center" vertical="center"/>
    </xf>
    <xf numFmtId="178" fontId="108" fillId="46" borderId="13" xfId="0" applyNumberFormat="1" applyFont="1" applyFill="1" applyBorder="1" applyAlignment="1">
      <alignment horizontal="center" vertical="center" wrapText="1"/>
    </xf>
    <xf numFmtId="9" fontId="103" fillId="0" borderId="13" xfId="552" applyFont="1" applyFill="1" applyBorder="1" applyAlignment="1">
      <alignment horizontal="center"/>
    </xf>
    <xf numFmtId="180" fontId="84" fillId="28" borderId="13" xfId="0" applyNumberFormat="1" applyFont="1" applyFill="1" applyBorder="1" applyAlignment="1" applyProtection="1"/>
    <xf numFmtId="3" fontId="102" fillId="28" borderId="13" xfId="329" applyNumberFormat="1" applyFont="1" applyFill="1" applyBorder="1" applyAlignment="1">
      <alignment horizontal="right" vertical="center"/>
    </xf>
    <xf numFmtId="10" fontId="106" fillId="36" borderId="13" xfId="329" applyNumberFormat="1" applyFont="1" applyFill="1" applyBorder="1" applyAlignment="1">
      <alignment horizontal="right" vertical="center" wrapText="1"/>
    </xf>
    <xf numFmtId="43" fontId="106" fillId="36" borderId="13" xfId="337" applyNumberFormat="1" applyFont="1" applyFill="1" applyBorder="1" applyAlignment="1">
      <alignment horizontal="right"/>
    </xf>
    <xf numFmtId="38" fontId="93" fillId="0" borderId="0" xfId="0" applyNumberFormat="1" applyFont="1" applyBorder="1" applyAlignment="1">
      <alignment horizontal="right" vertical="top"/>
    </xf>
    <xf numFmtId="178" fontId="99" fillId="47" borderId="13" xfId="389" applyFont="1" applyFill="1" applyBorder="1" applyAlignment="1">
      <alignment horizontal="center" vertical="center"/>
    </xf>
    <xf numFmtId="199" fontId="0" fillId="0" borderId="0" xfId="552" applyNumberFormat="1" applyFont="1" applyBorder="1"/>
    <xf numFmtId="49" fontId="106" fillId="30" borderId="13" xfId="0" applyNumberFormat="1" applyFont="1" applyFill="1" applyBorder="1" applyAlignment="1">
      <alignment horizontal="center" vertical="center"/>
    </xf>
    <xf numFmtId="3" fontId="108" fillId="44" borderId="13" xfId="0" applyNumberFormat="1" applyFont="1" applyFill="1" applyBorder="1" applyAlignment="1">
      <alignment horizontal="right"/>
    </xf>
    <xf numFmtId="10" fontId="108" fillId="44" borderId="13" xfId="329" applyNumberFormat="1" applyFont="1" applyFill="1" applyBorder="1" applyAlignment="1">
      <alignment horizontal="right" vertical="center" wrapText="1"/>
    </xf>
    <xf numFmtId="43" fontId="108" fillId="44" borderId="13" xfId="337" applyNumberFormat="1" applyFont="1" applyFill="1" applyBorder="1" applyAlignment="1">
      <alignment horizontal="right"/>
    </xf>
    <xf numFmtId="3" fontId="108" fillId="40" borderId="13" xfId="0" applyNumberFormat="1" applyFont="1" applyFill="1" applyBorder="1" applyAlignment="1">
      <alignment horizontal="right"/>
    </xf>
    <xf numFmtId="10" fontId="108" fillId="40" borderId="13" xfId="329" applyNumberFormat="1" applyFont="1" applyFill="1" applyBorder="1" applyAlignment="1">
      <alignment horizontal="right" vertical="center" wrapText="1"/>
    </xf>
    <xf numFmtId="43" fontId="108" fillId="40" borderId="13" xfId="337" applyNumberFormat="1" applyFont="1" applyFill="1" applyBorder="1" applyAlignment="1">
      <alignment horizontal="right"/>
    </xf>
    <xf numFmtId="10" fontId="108" fillId="40" borderId="13" xfId="552" applyNumberFormat="1" applyFont="1" applyFill="1" applyBorder="1" applyAlignment="1">
      <alignment horizontal="right" vertical="center" wrapText="1"/>
    </xf>
    <xf numFmtId="178" fontId="108" fillId="40" borderId="13" xfId="0" applyNumberFormat="1" applyFont="1" applyFill="1" applyBorder="1" applyAlignment="1">
      <alignment horizontal="center" vertical="center"/>
    </xf>
    <xf numFmtId="178" fontId="108" fillId="40" borderId="13" xfId="0" applyNumberFormat="1" applyFont="1" applyFill="1" applyBorder="1" applyAlignment="1">
      <alignment horizontal="center" vertical="center" wrapText="1"/>
    </xf>
    <xf numFmtId="49" fontId="108" fillId="40" borderId="13" xfId="0" applyNumberFormat="1" applyFont="1" applyFill="1" applyBorder="1" applyAlignment="1">
      <alignment horizontal="center" vertical="center"/>
    </xf>
    <xf numFmtId="168" fontId="77" fillId="43" borderId="13" xfId="395" applyNumberFormat="1" applyFont="1" applyFill="1" applyBorder="1" applyAlignment="1">
      <alignment horizontal="right"/>
    </xf>
    <xf numFmtId="3" fontId="84" fillId="0" borderId="13" xfId="329" applyNumberFormat="1" applyFont="1" applyBorder="1" applyAlignment="1"/>
    <xf numFmtId="3" fontId="84" fillId="28" borderId="13" xfId="329" applyNumberFormat="1" applyFont="1" applyFill="1" applyBorder="1" applyAlignment="1"/>
    <xf numFmtId="180" fontId="0" fillId="0" borderId="0" xfId="552" applyNumberFormat="1" applyFont="1"/>
    <xf numFmtId="43" fontId="99" fillId="49" borderId="13" xfId="0" applyNumberFormat="1" applyFont="1" applyFill="1" applyBorder="1" applyAlignment="1">
      <alignment horizontal="center" vertical="center"/>
    </xf>
    <xf numFmtId="185" fontId="78" fillId="28" borderId="13" xfId="0" applyNumberFormat="1" applyFont="1" applyFill="1" applyBorder="1" applyAlignment="1">
      <alignment horizontal="center" vertical="center"/>
    </xf>
    <xf numFmtId="185" fontId="78" fillId="0" borderId="13" xfId="0" applyNumberFormat="1" applyFont="1" applyFill="1" applyBorder="1" applyAlignment="1">
      <alignment horizontal="center" vertical="center"/>
    </xf>
    <xf numFmtId="185" fontId="111" fillId="44" borderId="13" xfId="0" applyNumberFormat="1" applyFont="1" applyFill="1" applyBorder="1" applyAlignment="1">
      <alignment horizontal="center" vertical="center"/>
    </xf>
    <xf numFmtId="10" fontId="83" fillId="28" borderId="13" xfId="0" applyNumberFormat="1" applyFont="1" applyFill="1" applyBorder="1" applyAlignment="1">
      <alignment horizontal="right"/>
    </xf>
    <xf numFmtId="178" fontId="226" fillId="0" borderId="0" xfId="0" applyFont="1"/>
    <xf numFmtId="43" fontId="103" fillId="28" borderId="13" xfId="0" applyNumberFormat="1" applyFont="1" applyFill="1" applyBorder="1" applyAlignment="1">
      <alignment horizontal="center"/>
    </xf>
    <xf numFmtId="173" fontId="99" fillId="47" borderId="13" xfId="552" applyNumberFormat="1" applyFont="1" applyFill="1" applyBorder="1" applyAlignment="1">
      <alignment horizontal="center" vertical="center" wrapText="1"/>
    </xf>
    <xf numFmtId="43" fontId="235" fillId="44" borderId="13" xfId="337" applyNumberFormat="1" applyFont="1" applyFill="1" applyBorder="1" applyAlignment="1">
      <alignment horizontal="center" vertical="center"/>
    </xf>
    <xf numFmtId="4" fontId="30" fillId="0" borderId="0" xfId="655" applyNumberFormat="1" applyFont="1" applyFill="1" applyBorder="1" applyAlignment="1" applyProtection="1">
      <alignment horizontal="right"/>
    </xf>
    <xf numFmtId="2" fontId="11" fillId="28" borderId="0" xfId="1089" applyNumberFormat="1" applyFont="1" applyFill="1" applyBorder="1" applyAlignment="1" applyProtection="1">
      <alignment horizontal="right"/>
    </xf>
    <xf numFmtId="2" fontId="30" fillId="0" borderId="0" xfId="1089" applyNumberFormat="1" applyFont="1" applyBorder="1"/>
    <xf numFmtId="168" fontId="0" fillId="0" borderId="13" xfId="324" applyNumberFormat="1" applyFont="1" applyFill="1" applyBorder="1"/>
    <xf numFmtId="168" fontId="94" fillId="0" borderId="13" xfId="324" applyNumberFormat="1" applyFont="1" applyFill="1" applyBorder="1" applyAlignment="1">
      <alignment vertical="center"/>
    </xf>
    <xf numFmtId="0" fontId="55" fillId="0" borderId="13" xfId="657" applyFill="1" applyBorder="1" applyAlignment="1">
      <alignment horizontal="center"/>
    </xf>
    <xf numFmtId="178" fontId="99" fillId="40" borderId="13" xfId="389" applyNumberFormat="1" applyFont="1" applyFill="1" applyBorder="1" applyAlignment="1">
      <alignment horizontal="center" vertical="center" wrapText="1"/>
    </xf>
    <xf numFmtId="178" fontId="84" fillId="32" borderId="13" xfId="389" applyNumberFormat="1" applyFont="1" applyFill="1" applyBorder="1" applyAlignment="1">
      <alignment horizontal="center" vertical="center" wrapText="1"/>
    </xf>
    <xf numFmtId="0" fontId="84" fillId="27" borderId="13" xfId="324" applyNumberFormat="1" applyFont="1" applyFill="1" applyBorder="1" applyAlignment="1">
      <alignment horizontal="center" vertical="center"/>
    </xf>
    <xf numFmtId="40" fontId="62" fillId="0" borderId="13" xfId="324" applyNumberFormat="1" applyFont="1" applyFill="1" applyBorder="1" applyAlignment="1">
      <alignment horizontal="right" vertical="center"/>
    </xf>
    <xf numFmtId="40" fontId="84" fillId="52" borderId="13" xfId="324" applyNumberFormat="1" applyFont="1" applyFill="1" applyBorder="1" applyAlignment="1">
      <alignment horizontal="right" vertical="center"/>
    </xf>
    <xf numFmtId="40" fontId="84" fillId="0" borderId="13" xfId="324" applyNumberFormat="1" applyFont="1" applyFill="1" applyBorder="1" applyAlignment="1">
      <alignment horizontal="right"/>
    </xf>
    <xf numFmtId="173" fontId="84" fillId="0" borderId="13" xfId="324" applyNumberFormat="1" applyFont="1" applyFill="1" applyBorder="1" applyAlignment="1">
      <alignment horizontal="right"/>
    </xf>
    <xf numFmtId="40" fontId="62" fillId="0" borderId="13" xfId="324" applyNumberFormat="1" applyFont="1" applyFill="1" applyBorder="1" applyAlignment="1">
      <alignment horizontal="right"/>
    </xf>
    <xf numFmtId="40" fontId="83" fillId="36" borderId="13" xfId="324" applyNumberFormat="1" applyFont="1" applyFill="1" applyBorder="1"/>
    <xf numFmtId="40" fontId="83" fillId="0" borderId="13" xfId="324" applyNumberFormat="1" applyFont="1" applyFill="1" applyBorder="1"/>
    <xf numFmtId="173" fontId="83" fillId="0" borderId="13" xfId="324" applyNumberFormat="1" applyFont="1" applyFill="1" applyBorder="1"/>
    <xf numFmtId="40" fontId="83" fillId="0" borderId="13" xfId="324" applyNumberFormat="1" applyFont="1" applyBorder="1"/>
    <xf numFmtId="40" fontId="62" fillId="28" borderId="13" xfId="324" applyNumberFormat="1" applyFont="1" applyFill="1" applyBorder="1" applyAlignment="1">
      <alignment horizontal="right" vertical="center"/>
    </xf>
    <xf numFmtId="173" fontId="84" fillId="28" borderId="13" xfId="324" applyNumberFormat="1" applyFont="1" applyFill="1" applyBorder="1" applyAlignment="1">
      <alignment horizontal="right"/>
    </xf>
    <xf numFmtId="40" fontId="62" fillId="28" borderId="13" xfId="324" applyNumberFormat="1" applyFont="1" applyFill="1" applyBorder="1" applyAlignment="1">
      <alignment horizontal="right"/>
    </xf>
    <xf numFmtId="43" fontId="72" fillId="0" borderId="0" xfId="324" applyFont="1"/>
    <xf numFmtId="40" fontId="62" fillId="0" borderId="13" xfId="324" applyNumberFormat="1" applyFont="1" applyFill="1" applyBorder="1" applyAlignment="1">
      <alignment horizontal="right" vertical="center" wrapText="1"/>
    </xf>
    <xf numFmtId="40" fontId="62" fillId="28" borderId="13" xfId="324" applyNumberFormat="1" applyFont="1" applyFill="1" applyBorder="1" applyAlignment="1">
      <alignment horizontal="right" vertical="center" wrapText="1"/>
    </xf>
    <xf numFmtId="17" fontId="84" fillId="27" borderId="13" xfId="324" applyNumberFormat="1" applyFont="1" applyFill="1" applyBorder="1" applyAlignment="1">
      <alignment horizontal="left" vertical="center"/>
    </xf>
    <xf numFmtId="40" fontId="84" fillId="27" borderId="13" xfId="324" applyNumberFormat="1" applyFont="1" applyFill="1" applyBorder="1" applyAlignment="1">
      <alignment vertical="center"/>
    </xf>
    <xf numFmtId="173" fontId="84" fillId="34" borderId="13" xfId="324" applyNumberFormat="1" applyFont="1" applyFill="1" applyBorder="1"/>
    <xf numFmtId="178" fontId="72" fillId="0" borderId="0" xfId="389" applyNumberFormat="1" applyFont="1" applyAlignment="1">
      <alignment vertical="center"/>
    </xf>
    <xf numFmtId="178" fontId="69" fillId="49" borderId="0" xfId="0" applyFont="1" applyFill="1" applyBorder="1" applyAlignment="1">
      <alignment horizontal="center" vertical="center" wrapText="1"/>
    </xf>
    <xf numFmtId="49" fontId="111" fillId="49" borderId="13" xfId="0" applyNumberFormat="1" applyFont="1" applyFill="1" applyBorder="1" applyAlignment="1">
      <alignment horizontal="center" wrapText="1"/>
    </xf>
    <xf numFmtId="10" fontId="78" fillId="0" borderId="13" xfId="324" applyNumberFormat="1" applyFont="1" applyBorder="1"/>
    <xf numFmtId="168" fontId="111" fillId="49" borderId="13" xfId="0" applyNumberFormat="1" applyFont="1" applyFill="1" applyBorder="1" applyAlignment="1">
      <alignment horizontal="center" wrapText="1"/>
    </xf>
    <xf numFmtId="10" fontId="111" fillId="49" borderId="13" xfId="0" applyNumberFormat="1" applyFont="1" applyFill="1" applyBorder="1" applyAlignment="1">
      <alignment horizontal="center" wrapText="1"/>
    </xf>
    <xf numFmtId="3" fontId="99" fillId="44" borderId="13" xfId="329" applyNumberFormat="1" applyFont="1" applyFill="1" applyBorder="1" applyAlignment="1"/>
    <xf numFmtId="10" fontId="99" fillId="44" borderId="13" xfId="329" applyNumberFormat="1" applyFont="1" applyFill="1" applyBorder="1" applyAlignment="1">
      <alignment vertical="center" wrapText="1"/>
    </xf>
    <xf numFmtId="178" fontId="230" fillId="71" borderId="0" xfId="0" applyFont="1" applyFill="1" applyBorder="1" applyAlignment="1">
      <alignment horizontal="center" vertical="center" wrapText="1"/>
    </xf>
    <xf numFmtId="178" fontId="176" fillId="0" borderId="19" xfId="0" applyFont="1" applyBorder="1" applyAlignment="1">
      <alignment horizontal="center" vertical="center" wrapText="1"/>
    </xf>
    <xf numFmtId="178" fontId="176" fillId="0" borderId="14" xfId="0" applyFont="1" applyBorder="1" applyAlignment="1">
      <alignment horizontal="center" vertical="center" wrapText="1"/>
    </xf>
    <xf numFmtId="178" fontId="86" fillId="0" borderId="12" xfId="316" applyFont="1" applyBorder="1" applyAlignment="1" applyProtection="1">
      <alignment horizontal="left" vertical="center"/>
    </xf>
    <xf numFmtId="178" fontId="104" fillId="0" borderId="41" xfId="0" applyFont="1" applyBorder="1" applyAlignment="1">
      <alignment horizontal="center" vertical="center" wrapText="1"/>
    </xf>
    <xf numFmtId="178" fontId="104" fillId="0" borderId="42" xfId="0" applyFont="1" applyBorder="1" applyAlignment="1">
      <alignment horizontal="center" vertical="center" wrapText="1"/>
    </xf>
    <xf numFmtId="178" fontId="104" fillId="0" borderId="34" xfId="0" applyFont="1" applyBorder="1" applyAlignment="1">
      <alignment horizontal="center" vertical="center" wrapText="1"/>
    </xf>
    <xf numFmtId="178" fontId="104" fillId="0" borderId="43" xfId="0" applyFont="1" applyBorder="1" applyAlignment="1">
      <alignment horizontal="center" vertical="center" wrapText="1"/>
    </xf>
    <xf numFmtId="178" fontId="165" fillId="31" borderId="16" xfId="0" applyFont="1" applyFill="1" applyBorder="1" applyAlignment="1">
      <alignment horizontal="center" vertical="center" wrapText="1"/>
    </xf>
    <xf numFmtId="178" fontId="165" fillId="31" borderId="44" xfId="0" applyFont="1" applyFill="1" applyBorder="1" applyAlignment="1">
      <alignment horizontal="center" vertical="center" wrapText="1"/>
    </xf>
    <xf numFmtId="178" fontId="165" fillId="31" borderId="17" xfId="0" applyFont="1" applyFill="1" applyBorder="1" applyAlignment="1">
      <alignment horizontal="center" vertical="center" wrapText="1"/>
    </xf>
    <xf numFmtId="178" fontId="110" fillId="0" borderId="0" xfId="0" applyFont="1" applyAlignment="1">
      <alignment horizontal="justify" vertical="justify" wrapText="1"/>
    </xf>
    <xf numFmtId="178" fontId="41" fillId="0" borderId="12" xfId="0" applyFont="1" applyBorder="1" applyAlignment="1">
      <alignment horizontal="left" wrapText="1"/>
    </xf>
    <xf numFmtId="178" fontId="93" fillId="0" borderId="12" xfId="0" applyFont="1" applyBorder="1" applyAlignment="1">
      <alignment horizontal="left" wrapText="1"/>
    </xf>
    <xf numFmtId="178" fontId="93" fillId="0" borderId="0" xfId="0" applyFont="1" applyAlignment="1">
      <alignment horizontal="left" wrapText="1"/>
    </xf>
    <xf numFmtId="178" fontId="8" fillId="0" borderId="12" xfId="0" applyFont="1" applyBorder="1" applyAlignment="1">
      <alignment horizontal="left" vertical="top" wrapText="1"/>
    </xf>
    <xf numFmtId="178" fontId="83" fillId="0" borderId="12" xfId="0" applyFont="1" applyBorder="1" applyAlignment="1">
      <alignment horizontal="left" vertical="top" wrapText="1"/>
    </xf>
    <xf numFmtId="178" fontId="83" fillId="0" borderId="0" xfId="0" applyFont="1" applyAlignment="1">
      <alignment horizontal="left" vertical="top" wrapText="1"/>
    </xf>
    <xf numFmtId="178" fontId="0" fillId="0" borderId="0" xfId="0" applyAlignment="1">
      <alignment horizontal="center"/>
    </xf>
    <xf numFmtId="178" fontId="8" fillId="0" borderId="0" xfId="0" applyFont="1" applyBorder="1" applyAlignment="1">
      <alignment horizontal="left" vertical="center" wrapText="1"/>
    </xf>
    <xf numFmtId="178" fontId="83" fillId="0" borderId="0" xfId="0" applyFont="1" applyBorder="1" applyAlignment="1">
      <alignment horizontal="left" vertical="center" wrapText="1"/>
    </xf>
    <xf numFmtId="178" fontId="129" fillId="31" borderId="16" xfId="0" applyFont="1" applyFill="1" applyBorder="1" applyAlignment="1">
      <alignment horizontal="center" vertical="center" wrapText="1"/>
    </xf>
    <xf numFmtId="178" fontId="129" fillId="31" borderId="44" xfId="0" applyFont="1" applyFill="1" applyBorder="1" applyAlignment="1">
      <alignment horizontal="center" vertical="center" wrapText="1"/>
    </xf>
    <xf numFmtId="178" fontId="129" fillId="31" borderId="17" xfId="0" applyFont="1" applyFill="1" applyBorder="1" applyAlignment="1">
      <alignment horizontal="center" vertical="center" wrapText="1"/>
    </xf>
    <xf numFmtId="178" fontId="69" fillId="44" borderId="16" xfId="0" applyNumberFormat="1" applyFont="1" applyFill="1" applyBorder="1" applyAlignment="1">
      <alignment horizontal="left" vertical="center" wrapText="1"/>
    </xf>
    <xf numFmtId="178" fontId="69" fillId="44" borderId="17" xfId="0" applyNumberFormat="1" applyFont="1" applyFill="1" applyBorder="1" applyAlignment="1">
      <alignment horizontal="left" vertical="center" wrapText="1"/>
    </xf>
    <xf numFmtId="178" fontId="94" fillId="0" borderId="0" xfId="0" applyNumberFormat="1" applyFont="1" applyBorder="1" applyAlignment="1">
      <alignment horizontal="left" vertical="top" wrapText="1"/>
    </xf>
    <xf numFmtId="178" fontId="192" fillId="44" borderId="13" xfId="0" applyNumberFormat="1" applyFont="1" applyFill="1" applyBorder="1" applyAlignment="1">
      <alignment horizontal="center" vertical="center" wrapText="1"/>
    </xf>
    <xf numFmtId="178" fontId="194" fillId="28" borderId="12" xfId="0" applyFont="1" applyFill="1" applyBorder="1" applyAlignment="1">
      <alignment horizontal="left" vertical="center" wrapText="1"/>
    </xf>
    <xf numFmtId="178" fontId="72" fillId="0" borderId="45" xfId="0" applyNumberFormat="1" applyFont="1" applyBorder="1" applyAlignment="1">
      <alignment horizontal="left" vertical="top" wrapText="1"/>
    </xf>
    <xf numFmtId="178" fontId="72" fillId="0" borderId="0" xfId="0" applyNumberFormat="1" applyFont="1" applyBorder="1" applyAlignment="1">
      <alignment horizontal="left" vertical="top" wrapText="1"/>
    </xf>
    <xf numFmtId="178" fontId="108" fillId="46" borderId="13" xfId="0" applyNumberFormat="1" applyFont="1" applyFill="1" applyBorder="1" applyAlignment="1">
      <alignment horizontal="center" vertical="center" wrapText="1"/>
    </xf>
    <xf numFmtId="178" fontId="75" fillId="0" borderId="0" xfId="0" applyFont="1" applyFill="1" applyBorder="1" applyAlignment="1">
      <alignment horizontal="left" vertical="center" wrapText="1"/>
    </xf>
    <xf numFmtId="178" fontId="148" fillId="55" borderId="13" xfId="0" applyNumberFormat="1" applyFont="1" applyFill="1" applyBorder="1" applyAlignment="1">
      <alignment horizontal="center" vertical="center" wrapText="1"/>
    </xf>
    <xf numFmtId="178" fontId="108" fillId="31" borderId="16" xfId="0" applyNumberFormat="1" applyFont="1" applyFill="1" applyBorder="1" applyAlignment="1">
      <alignment horizontal="right" vertical="center" wrapText="1"/>
    </xf>
    <xf numFmtId="178" fontId="108" fillId="31" borderId="44" xfId="0" applyNumberFormat="1" applyFont="1" applyFill="1" applyBorder="1" applyAlignment="1">
      <alignment horizontal="right" vertical="center" wrapText="1"/>
    </xf>
    <xf numFmtId="178" fontId="108" fillId="31" borderId="17" xfId="0" applyNumberFormat="1" applyFont="1" applyFill="1" applyBorder="1" applyAlignment="1">
      <alignment horizontal="right" vertical="center" wrapText="1"/>
    </xf>
    <xf numFmtId="178" fontId="78" fillId="0" borderId="12" xfId="0" applyNumberFormat="1" applyFont="1" applyBorder="1" applyAlignment="1">
      <alignment horizontal="left" vertical="center"/>
    </xf>
    <xf numFmtId="178" fontId="148" fillId="49" borderId="13" xfId="0" applyFont="1" applyFill="1" applyBorder="1" applyAlignment="1">
      <alignment horizontal="center" vertical="center" wrapText="1"/>
    </xf>
    <xf numFmtId="178" fontId="90" fillId="44" borderId="13" xfId="389" applyFont="1" applyFill="1" applyBorder="1" applyAlignment="1">
      <alignment horizontal="center" vertical="center" wrapText="1"/>
    </xf>
    <xf numFmtId="178" fontId="99" fillId="44" borderId="13" xfId="389" applyFont="1" applyFill="1" applyBorder="1" applyAlignment="1">
      <alignment horizontal="center" vertical="center" wrapText="1"/>
    </xf>
    <xf numFmtId="178" fontId="109" fillId="47" borderId="13" xfId="0" applyFont="1" applyFill="1" applyBorder="1" applyAlignment="1">
      <alignment horizontal="center" vertical="center" wrapText="1"/>
    </xf>
    <xf numFmtId="178" fontId="167" fillId="0" borderId="12" xfId="0" applyFont="1" applyBorder="1" applyAlignment="1">
      <alignment horizontal="left" vertical="center" wrapText="1"/>
    </xf>
    <xf numFmtId="178" fontId="167" fillId="0" borderId="0" xfId="0" applyFont="1" applyBorder="1" applyAlignment="1">
      <alignment horizontal="left" vertical="center" wrapText="1"/>
    </xf>
    <xf numFmtId="178" fontId="99" fillId="31" borderId="46" xfId="0" applyFont="1" applyFill="1" applyBorder="1" applyAlignment="1">
      <alignment horizontal="center" vertical="center" wrapText="1"/>
    </xf>
    <xf numFmtId="178" fontId="99" fillId="31" borderId="15" xfId="0" applyFont="1" applyFill="1" applyBorder="1" applyAlignment="1">
      <alignment horizontal="center" vertical="center" wrapText="1"/>
    </xf>
    <xf numFmtId="178" fontId="108" fillId="31" borderId="13" xfId="0" applyFont="1" applyFill="1" applyBorder="1" applyAlignment="1">
      <alignment horizontal="center" vertical="center" wrapText="1"/>
    </xf>
    <xf numFmtId="178" fontId="103" fillId="0" borderId="12" xfId="0" applyFont="1" applyFill="1" applyBorder="1" applyAlignment="1">
      <alignment horizontal="left" vertical="center" wrapText="1"/>
    </xf>
    <xf numFmtId="178" fontId="108" fillId="44" borderId="16" xfId="0" applyNumberFormat="1" applyFont="1" applyFill="1" applyBorder="1" applyAlignment="1" applyProtection="1">
      <alignment horizontal="center" vertical="center" wrapText="1"/>
    </xf>
    <xf numFmtId="178" fontId="108" fillId="44" borderId="44" xfId="0" applyNumberFormat="1" applyFont="1" applyFill="1" applyBorder="1" applyAlignment="1" applyProtection="1">
      <alignment horizontal="center" vertical="center"/>
    </xf>
    <xf numFmtId="178" fontId="108" fillId="44" borderId="17" xfId="0" applyNumberFormat="1" applyFont="1" applyFill="1" applyBorder="1" applyAlignment="1" applyProtection="1">
      <alignment horizontal="center" vertical="center"/>
    </xf>
    <xf numFmtId="178" fontId="62" fillId="28" borderId="12" xfId="0" applyNumberFormat="1" applyFont="1" applyFill="1" applyBorder="1" applyAlignment="1">
      <alignment horizontal="left" vertical="center" wrapText="1"/>
    </xf>
    <xf numFmtId="178" fontId="62" fillId="28" borderId="0" xfId="0" applyNumberFormat="1" applyFont="1" applyFill="1" applyBorder="1" applyAlignment="1">
      <alignment horizontal="left" vertical="center" wrapText="1"/>
    </xf>
    <xf numFmtId="178" fontId="69" fillId="44" borderId="13" xfId="0" applyNumberFormat="1" applyFont="1" applyFill="1" applyBorder="1" applyAlignment="1" applyProtection="1">
      <alignment horizontal="center" vertical="center" wrapText="1"/>
    </xf>
    <xf numFmtId="178" fontId="108" fillId="49" borderId="13" xfId="0" applyNumberFormat="1" applyFont="1" applyFill="1" applyBorder="1" applyAlignment="1">
      <alignment horizontal="center" vertical="center" wrapText="1"/>
    </xf>
    <xf numFmtId="178" fontId="63" fillId="49" borderId="13" xfId="0" applyNumberFormat="1" applyFont="1" applyFill="1" applyBorder="1" applyAlignment="1">
      <alignment horizontal="center" vertical="center" wrapText="1"/>
    </xf>
    <xf numFmtId="178" fontId="32" fillId="28" borderId="12" xfId="389" applyFont="1" applyFill="1" applyBorder="1" applyAlignment="1">
      <alignment horizontal="left" vertical="center" wrapText="1"/>
    </xf>
    <xf numFmtId="178" fontId="32" fillId="28" borderId="0" xfId="389" applyFont="1" applyFill="1" applyBorder="1" applyAlignment="1">
      <alignment horizontal="left" vertical="center" wrapText="1"/>
    </xf>
    <xf numFmtId="178" fontId="69" fillId="31" borderId="40" xfId="0" applyNumberFormat="1" applyFont="1" applyFill="1" applyBorder="1" applyAlignment="1">
      <alignment horizontal="center" vertical="center" wrapText="1"/>
    </xf>
    <xf numFmtId="178" fontId="69" fillId="31" borderId="0" xfId="0" applyNumberFormat="1" applyFont="1" applyFill="1" applyBorder="1" applyAlignment="1">
      <alignment horizontal="center" vertical="center" wrapText="1"/>
    </xf>
    <xf numFmtId="178" fontId="32" fillId="0" borderId="0" xfId="0" applyFont="1" applyFill="1" applyBorder="1" applyAlignment="1">
      <alignment horizontal="left" vertical="center" wrapText="1"/>
    </xf>
    <xf numFmtId="178" fontId="90" fillId="31" borderId="13" xfId="0" applyFont="1" applyFill="1" applyBorder="1" applyAlignment="1">
      <alignment horizontal="center" vertical="center" wrapText="1"/>
    </xf>
    <xf numFmtId="178" fontId="84" fillId="27" borderId="19" xfId="389" applyNumberFormat="1" applyFont="1" applyFill="1" applyBorder="1" applyAlignment="1">
      <alignment horizontal="center" vertical="center"/>
    </xf>
    <xf numFmtId="178" fontId="84" fillId="27" borderId="14" xfId="389" applyNumberFormat="1" applyFont="1" applyFill="1" applyBorder="1" applyAlignment="1">
      <alignment horizontal="center" vertical="center"/>
    </xf>
    <xf numFmtId="178" fontId="99" fillId="40" borderId="13" xfId="389" applyFont="1" applyFill="1" applyBorder="1" applyAlignment="1">
      <alignment horizontal="center" vertical="center"/>
    </xf>
    <xf numFmtId="178" fontId="84" fillId="32" borderId="13" xfId="389" applyFont="1" applyFill="1" applyBorder="1" applyAlignment="1">
      <alignment horizontal="center" vertical="center"/>
    </xf>
    <xf numFmtId="178" fontId="84" fillId="27" borderId="19" xfId="389" applyNumberFormat="1" applyFont="1" applyFill="1" applyBorder="1" applyAlignment="1">
      <alignment horizontal="center" vertical="center" wrapText="1"/>
    </xf>
    <xf numFmtId="178" fontId="84" fillId="27" borderId="14" xfId="389" applyNumberFormat="1" applyFont="1" applyFill="1" applyBorder="1" applyAlignment="1">
      <alignment horizontal="center" vertical="center" wrapText="1"/>
    </xf>
    <xf numFmtId="178" fontId="139" fillId="0" borderId="12" xfId="0" applyFont="1" applyFill="1" applyBorder="1" applyAlignment="1">
      <alignment horizontal="left" vertical="center" wrapText="1"/>
    </xf>
    <xf numFmtId="0" fontId="108" fillId="49" borderId="40" xfId="1035" applyFont="1" applyFill="1" applyBorder="1" applyAlignment="1">
      <alignment horizontal="center" vertical="center" wrapText="1"/>
    </xf>
    <xf numFmtId="0" fontId="108" fillId="49" borderId="0" xfId="1035" applyFont="1" applyFill="1" applyBorder="1" applyAlignment="1">
      <alignment horizontal="center" vertical="center" wrapText="1"/>
    </xf>
    <xf numFmtId="0" fontId="69" fillId="49" borderId="0" xfId="1036" applyFont="1" applyFill="1" applyBorder="1" applyAlignment="1">
      <alignment horizontal="center" vertical="center" wrapText="1"/>
    </xf>
    <xf numFmtId="0" fontId="69" fillId="49" borderId="0" xfId="1036" applyFont="1" applyFill="1" applyBorder="1" applyAlignment="1">
      <alignment horizontal="center" vertical="center"/>
    </xf>
    <xf numFmtId="0" fontId="111" fillId="49" borderId="13" xfId="1037" applyFont="1" applyFill="1" applyBorder="1" applyAlignment="1">
      <alignment horizontal="center" vertical="center" wrapText="1"/>
    </xf>
    <xf numFmtId="0" fontId="111" fillId="49" borderId="13" xfId="1037" applyFont="1" applyFill="1" applyBorder="1" applyAlignment="1">
      <alignment horizontal="center" vertical="center"/>
    </xf>
    <xf numFmtId="178" fontId="109" fillId="31" borderId="13" xfId="0" applyFont="1" applyFill="1" applyBorder="1" applyAlignment="1">
      <alignment horizontal="center" vertical="center" wrapText="1"/>
    </xf>
    <xf numFmtId="178" fontId="83" fillId="0" borderId="12" xfId="0" applyNumberFormat="1" applyFont="1" applyBorder="1" applyAlignment="1">
      <alignment horizontal="left" vertical="top"/>
    </xf>
    <xf numFmtId="178" fontId="72" fillId="0" borderId="12" xfId="0" applyNumberFormat="1" applyFont="1" applyBorder="1" applyAlignment="1">
      <alignment horizontal="left" vertical="top"/>
    </xf>
    <xf numFmtId="178" fontId="90" fillId="31" borderId="47" xfId="0" applyFont="1" applyFill="1" applyBorder="1" applyAlignment="1">
      <alignment horizontal="center" vertical="center" wrapText="1"/>
    </xf>
    <xf numFmtId="178" fontId="90" fillId="31" borderId="0" xfId="0" applyFont="1" applyFill="1" applyBorder="1" applyAlignment="1">
      <alignment horizontal="center" vertical="center" wrapText="1"/>
    </xf>
    <xf numFmtId="178" fontId="102" fillId="39" borderId="29" xfId="0" applyFont="1" applyFill="1" applyBorder="1" applyAlignment="1">
      <alignment horizontal="center" vertical="center" wrapText="1"/>
    </xf>
    <xf numFmtId="178" fontId="102" fillId="39" borderId="30" xfId="0" applyFont="1" applyFill="1" applyBorder="1" applyAlignment="1">
      <alignment horizontal="center" vertical="center" wrapText="1"/>
    </xf>
    <xf numFmtId="178" fontId="102" fillId="39" borderId="48" xfId="0" applyFont="1" applyFill="1" applyBorder="1" applyAlignment="1">
      <alignment horizontal="center" vertical="center" wrapText="1"/>
    </xf>
    <xf numFmtId="178" fontId="61" fillId="27" borderId="16" xfId="0" applyNumberFormat="1" applyFont="1" applyFill="1" applyBorder="1" applyAlignment="1">
      <alignment horizontal="center" vertical="center" wrapText="1"/>
    </xf>
    <xf numFmtId="178" fontId="61" fillId="27" borderId="17" xfId="0" applyNumberFormat="1" applyFont="1" applyFill="1" applyBorder="1" applyAlignment="1">
      <alignment horizontal="center" vertical="center" wrapText="1"/>
    </xf>
    <xf numFmtId="168" fontId="6" fillId="0" borderId="0" xfId="329" applyNumberFormat="1" applyFont="1" applyFill="1" applyBorder="1" applyAlignment="1">
      <alignment horizontal="center" wrapText="1"/>
    </xf>
    <xf numFmtId="178" fontId="72" fillId="0" borderId="12" xfId="0" applyNumberFormat="1" applyFont="1" applyBorder="1" applyAlignment="1">
      <alignment horizontal="left" vertical="center"/>
    </xf>
    <xf numFmtId="178" fontId="148" fillId="31" borderId="16" xfId="0" applyFont="1" applyFill="1" applyBorder="1" applyAlignment="1">
      <alignment horizontal="center" vertical="center" wrapText="1"/>
    </xf>
    <xf numFmtId="178" fontId="148" fillId="31" borderId="44" xfId="0" applyFont="1" applyFill="1" applyBorder="1" applyAlignment="1">
      <alignment horizontal="center" vertical="center" wrapText="1"/>
    </xf>
    <xf numFmtId="178" fontId="148" fillId="31" borderId="17" xfId="0" applyFont="1" applyFill="1" applyBorder="1" applyAlignment="1">
      <alignment horizontal="center" vertical="center" wrapText="1"/>
    </xf>
    <xf numFmtId="14" fontId="108" fillId="49" borderId="40" xfId="0" applyNumberFormat="1" applyFont="1" applyFill="1" applyBorder="1" applyAlignment="1">
      <alignment horizontal="center" vertical="center" wrapText="1"/>
    </xf>
    <xf numFmtId="14" fontId="108" fillId="49" borderId="0" xfId="0" applyNumberFormat="1" applyFont="1" applyFill="1" applyBorder="1" applyAlignment="1">
      <alignment horizontal="center" vertical="center" wrapText="1"/>
    </xf>
    <xf numFmtId="49" fontId="60" fillId="0" borderId="41" xfId="0" applyNumberFormat="1" applyFont="1" applyFill="1" applyBorder="1" applyAlignment="1">
      <alignment horizontal="left" vertical="center"/>
    </xf>
    <xf numFmtId="49" fontId="60" fillId="0" borderId="12" xfId="0" applyNumberFormat="1" applyFont="1" applyFill="1" applyBorder="1" applyAlignment="1">
      <alignment horizontal="left" vertical="center"/>
    </xf>
    <xf numFmtId="178" fontId="99" fillId="31" borderId="16" xfId="348" applyFont="1" applyFill="1" applyBorder="1" applyAlignment="1">
      <alignment horizontal="center" vertical="center" wrapText="1"/>
    </xf>
    <xf numFmtId="178" fontId="99" fillId="31" borderId="44" xfId="348" applyFont="1" applyFill="1" applyBorder="1" applyAlignment="1">
      <alignment horizontal="center" vertical="center" wrapText="1"/>
    </xf>
    <xf numFmtId="178" fontId="99" fillId="31" borderId="17" xfId="348" applyFont="1" applyFill="1" applyBorder="1" applyAlignment="1">
      <alignment horizontal="center" vertical="center" wrapText="1"/>
    </xf>
    <xf numFmtId="178" fontId="0" fillId="0" borderId="0" xfId="0" applyFill="1" applyBorder="1" applyAlignment="1">
      <alignment horizontal="left" wrapText="1"/>
    </xf>
    <xf numFmtId="178" fontId="69" fillId="31" borderId="16" xfId="0" applyFont="1" applyFill="1" applyBorder="1" applyAlignment="1">
      <alignment horizontal="center" vertical="center" wrapText="1"/>
    </xf>
    <xf numFmtId="178" fontId="111" fillId="31" borderId="44" xfId="0" applyFont="1" applyFill="1" applyBorder="1" applyAlignment="1">
      <alignment horizontal="center" vertical="center" wrapText="1"/>
    </xf>
    <xf numFmtId="178" fontId="111" fillId="31" borderId="17" xfId="0" applyFont="1" applyFill="1" applyBorder="1" applyAlignment="1">
      <alignment horizontal="center" vertical="center" wrapText="1"/>
    </xf>
    <xf numFmtId="178" fontId="124" fillId="31" borderId="13" xfId="348" applyNumberFormat="1" applyFont="1" applyFill="1" applyBorder="1" applyAlignment="1">
      <alignment horizontal="center" vertical="center"/>
    </xf>
    <xf numFmtId="178" fontId="72" fillId="0" borderId="0" xfId="0" applyFont="1" applyAlignment="1">
      <alignment horizontal="left" vertical="center" wrapText="1"/>
    </xf>
    <xf numFmtId="168" fontId="63" fillId="31" borderId="13" xfId="325" applyNumberFormat="1" applyFont="1" applyFill="1" applyBorder="1" applyAlignment="1">
      <alignment horizontal="center" vertical="center" wrapText="1"/>
    </xf>
    <xf numFmtId="178" fontId="0" fillId="0" borderId="0" xfId="0" applyBorder="1" applyAlignment="1">
      <alignment horizontal="left" vertical="top" wrapText="1"/>
    </xf>
    <xf numFmtId="178" fontId="69" fillId="49" borderId="13" xfId="0" applyFont="1" applyFill="1" applyBorder="1" applyAlignment="1">
      <alignment horizontal="center" vertical="center" wrapText="1"/>
    </xf>
    <xf numFmtId="178" fontId="90" fillId="49" borderId="19" xfId="0" applyFont="1" applyFill="1" applyBorder="1" applyAlignment="1">
      <alignment horizontal="center" vertical="center" wrapText="1"/>
    </xf>
    <xf numFmtId="178" fontId="111" fillId="0" borderId="0" xfId="0" applyFont="1" applyFill="1" applyBorder="1" applyAlignment="1">
      <alignment horizontal="center" vertical="center" wrapText="1"/>
    </xf>
    <xf numFmtId="178" fontId="69" fillId="49" borderId="19" xfId="0" applyFont="1" applyFill="1" applyBorder="1" applyAlignment="1">
      <alignment horizontal="center" vertical="center" wrapText="1"/>
    </xf>
    <xf numFmtId="178" fontId="111" fillId="49" borderId="19" xfId="0" applyFont="1" applyFill="1" applyBorder="1" applyAlignment="1">
      <alignment horizontal="center" vertical="center" wrapText="1"/>
    </xf>
    <xf numFmtId="178" fontId="108" fillId="49" borderId="19" xfId="0" applyFont="1" applyFill="1" applyBorder="1" applyAlignment="1">
      <alignment horizontal="center" vertical="center" wrapText="1"/>
    </xf>
    <xf numFmtId="178" fontId="112" fillId="0" borderId="0" xfId="0" applyFont="1" applyAlignment="1">
      <alignment horizontal="left" vertical="center" wrapText="1"/>
    </xf>
    <xf numFmtId="178" fontId="113" fillId="0" borderId="0" xfId="0" applyFont="1" applyAlignment="1">
      <alignment horizontal="left" vertical="center" wrapText="1"/>
    </xf>
    <xf numFmtId="178" fontId="63" fillId="49" borderId="19" xfId="0" applyFont="1" applyFill="1" applyBorder="1" applyAlignment="1">
      <alignment horizontal="center" vertical="center" wrapText="1"/>
    </xf>
    <xf numFmtId="178" fontId="99" fillId="49" borderId="19" xfId="0" applyFont="1" applyFill="1" applyBorder="1" applyAlignment="1">
      <alignment horizontal="center" vertical="center" wrapText="1"/>
    </xf>
    <xf numFmtId="178" fontId="78" fillId="0" borderId="12" xfId="0" applyNumberFormat="1" applyFont="1" applyBorder="1" applyAlignment="1">
      <alignment horizontal="left"/>
    </xf>
    <xf numFmtId="0" fontId="187" fillId="49" borderId="13" xfId="685" applyFont="1" applyFill="1" applyBorder="1" applyAlignment="1">
      <alignment horizontal="center"/>
    </xf>
    <xf numFmtId="178" fontId="111" fillId="49" borderId="40" xfId="0" applyFont="1" applyFill="1" applyBorder="1" applyAlignment="1">
      <alignment horizontal="center" vertical="center" wrapText="1"/>
    </xf>
    <xf numFmtId="178" fontId="111" fillId="49" borderId="0" xfId="0" applyFont="1" applyFill="1" applyBorder="1" applyAlignment="1">
      <alignment horizontal="center" vertical="center" wrapText="1"/>
    </xf>
    <xf numFmtId="0" fontId="185" fillId="28" borderId="11" xfId="685" applyFont="1" applyFill="1" applyBorder="1" applyAlignment="1">
      <alignment horizontal="left" vertical="center"/>
    </xf>
    <xf numFmtId="0" fontId="187" fillId="49" borderId="13" xfId="685" applyFont="1" applyFill="1" applyBorder="1" applyAlignment="1">
      <alignment horizontal="center" vertical="center"/>
    </xf>
    <xf numFmtId="178" fontId="63" fillId="31" borderId="13" xfId="0" applyFont="1" applyFill="1" applyBorder="1" applyAlignment="1">
      <alignment horizontal="center" vertical="center" wrapText="1"/>
    </xf>
    <xf numFmtId="178" fontId="103" fillId="28" borderId="12" xfId="0" applyNumberFormat="1" applyFont="1" applyFill="1" applyBorder="1" applyAlignment="1">
      <alignment horizontal="left" vertical="center" wrapText="1"/>
    </xf>
    <xf numFmtId="178" fontId="103" fillId="28" borderId="12" xfId="0" applyNumberFormat="1" applyFont="1" applyFill="1" applyBorder="1" applyAlignment="1">
      <alignment horizontal="left" vertical="center"/>
    </xf>
    <xf numFmtId="178" fontId="103" fillId="28" borderId="0" xfId="0" applyNumberFormat="1" applyFont="1" applyFill="1" applyBorder="1" applyAlignment="1">
      <alignment horizontal="left" vertical="center"/>
    </xf>
    <xf numFmtId="178" fontId="0" fillId="0" borderId="12" xfId="0" applyNumberFormat="1" applyBorder="1" applyAlignment="1">
      <alignment horizontal="left" wrapText="1"/>
    </xf>
    <xf numFmtId="178" fontId="0" fillId="0" borderId="12" xfId="389" applyFont="1" applyBorder="1" applyAlignment="1">
      <alignment horizontal="left" vertical="center" wrapText="1"/>
    </xf>
    <xf numFmtId="178" fontId="111" fillId="31" borderId="13" xfId="0" applyFont="1" applyFill="1" applyBorder="1" applyAlignment="1">
      <alignment horizontal="center" vertical="center" wrapText="1"/>
    </xf>
    <xf numFmtId="178" fontId="90" fillId="47" borderId="13" xfId="0" applyFont="1" applyFill="1" applyBorder="1" applyAlignment="1">
      <alignment horizontal="center" vertical="center" wrapText="1"/>
    </xf>
    <xf numFmtId="178" fontId="75" fillId="0" borderId="0" xfId="0" applyNumberFormat="1" applyFont="1" applyFill="1" applyBorder="1" applyAlignment="1">
      <alignment horizontal="left" vertical="center" wrapText="1"/>
    </xf>
    <xf numFmtId="17" fontId="187" fillId="70" borderId="13" xfId="1025" applyNumberFormat="1" applyFont="1" applyFill="1" applyBorder="1" applyAlignment="1">
      <alignment horizontal="center" vertical="center" wrapText="1"/>
    </xf>
    <xf numFmtId="0" fontId="187" fillId="70" borderId="13" xfId="1025" applyFont="1" applyFill="1" applyBorder="1" applyAlignment="1">
      <alignment horizontal="center" vertical="center" wrapText="1"/>
    </xf>
    <xf numFmtId="17" fontId="187" fillId="70" borderId="13" xfId="1025" applyNumberFormat="1" applyFont="1" applyFill="1" applyBorder="1" applyAlignment="1">
      <alignment horizontal="center" vertical="center"/>
    </xf>
    <xf numFmtId="0" fontId="190" fillId="28" borderId="78" xfId="1025" applyFont="1" applyFill="1" applyBorder="1" applyAlignment="1">
      <alignment horizontal="center" wrapText="1"/>
    </xf>
    <xf numFmtId="0" fontId="190" fillId="28" borderId="45" xfId="1025" applyFont="1" applyFill="1" applyBorder="1" applyAlignment="1">
      <alignment horizontal="center" wrapText="1"/>
    </xf>
    <xf numFmtId="0" fontId="190" fillId="28" borderId="77" xfId="1025" applyFont="1" applyFill="1" applyBorder="1" applyAlignment="1">
      <alignment horizontal="center"/>
    </xf>
    <xf numFmtId="0" fontId="187" fillId="70" borderId="13" xfId="1025" applyFont="1" applyFill="1" applyBorder="1" applyAlignment="1">
      <alignment horizontal="center" vertical="center"/>
    </xf>
    <xf numFmtId="0" fontId="187" fillId="70" borderId="82" xfId="1025" applyFont="1" applyFill="1" applyBorder="1" applyAlignment="1">
      <alignment horizontal="center"/>
    </xf>
    <xf numFmtId="0" fontId="187" fillId="70" borderId="80" xfId="1025" applyFont="1" applyFill="1" applyBorder="1" applyAlignment="1">
      <alignment horizontal="center"/>
    </xf>
    <xf numFmtId="0" fontId="187" fillId="70" borderId="13" xfId="1025" applyFont="1" applyFill="1" applyBorder="1" applyAlignment="1">
      <alignment horizontal="center"/>
    </xf>
    <xf numFmtId="0" fontId="187" fillId="70" borderId="81" xfId="1025" applyFont="1" applyFill="1" applyBorder="1" applyAlignment="1">
      <alignment horizontal="center" wrapText="1"/>
    </xf>
    <xf numFmtId="0" fontId="187" fillId="70" borderId="80" xfId="1025" applyFont="1" applyFill="1" applyBorder="1" applyAlignment="1">
      <alignment horizontal="center" wrapText="1"/>
    </xf>
    <xf numFmtId="0" fontId="187" fillId="70" borderId="79" xfId="1025" applyFont="1" applyFill="1" applyBorder="1" applyAlignment="1">
      <alignment horizontal="center" wrapText="1"/>
    </xf>
    <xf numFmtId="0" fontId="187" fillId="70" borderId="78" xfId="1025" applyFont="1" applyFill="1" applyBorder="1" applyAlignment="1">
      <alignment horizontal="center" wrapText="1"/>
    </xf>
    <xf numFmtId="0" fontId="187" fillId="70" borderId="45" xfId="1025" applyFont="1" applyFill="1" applyBorder="1" applyAlignment="1">
      <alignment horizontal="center" wrapText="1"/>
    </xf>
    <xf numFmtId="0" fontId="187" fillId="70" borderId="77" xfId="1025" applyFont="1" applyFill="1" applyBorder="1" applyAlignment="1">
      <alignment horizontal="center"/>
    </xf>
    <xf numFmtId="0" fontId="148" fillId="49" borderId="16" xfId="1025" applyFont="1" applyFill="1" applyBorder="1" applyAlignment="1">
      <alignment horizontal="center" vertical="center" wrapText="1"/>
    </xf>
    <xf numFmtId="0" fontId="148" fillId="49" borderId="44" xfId="1025" applyFont="1" applyFill="1" applyBorder="1" applyAlignment="1">
      <alignment horizontal="center" vertical="center"/>
    </xf>
    <xf numFmtId="0" fontId="148" fillId="49" borderId="17" xfId="1025" applyFont="1" applyFill="1" applyBorder="1" applyAlignment="1">
      <alignment horizontal="center" vertical="center"/>
    </xf>
    <xf numFmtId="0" fontId="221" fillId="28" borderId="11" xfId="1025" applyFont="1" applyFill="1" applyBorder="1" applyAlignment="1">
      <alignment horizontal="left" vertical="center"/>
    </xf>
    <xf numFmtId="0" fontId="190" fillId="28" borderId="82" xfId="1030" applyFont="1" applyFill="1" applyBorder="1" applyAlignment="1">
      <alignment horizontal="center"/>
    </xf>
    <xf numFmtId="0" fontId="190" fillId="28" borderId="80" xfId="1030" applyFont="1" applyFill="1" applyBorder="1" applyAlignment="1">
      <alignment horizontal="center"/>
    </xf>
    <xf numFmtId="0" fontId="190" fillId="28" borderId="13" xfId="1030" applyFont="1" applyFill="1" applyBorder="1" applyAlignment="1">
      <alignment horizontal="center"/>
    </xf>
    <xf numFmtId="0" fontId="190" fillId="28" borderId="81" xfId="1030" applyFont="1" applyFill="1" applyBorder="1" applyAlignment="1">
      <alignment horizontal="center" wrapText="1"/>
    </xf>
    <xf numFmtId="0" fontId="190" fillId="28" borderId="80" xfId="1030" applyFont="1" applyFill="1" applyBorder="1" applyAlignment="1">
      <alignment horizontal="center" wrapText="1"/>
    </xf>
    <xf numFmtId="0" fontId="190" fillId="28" borderId="79" xfId="1030" applyFont="1" applyFill="1" applyBorder="1" applyAlignment="1">
      <alignment horizontal="center" wrapText="1"/>
    </xf>
    <xf numFmtId="0" fontId="190" fillId="28" borderId="78" xfId="1030" applyFont="1" applyFill="1" applyBorder="1" applyAlignment="1">
      <alignment horizontal="center" wrapText="1"/>
    </xf>
    <xf numFmtId="0" fontId="190" fillId="28" borderId="45" xfId="1030" applyFont="1" applyFill="1" applyBorder="1" applyAlignment="1">
      <alignment horizontal="center" wrapText="1"/>
    </xf>
    <xf numFmtId="0" fontId="190" fillId="28" borderId="77" xfId="1030" applyFont="1" applyFill="1" applyBorder="1" applyAlignment="1">
      <alignment horizontal="center"/>
    </xf>
    <xf numFmtId="0" fontId="63" fillId="69" borderId="16" xfId="1025" applyFont="1" applyFill="1" applyBorder="1" applyAlignment="1">
      <alignment horizontal="center" vertical="center" wrapText="1"/>
    </xf>
    <xf numFmtId="0" fontId="148" fillId="69" borderId="44" xfId="1025" applyFont="1" applyFill="1" applyBorder="1" applyAlignment="1">
      <alignment horizontal="center" vertical="center"/>
    </xf>
    <xf numFmtId="0" fontId="148" fillId="69" borderId="17" xfId="1025" applyFont="1" applyFill="1" applyBorder="1" applyAlignment="1">
      <alignment horizontal="center" vertical="center"/>
    </xf>
    <xf numFmtId="0" fontId="187" fillId="47" borderId="13" xfId="1030" applyFont="1" applyFill="1" applyBorder="1" applyAlignment="1">
      <alignment horizontal="center" vertical="center" wrapText="1"/>
    </xf>
    <xf numFmtId="17" fontId="187" fillId="47" borderId="13" xfId="1030" applyNumberFormat="1" applyFont="1" applyFill="1" applyBorder="1" applyAlignment="1">
      <alignment horizontal="center" vertical="center"/>
    </xf>
    <xf numFmtId="0" fontId="187" fillId="47" borderId="13" xfId="1030" applyFont="1" applyFill="1" applyBorder="1" applyAlignment="1">
      <alignment horizontal="center" vertical="center"/>
    </xf>
    <xf numFmtId="17" fontId="187" fillId="47" borderId="13" xfId="1030" applyNumberFormat="1" applyFont="1" applyFill="1" applyBorder="1" applyAlignment="1">
      <alignment horizontal="center" vertical="center" wrapText="1"/>
    </xf>
    <xf numFmtId="0" fontId="185" fillId="28" borderId="11" xfId="1030" applyFont="1" applyFill="1" applyBorder="1" applyAlignment="1">
      <alignment horizontal="left" vertical="center"/>
    </xf>
    <xf numFmtId="178" fontId="111" fillId="44" borderId="16" xfId="392" applyFont="1" applyFill="1" applyBorder="1" applyAlignment="1">
      <alignment horizontal="center" vertical="center"/>
    </xf>
    <xf numFmtId="178" fontId="111" fillId="44" borderId="44" xfId="392" applyFont="1" applyFill="1" applyBorder="1" applyAlignment="1">
      <alignment horizontal="center" vertical="center"/>
    </xf>
    <xf numFmtId="178" fontId="111" fillId="44" borderId="17" xfId="392" applyFont="1" applyFill="1" applyBorder="1" applyAlignment="1">
      <alignment horizontal="center" vertical="center"/>
    </xf>
    <xf numFmtId="178" fontId="63" fillId="44" borderId="13" xfId="443" applyFont="1" applyFill="1" applyBorder="1" applyAlignment="1">
      <alignment horizontal="center" vertical="center" wrapText="1"/>
    </xf>
    <xf numFmtId="178" fontId="108" fillId="44" borderId="16" xfId="392" applyFont="1" applyFill="1" applyBorder="1" applyAlignment="1">
      <alignment horizontal="center" vertical="center" wrapText="1"/>
    </xf>
    <xf numFmtId="178" fontId="108" fillId="44" borderId="44" xfId="392" applyFont="1" applyFill="1" applyBorder="1" applyAlignment="1">
      <alignment horizontal="center" vertical="center"/>
    </xf>
    <xf numFmtId="178" fontId="108" fillId="44" borderId="17" xfId="392" applyFont="1" applyFill="1" applyBorder="1" applyAlignment="1">
      <alignment horizontal="center" vertical="center"/>
    </xf>
    <xf numFmtId="178" fontId="69" fillId="44" borderId="13" xfId="443" applyFont="1" applyFill="1" applyBorder="1" applyAlignment="1">
      <alignment horizontal="center" vertical="center" wrapText="1"/>
    </xf>
    <xf numFmtId="178" fontId="84" fillId="39" borderId="46" xfId="0" applyFont="1" applyFill="1" applyBorder="1" applyAlignment="1">
      <alignment horizontal="center" vertical="center" wrapText="1"/>
    </xf>
    <xf numFmtId="178" fontId="84" fillId="39" borderId="15" xfId="0" applyFont="1" applyFill="1" applyBorder="1" applyAlignment="1">
      <alignment horizontal="center" vertical="center" wrapText="1"/>
    </xf>
    <xf numFmtId="178" fontId="84" fillId="39" borderId="20" xfId="0" applyFont="1" applyFill="1" applyBorder="1" applyAlignment="1">
      <alignment horizontal="center" vertical="center" wrapText="1"/>
    </xf>
    <xf numFmtId="178" fontId="72" fillId="0" borderId="0" xfId="0" applyNumberFormat="1" applyFont="1" applyBorder="1" applyAlignment="1">
      <alignment horizontal="left" vertical="top"/>
    </xf>
    <xf numFmtId="0" fontId="108" fillId="49" borderId="13" xfId="677" applyFont="1" applyFill="1" applyBorder="1" applyAlignment="1">
      <alignment horizontal="center" vertical="center" wrapText="1"/>
    </xf>
    <xf numFmtId="0" fontId="108" fillId="49" borderId="13" xfId="677" applyFont="1" applyFill="1" applyBorder="1" applyAlignment="1">
      <alignment horizontal="center" vertical="center"/>
    </xf>
    <xf numFmtId="0" fontId="108" fillId="49" borderId="0" xfId="657" applyFont="1" applyFill="1" applyAlignment="1">
      <alignment horizontal="center" vertical="center" wrapText="1"/>
    </xf>
    <xf numFmtId="0" fontId="108" fillId="49" borderId="0" xfId="657" applyFont="1" applyFill="1" applyAlignment="1">
      <alignment horizontal="center" vertical="center"/>
    </xf>
    <xf numFmtId="0" fontId="108" fillId="49" borderId="13" xfId="657" applyFont="1" applyFill="1" applyBorder="1" applyAlignment="1">
      <alignment horizontal="center" vertical="center" wrapText="1"/>
    </xf>
    <xf numFmtId="0" fontId="108" fillId="49" borderId="13" xfId="657" applyFont="1" applyFill="1" applyBorder="1" applyAlignment="1">
      <alignment horizontal="center" vertical="center"/>
    </xf>
    <xf numFmtId="0" fontId="63" fillId="49" borderId="13" xfId="657" applyFont="1" applyFill="1" applyBorder="1" applyAlignment="1">
      <alignment horizontal="center" vertical="center" wrapText="1"/>
    </xf>
    <xf numFmtId="0" fontId="63" fillId="49" borderId="16" xfId="657" applyFont="1" applyFill="1" applyBorder="1" applyAlignment="1">
      <alignment horizontal="center" vertical="center" wrapText="1"/>
    </xf>
    <xf numFmtId="0" fontId="63" fillId="49" borderId="44" xfId="657" applyFont="1" applyFill="1" applyBorder="1" applyAlignment="1">
      <alignment horizontal="center" vertical="center" wrapText="1"/>
    </xf>
    <xf numFmtId="178" fontId="63" fillId="49" borderId="16" xfId="0" applyFont="1" applyFill="1" applyBorder="1" applyAlignment="1">
      <alignment horizontal="center" vertical="center" wrapText="1"/>
    </xf>
    <xf numFmtId="178" fontId="90" fillId="49" borderId="44" xfId="0" applyFont="1" applyFill="1" applyBorder="1" applyAlignment="1">
      <alignment horizontal="center" vertical="center" wrapText="1"/>
    </xf>
    <xf numFmtId="178" fontId="90" fillId="49" borderId="17" xfId="0" applyFont="1" applyFill="1" applyBorder="1" applyAlignment="1">
      <alignment horizontal="center" vertical="center" wrapText="1"/>
    </xf>
    <xf numFmtId="178" fontId="108" fillId="49" borderId="13" xfId="0" applyFont="1" applyFill="1" applyBorder="1" applyAlignment="1">
      <alignment horizontal="center" vertical="center" wrapText="1"/>
    </xf>
    <xf numFmtId="178" fontId="99" fillId="44" borderId="13" xfId="0" applyFont="1" applyFill="1" applyBorder="1" applyAlignment="1">
      <alignment horizontal="center" vertical="center" wrapText="1"/>
    </xf>
    <xf numFmtId="178" fontId="69" fillId="44" borderId="13" xfId="0" applyFont="1" applyFill="1" applyBorder="1" applyAlignment="1">
      <alignment horizontal="center" vertical="center" wrapText="1"/>
    </xf>
    <xf numFmtId="178" fontId="78" fillId="0" borderId="0" xfId="0" applyFont="1" applyBorder="1" applyAlignment="1">
      <alignment horizontal="left" vertical="top" wrapText="1"/>
    </xf>
    <xf numFmtId="43" fontId="0" fillId="0" borderId="12" xfId="0" applyNumberFormat="1" applyBorder="1" applyAlignment="1">
      <alignment horizontal="left" vertical="center"/>
    </xf>
    <xf numFmtId="178" fontId="60" fillId="0" borderId="0" xfId="0" applyFont="1" applyBorder="1" applyAlignment="1">
      <alignment horizontal="left" wrapText="1"/>
    </xf>
    <xf numFmtId="178" fontId="57" fillId="44" borderId="13" xfId="0" applyFont="1" applyFill="1" applyBorder="1" applyAlignment="1">
      <alignment horizontal="center" vertical="center" wrapText="1"/>
    </xf>
    <xf numFmtId="178" fontId="111" fillId="44" borderId="13" xfId="0" applyFont="1" applyFill="1" applyBorder="1" applyAlignment="1">
      <alignment horizontal="center" vertical="center" wrapText="1"/>
    </xf>
    <xf numFmtId="178" fontId="63" fillId="44" borderId="13" xfId="0" applyFont="1" applyFill="1" applyBorder="1" applyAlignment="1">
      <alignment horizontal="center" vertical="center" wrapText="1"/>
    </xf>
    <xf numFmtId="178" fontId="103" fillId="28" borderId="12" xfId="0" applyNumberFormat="1" applyFont="1" applyFill="1" applyBorder="1" applyAlignment="1">
      <alignment horizontal="left" vertical="top" wrapText="1"/>
    </xf>
    <xf numFmtId="178" fontId="111" fillId="49" borderId="13" xfId="0" applyFont="1" applyFill="1" applyBorder="1" applyAlignment="1">
      <alignment horizontal="center" vertical="center" wrapText="1"/>
    </xf>
    <xf numFmtId="178" fontId="103" fillId="0" borderId="0" xfId="0" applyFont="1" applyFill="1" applyBorder="1" applyAlignment="1">
      <alignment horizontal="left" vertical="center" wrapText="1"/>
    </xf>
    <xf numFmtId="178" fontId="0" fillId="0" borderId="0" xfId="0" applyNumberFormat="1" applyBorder="1" applyAlignment="1">
      <alignment horizontal="left" vertical="top"/>
    </xf>
    <xf numFmtId="0" fontId="108" fillId="49" borderId="13" xfId="682" applyFont="1" applyFill="1" applyBorder="1" applyAlignment="1">
      <alignment horizontal="center" vertical="center" wrapText="1"/>
    </xf>
    <xf numFmtId="0" fontId="69" fillId="49" borderId="13" xfId="657" applyFont="1" applyFill="1" applyBorder="1" applyAlignment="1">
      <alignment horizontal="center" vertical="center" wrapText="1"/>
    </xf>
    <xf numFmtId="0" fontId="57" fillId="49" borderId="19" xfId="657" applyFont="1" applyFill="1" applyBorder="1" applyAlignment="1">
      <alignment horizontal="center" vertical="center"/>
    </xf>
    <xf numFmtId="0" fontId="57" fillId="49" borderId="14" xfId="657" applyFont="1" applyFill="1" applyBorder="1" applyAlignment="1">
      <alignment horizontal="center" vertical="center"/>
    </xf>
    <xf numFmtId="0" fontId="57" fillId="49" borderId="16" xfId="657" applyFont="1" applyFill="1" applyBorder="1" applyAlignment="1">
      <alignment horizontal="center" vertical="center"/>
    </xf>
    <xf numFmtId="0" fontId="57" fillId="49" borderId="17" xfId="657" applyFont="1" applyFill="1" applyBorder="1" applyAlignment="1">
      <alignment horizontal="center" vertical="center"/>
    </xf>
    <xf numFmtId="0" fontId="69" fillId="31" borderId="13" xfId="657" applyFont="1" applyFill="1" applyBorder="1" applyAlignment="1">
      <alignment horizontal="center" vertical="center" wrapText="1"/>
    </xf>
    <xf numFmtId="0" fontId="69" fillId="31" borderId="13" xfId="657" applyFont="1" applyFill="1" applyBorder="1" applyAlignment="1">
      <alignment horizontal="center" vertical="center"/>
    </xf>
    <xf numFmtId="0" fontId="57" fillId="60" borderId="16" xfId="657" applyFont="1" applyFill="1" applyBorder="1" applyAlignment="1">
      <alignment horizontal="center"/>
    </xf>
    <xf numFmtId="0" fontId="57" fillId="60" borderId="17" xfId="657" applyFont="1" applyFill="1" applyBorder="1" applyAlignment="1">
      <alignment horizontal="center"/>
    </xf>
    <xf numFmtId="0" fontId="69" fillId="31" borderId="13" xfId="683" applyFont="1" applyFill="1" applyBorder="1" applyAlignment="1">
      <alignment horizontal="center" vertical="center" wrapText="1"/>
    </xf>
    <xf numFmtId="0" fontId="69" fillId="31" borderId="13" xfId="683" applyFont="1" applyFill="1" applyBorder="1" applyAlignment="1">
      <alignment horizontal="center" vertical="center"/>
    </xf>
    <xf numFmtId="0" fontId="108" fillId="31" borderId="13" xfId="657" applyFont="1" applyFill="1" applyBorder="1" applyAlignment="1">
      <alignment horizontal="center" vertical="center" wrapText="1"/>
    </xf>
    <xf numFmtId="0" fontId="108" fillId="31" borderId="13" xfId="657" applyFont="1" applyFill="1" applyBorder="1" applyAlignment="1">
      <alignment horizontal="center" vertical="center"/>
    </xf>
    <xf numFmtId="178" fontId="111" fillId="46" borderId="13" xfId="684" applyFont="1" applyFill="1" applyBorder="1" applyAlignment="1">
      <alignment horizontal="center" vertical="center" wrapText="1"/>
    </xf>
    <xf numFmtId="178" fontId="159" fillId="46" borderId="19" xfId="684" applyFont="1" applyFill="1" applyBorder="1" applyAlignment="1">
      <alignment horizontal="center" vertical="center" wrapText="1"/>
    </xf>
    <xf numFmtId="178" fontId="159" fillId="46" borderId="14" xfId="684" applyFont="1" applyFill="1" applyBorder="1" applyAlignment="1">
      <alignment horizontal="center" vertical="center" wrapText="1"/>
    </xf>
    <xf numFmtId="178" fontId="159" fillId="46" borderId="16" xfId="684" applyFont="1" applyFill="1" applyBorder="1" applyAlignment="1">
      <alignment horizontal="center" vertical="center" wrapText="1"/>
    </xf>
    <xf numFmtId="178" fontId="159" fillId="46" borderId="44" xfId="684" applyFont="1" applyFill="1" applyBorder="1" applyAlignment="1">
      <alignment horizontal="center" vertical="center" wrapText="1"/>
    </xf>
    <xf numFmtId="178" fontId="159" fillId="46" borderId="17" xfId="684" applyFont="1" applyFill="1" applyBorder="1" applyAlignment="1">
      <alignment horizontal="center" vertical="center" wrapText="1"/>
    </xf>
    <xf numFmtId="178" fontId="109" fillId="46" borderId="13" xfId="684" applyFont="1" applyFill="1" applyBorder="1" applyAlignment="1">
      <alignment horizontal="center" vertical="center" wrapText="1"/>
    </xf>
    <xf numFmtId="178" fontId="69" fillId="46" borderId="40" xfId="684" applyFont="1" applyFill="1" applyBorder="1" applyAlignment="1">
      <alignment horizontal="center" vertical="center" wrapText="1"/>
    </xf>
    <xf numFmtId="178" fontId="69" fillId="46" borderId="0" xfId="684" applyFont="1" applyFill="1" applyBorder="1" applyAlignment="1">
      <alignment horizontal="center" vertical="center" wrapText="1"/>
    </xf>
    <xf numFmtId="178" fontId="108" fillId="44" borderId="16" xfId="0" applyFont="1" applyFill="1" applyBorder="1" applyAlignment="1">
      <alignment horizontal="center" vertical="center" wrapText="1"/>
    </xf>
    <xf numFmtId="178" fontId="108" fillId="44" borderId="44" xfId="0" applyFont="1" applyFill="1" applyBorder="1" applyAlignment="1">
      <alignment horizontal="center" vertical="center" wrapText="1"/>
    </xf>
    <xf numFmtId="178" fontId="108" fillId="44" borderId="17" xfId="0" applyFont="1" applyFill="1" applyBorder="1" applyAlignment="1">
      <alignment horizontal="center" vertical="center" wrapText="1"/>
    </xf>
    <xf numFmtId="178" fontId="127" fillId="44" borderId="13" xfId="0" applyFont="1" applyFill="1" applyBorder="1" applyAlignment="1">
      <alignment horizontal="center" vertical="center" wrapText="1"/>
    </xf>
    <xf numFmtId="178" fontId="99" fillId="49" borderId="13" xfId="0" applyFont="1" applyFill="1" applyBorder="1" applyAlignment="1">
      <alignment horizontal="center" vertical="center" wrapText="1"/>
    </xf>
    <xf numFmtId="178" fontId="170" fillId="49" borderId="16" xfId="0" applyNumberFormat="1" applyFont="1" applyFill="1" applyBorder="1" applyAlignment="1">
      <alignment horizontal="center"/>
    </xf>
    <xf numFmtId="178" fontId="170" fillId="49" borderId="44" xfId="0" applyNumberFormat="1" applyFont="1" applyFill="1" applyBorder="1" applyAlignment="1">
      <alignment horizontal="center"/>
    </xf>
    <xf numFmtId="178" fontId="170" fillId="49" borderId="17" xfId="0" applyNumberFormat="1" applyFont="1" applyFill="1" applyBorder="1" applyAlignment="1">
      <alignment horizontal="center"/>
    </xf>
    <xf numFmtId="178" fontId="0" fillId="0" borderId="0" xfId="0" applyAlignment="1">
      <alignment horizontal="left" wrapText="1"/>
    </xf>
    <xf numFmtId="178" fontId="84" fillId="29" borderId="46" xfId="0" applyFont="1" applyFill="1" applyBorder="1" applyAlignment="1">
      <alignment horizontal="center" vertical="center" wrapText="1"/>
    </xf>
    <xf numFmtId="178" fontId="84" fillId="29" borderId="15" xfId="0" applyFont="1" applyFill="1" applyBorder="1" applyAlignment="1">
      <alignment horizontal="center" vertical="center" wrapText="1"/>
    </xf>
    <xf numFmtId="178" fontId="84" fillId="29" borderId="20" xfId="0" applyFont="1" applyFill="1" applyBorder="1" applyAlignment="1">
      <alignment horizontal="center" vertical="center" wrapText="1"/>
    </xf>
    <xf numFmtId="186" fontId="171" fillId="49" borderId="13" xfId="492" applyFont="1" applyFill="1" applyBorder="1" applyAlignment="1">
      <alignment horizontal="center" vertical="center" wrapText="1"/>
    </xf>
    <xf numFmtId="186" fontId="90" fillId="49" borderId="13" xfId="492" applyFont="1" applyFill="1" applyBorder="1" applyAlignment="1">
      <alignment horizontal="center" vertical="center" wrapText="1"/>
    </xf>
    <xf numFmtId="0" fontId="108" fillId="49" borderId="16" xfId="0" applyNumberFormat="1" applyFont="1" applyFill="1" applyBorder="1" applyAlignment="1">
      <alignment horizontal="center" vertical="center" wrapText="1"/>
    </xf>
    <xf numFmtId="0" fontId="108" fillId="49" borderId="44" xfId="0" applyNumberFormat="1" applyFont="1" applyFill="1" applyBorder="1" applyAlignment="1">
      <alignment horizontal="center" vertical="center"/>
    </xf>
    <xf numFmtId="0" fontId="108" fillId="49" borderId="17" xfId="0" applyNumberFormat="1" applyFont="1" applyFill="1" applyBorder="1" applyAlignment="1">
      <alignment horizontal="center" vertical="center"/>
    </xf>
    <xf numFmtId="178" fontId="90" fillId="44" borderId="13" xfId="0" applyFont="1" applyFill="1" applyBorder="1" applyAlignment="1">
      <alignment horizontal="center" vertical="center" wrapText="1"/>
    </xf>
    <xf numFmtId="178" fontId="62" fillId="28" borderId="12" xfId="0" applyFont="1" applyFill="1" applyBorder="1" applyAlignment="1">
      <alignment horizontal="left" vertical="center" wrapText="1"/>
    </xf>
    <xf numFmtId="178" fontId="108" fillId="44" borderId="13" xfId="0" applyFont="1" applyFill="1" applyBorder="1" applyAlignment="1">
      <alignment horizontal="center" vertical="center" wrapText="1"/>
    </xf>
    <xf numFmtId="168" fontId="63" fillId="49" borderId="13" xfId="339" applyNumberFormat="1" applyFont="1" applyFill="1" applyBorder="1" applyAlignment="1">
      <alignment horizontal="center" vertical="center" wrapText="1"/>
    </xf>
    <xf numFmtId="178" fontId="103" fillId="28" borderId="0" xfId="0" applyFont="1" applyFill="1" applyBorder="1" applyAlignment="1">
      <alignment horizontal="left" vertical="center" wrapText="1"/>
    </xf>
    <xf numFmtId="178" fontId="108" fillId="47" borderId="13" xfId="0" applyFont="1" applyFill="1" applyBorder="1" applyAlignment="1">
      <alignment horizontal="center" vertical="center" wrapText="1"/>
    </xf>
    <xf numFmtId="178" fontId="99" fillId="44" borderId="13" xfId="0" applyFont="1" applyFill="1" applyBorder="1" applyAlignment="1">
      <alignment horizontal="center" vertical="top" wrapText="1"/>
    </xf>
    <xf numFmtId="178" fontId="103" fillId="28" borderId="12" xfId="0" applyFont="1" applyFill="1" applyBorder="1" applyAlignment="1">
      <alignment horizontal="left" vertical="center" wrapText="1"/>
    </xf>
    <xf numFmtId="178" fontId="99" fillId="49" borderId="16" xfId="0" applyFont="1" applyFill="1" applyBorder="1" applyAlignment="1">
      <alignment horizontal="center" vertical="center" wrapText="1"/>
    </xf>
    <xf numFmtId="178" fontId="99" fillId="49" borderId="44" xfId="0" applyFont="1" applyFill="1" applyBorder="1" applyAlignment="1">
      <alignment horizontal="center" vertical="center" wrapText="1"/>
    </xf>
    <xf numFmtId="178" fontId="99" fillId="49" borderId="17" xfId="0" applyFont="1" applyFill="1" applyBorder="1" applyAlignment="1">
      <alignment horizontal="center" vertical="center" wrapText="1"/>
    </xf>
    <xf numFmtId="178" fontId="62" fillId="0" borderId="0" xfId="0" applyFont="1" applyFill="1" applyBorder="1" applyAlignment="1">
      <alignment horizontal="left" vertical="center" wrapText="1"/>
    </xf>
    <xf numFmtId="178" fontId="99" fillId="47" borderId="13" xfId="0" applyFont="1" applyFill="1" applyBorder="1" applyAlignment="1">
      <alignment horizontal="center" vertical="center" wrapText="1"/>
    </xf>
    <xf numFmtId="178" fontId="111" fillId="47" borderId="13" xfId="0" applyFont="1" applyFill="1" applyBorder="1" applyAlignment="1">
      <alignment horizontal="center" vertical="center" wrapText="1"/>
    </xf>
    <xf numFmtId="178" fontId="108" fillId="33" borderId="13" xfId="0" applyFont="1" applyFill="1" applyBorder="1" applyAlignment="1">
      <alignment horizontal="center" vertical="center" wrapText="1"/>
    </xf>
    <xf numFmtId="178" fontId="75" fillId="0" borderId="12" xfId="0" applyFont="1" applyBorder="1" applyAlignment="1">
      <alignment horizontal="left" vertical="center" wrapText="1"/>
    </xf>
    <xf numFmtId="178" fontId="75" fillId="0" borderId="12" xfId="0" applyFont="1" applyBorder="1" applyAlignment="1">
      <alignment horizontal="left" vertical="center"/>
    </xf>
    <xf numFmtId="178" fontId="75" fillId="0" borderId="0" xfId="0" applyFont="1" applyBorder="1" applyAlignment="1">
      <alignment horizontal="left" vertical="center"/>
    </xf>
    <xf numFmtId="178" fontId="99" fillId="46" borderId="13" xfId="389" applyFont="1" applyFill="1" applyBorder="1" applyAlignment="1">
      <alignment horizontal="center" vertical="top" wrapText="1"/>
    </xf>
    <xf numFmtId="178" fontId="99" fillId="44" borderId="16" xfId="389" applyFont="1" applyFill="1" applyBorder="1" applyAlignment="1">
      <alignment horizontal="center" vertical="center" wrapText="1"/>
    </xf>
    <xf numFmtId="178" fontId="99" fillId="44" borderId="44" xfId="389" applyFont="1" applyFill="1" applyBorder="1" applyAlignment="1">
      <alignment horizontal="center" vertical="center" wrapText="1"/>
    </xf>
    <xf numFmtId="178" fontId="99" fillId="47" borderId="16" xfId="389" applyFont="1" applyFill="1" applyBorder="1" applyAlignment="1">
      <alignment horizontal="center" vertical="center" wrapText="1"/>
    </xf>
    <xf numFmtId="178" fontId="99" fillId="47" borderId="44" xfId="389" applyFont="1" applyFill="1" applyBorder="1" applyAlignment="1">
      <alignment horizontal="center" vertical="center" wrapText="1"/>
    </xf>
    <xf numFmtId="178" fontId="99" fillId="47" borderId="17" xfId="389" applyFont="1" applyFill="1" applyBorder="1" applyAlignment="1">
      <alignment horizontal="center" vertical="center" wrapText="1"/>
    </xf>
    <xf numFmtId="178" fontId="99" fillId="47" borderId="13" xfId="389" applyFont="1" applyFill="1" applyBorder="1" applyAlignment="1">
      <alignment horizontal="center" vertical="center"/>
    </xf>
    <xf numFmtId="178" fontId="159" fillId="49" borderId="19" xfId="0" applyFont="1" applyFill="1" applyBorder="1" applyAlignment="1">
      <alignment horizontal="center" vertical="center" wrapText="1"/>
    </xf>
    <xf numFmtId="178" fontId="159" fillId="49" borderId="14" xfId="0" applyFont="1" applyFill="1" applyBorder="1" applyAlignment="1">
      <alignment horizontal="center" vertical="center" wrapText="1"/>
    </xf>
    <xf numFmtId="178" fontId="159" fillId="49" borderId="16" xfId="0" applyFont="1" applyFill="1" applyBorder="1" applyAlignment="1">
      <alignment horizontal="center" vertical="center" wrapText="1"/>
    </xf>
    <xf numFmtId="178" fontId="159" fillId="49" borderId="44" xfId="0" applyFont="1" applyFill="1" applyBorder="1" applyAlignment="1">
      <alignment horizontal="center" vertical="center" wrapText="1"/>
    </xf>
    <xf numFmtId="178" fontId="159" fillId="49" borderId="17" xfId="0" applyFont="1" applyFill="1" applyBorder="1" applyAlignment="1">
      <alignment horizontal="center" vertical="center" wrapText="1"/>
    </xf>
    <xf numFmtId="178" fontId="159" fillId="49" borderId="13" xfId="0" applyFont="1" applyFill="1" applyBorder="1" applyAlignment="1">
      <alignment horizontal="center" vertical="center" wrapText="1"/>
    </xf>
    <xf numFmtId="178" fontId="63" fillId="49" borderId="13" xfId="0" applyFont="1" applyFill="1" applyBorder="1" applyAlignment="1">
      <alignment horizontal="center" vertical="center" wrapText="1"/>
    </xf>
    <xf numFmtId="178" fontId="90" fillId="44" borderId="13" xfId="0" applyFont="1" applyFill="1" applyBorder="1" applyAlignment="1">
      <alignment horizontal="center" vertical="top" wrapText="1"/>
    </xf>
    <xf numFmtId="178" fontId="108" fillId="44" borderId="13" xfId="0" applyNumberFormat="1" applyFont="1" applyFill="1" applyBorder="1" applyAlignment="1">
      <alignment horizontal="center" vertical="center"/>
    </xf>
    <xf numFmtId="178" fontId="69" fillId="47" borderId="16" xfId="0" applyFont="1" applyFill="1" applyBorder="1" applyAlignment="1">
      <alignment horizontal="center" vertical="center" wrapText="1"/>
    </xf>
    <xf numFmtId="178" fontId="69" fillId="47" borderId="44" xfId="0" applyFont="1" applyFill="1" applyBorder="1" applyAlignment="1">
      <alignment horizontal="center" vertical="center" wrapText="1"/>
    </xf>
    <xf numFmtId="178" fontId="69" fillId="47" borderId="17" xfId="0" applyFont="1" applyFill="1" applyBorder="1" applyAlignment="1">
      <alignment horizontal="center" vertical="center" wrapText="1"/>
    </xf>
    <xf numFmtId="178" fontId="103" fillId="28" borderId="0" xfId="0" applyFont="1" applyFill="1" applyBorder="1" applyAlignment="1">
      <alignment horizontal="left" vertical="top" wrapText="1"/>
    </xf>
    <xf numFmtId="178" fontId="83" fillId="27" borderId="13" xfId="0" applyNumberFormat="1" applyFont="1" applyFill="1" applyBorder="1" applyAlignment="1">
      <alignment horizontal="center" vertical="center"/>
    </xf>
    <xf numFmtId="178" fontId="108" fillId="49" borderId="13" xfId="0" applyNumberFormat="1" applyFont="1" applyFill="1" applyBorder="1" applyAlignment="1">
      <alignment horizontal="center" vertical="center"/>
    </xf>
    <xf numFmtId="178" fontId="106" fillId="32" borderId="46" xfId="0" applyFont="1" applyFill="1" applyBorder="1" applyAlignment="1">
      <alignment horizontal="center" vertical="center" wrapText="1"/>
    </xf>
    <xf numFmtId="178" fontId="106" fillId="32" borderId="15" xfId="0" applyFont="1" applyFill="1" applyBorder="1" applyAlignment="1">
      <alignment horizontal="center" vertical="center" wrapText="1"/>
    </xf>
    <xf numFmtId="178" fontId="106" fillId="32" borderId="20" xfId="0" applyFont="1" applyFill="1" applyBorder="1" applyAlignment="1">
      <alignment horizontal="center" vertical="center" wrapText="1"/>
    </xf>
    <xf numFmtId="178" fontId="103" fillId="0" borderId="0" xfId="0" applyNumberFormat="1" applyFont="1" applyBorder="1" applyAlignment="1">
      <alignment horizontal="left" vertical="top" wrapText="1"/>
    </xf>
    <xf numFmtId="178" fontId="61" fillId="32" borderId="13" xfId="0" applyNumberFormat="1" applyFont="1" applyFill="1" applyBorder="1" applyAlignment="1">
      <alignment horizontal="center" vertical="center"/>
    </xf>
    <xf numFmtId="0" fontId="108" fillId="44" borderId="16" xfId="627" applyFont="1" applyFill="1" applyBorder="1" applyAlignment="1">
      <alignment horizontal="center" vertical="center" wrapText="1"/>
    </xf>
    <xf numFmtId="0" fontId="108" fillId="44" borderId="44" xfId="627" applyFont="1" applyFill="1" applyBorder="1" applyAlignment="1">
      <alignment horizontal="center" vertical="center" wrapText="1"/>
    </xf>
    <xf numFmtId="0" fontId="108" fillId="44" borderId="17" xfId="627" applyFont="1" applyFill="1" applyBorder="1" applyAlignment="1">
      <alignment horizontal="center" vertical="center" wrapText="1"/>
    </xf>
    <xf numFmtId="0" fontId="108" fillId="49" borderId="16" xfId="627" applyFont="1" applyFill="1" applyBorder="1" applyAlignment="1">
      <alignment horizontal="center" vertical="center" wrapText="1"/>
    </xf>
    <xf numFmtId="0" fontId="142" fillId="49" borderId="44" xfId="627" applyFont="1" applyFill="1" applyBorder="1" applyAlignment="1">
      <alignment horizontal="center" vertical="center"/>
    </xf>
    <xf numFmtId="178" fontId="0" fillId="0" borderId="12" xfId="0" applyBorder="1" applyAlignment="1">
      <alignment horizontal="left"/>
    </xf>
    <xf numFmtId="178" fontId="29" fillId="28" borderId="0" xfId="0" applyFont="1" applyFill="1" applyBorder="1" applyAlignment="1">
      <alignment horizontal="center"/>
    </xf>
    <xf numFmtId="178" fontId="90" fillId="49" borderId="13" xfId="0" applyFont="1" applyFill="1" applyBorder="1" applyAlignment="1">
      <alignment horizontal="center" vertical="center" wrapText="1"/>
    </xf>
    <xf numFmtId="178" fontId="29" fillId="0" borderId="0" xfId="0" applyFont="1" applyFill="1" applyBorder="1" applyAlignment="1">
      <alignment horizontal="center"/>
    </xf>
    <xf numFmtId="178" fontId="155" fillId="0" borderId="0" xfId="0" applyFont="1" applyBorder="1" applyAlignment="1">
      <alignment horizontal="center"/>
    </xf>
    <xf numFmtId="178" fontId="108" fillId="47" borderId="16" xfId="447" applyFont="1" applyFill="1" applyBorder="1" applyAlignment="1">
      <alignment horizontal="center" vertical="center" wrapText="1"/>
    </xf>
    <xf numFmtId="178" fontId="108" fillId="47" borderId="44" xfId="447" applyFont="1" applyFill="1" applyBorder="1" applyAlignment="1">
      <alignment horizontal="center" vertical="center" wrapText="1"/>
    </xf>
    <xf numFmtId="178" fontId="108" fillId="47" borderId="17" xfId="447" applyFont="1" applyFill="1" applyBorder="1" applyAlignment="1">
      <alignment horizontal="center" vertical="center" wrapText="1"/>
    </xf>
    <xf numFmtId="178" fontId="66" fillId="0" borderId="0" xfId="449" applyFont="1" applyBorder="1" applyAlignment="1">
      <alignment horizontal="left" vertical="top"/>
    </xf>
    <xf numFmtId="178" fontId="62" fillId="28" borderId="12" xfId="0" applyFont="1" applyFill="1" applyBorder="1" applyAlignment="1">
      <alignment horizontal="left" vertical="center" wrapText="1" readingOrder="1"/>
    </xf>
    <xf numFmtId="0" fontId="108" fillId="47" borderId="16" xfId="580" applyFont="1" applyFill="1" applyBorder="1" applyAlignment="1">
      <alignment horizontal="center" vertical="center" wrapText="1"/>
    </xf>
    <xf numFmtId="0" fontId="108" fillId="47" borderId="44" xfId="580" applyFont="1" applyFill="1" applyBorder="1" applyAlignment="1">
      <alignment horizontal="center" vertical="center"/>
    </xf>
    <xf numFmtId="0" fontId="76" fillId="0" borderId="11" xfId="580" applyFont="1" applyBorder="1" applyAlignment="1">
      <alignment horizontal="center" vertical="center"/>
    </xf>
    <xf numFmtId="0" fontId="207" fillId="0" borderId="68" xfId="692" applyFont="1" applyFill="1" applyBorder="1" applyAlignment="1">
      <alignment horizontal="left" vertical="justify" wrapText="1"/>
    </xf>
    <xf numFmtId="0" fontId="207" fillId="0" borderId="0" xfId="692" applyFont="1" applyAlignment="1">
      <alignment horizontal="left" vertical="justify" wrapText="1"/>
    </xf>
    <xf numFmtId="0" fontId="207" fillId="0" borderId="0" xfId="692" applyFont="1" applyFill="1" applyAlignment="1">
      <alignment horizontal="left" vertical="justify" wrapText="1"/>
    </xf>
    <xf numFmtId="0" fontId="30" fillId="0" borderId="0" xfId="363" applyFont="1" applyAlignment="1">
      <alignment horizontal="center"/>
    </xf>
    <xf numFmtId="0" fontId="198" fillId="0" borderId="0" xfId="691" applyFont="1" applyFill="1" applyBorder="1" applyAlignment="1">
      <alignment horizontal="center" vertical="center" wrapText="1"/>
    </xf>
    <xf numFmtId="0" fontId="199" fillId="0" borderId="0" xfId="691" applyFont="1" applyFill="1" applyBorder="1" applyAlignment="1">
      <alignment horizontal="center" vertical="center" wrapText="1"/>
    </xf>
    <xf numFmtId="0" fontId="157" fillId="26" borderId="63" xfId="691" applyFont="1" applyFill="1" applyBorder="1" applyAlignment="1">
      <alignment horizontal="center" vertical="center" wrapText="1"/>
    </xf>
    <xf numFmtId="0" fontId="157" fillId="26" borderId="64" xfId="691" applyFont="1" applyFill="1" applyBorder="1" applyAlignment="1">
      <alignment horizontal="center" vertical="center" wrapText="1"/>
    </xf>
    <xf numFmtId="0" fontId="157" fillId="26" borderId="55" xfId="691" applyFont="1" applyFill="1" applyBorder="1" applyAlignment="1">
      <alignment horizontal="center" vertical="center" wrapText="1"/>
    </xf>
    <xf numFmtId="0" fontId="157" fillId="26" borderId="0" xfId="691" applyFont="1" applyFill="1" applyBorder="1" applyAlignment="1">
      <alignment horizontal="center" vertical="center" wrapText="1"/>
    </xf>
    <xf numFmtId="178" fontId="99" fillId="49" borderId="16" xfId="451" applyFont="1" applyFill="1" applyBorder="1" applyAlignment="1">
      <alignment horizontal="center" vertical="center" wrapText="1"/>
    </xf>
    <xf numFmtId="178" fontId="99" fillId="49" borderId="44" xfId="451" applyFont="1" applyFill="1" applyBorder="1" applyAlignment="1">
      <alignment horizontal="center" vertical="center" wrapText="1"/>
    </xf>
    <xf numFmtId="178" fontId="99" fillId="49" borderId="17" xfId="451" applyFont="1" applyFill="1" applyBorder="1" applyAlignment="1">
      <alignment horizontal="center" vertical="center" wrapText="1"/>
    </xf>
    <xf numFmtId="178" fontId="103" fillId="28" borderId="12" xfId="451" applyFont="1" applyFill="1" applyBorder="1" applyAlignment="1">
      <alignment horizontal="left" vertical="top" wrapText="1"/>
    </xf>
    <xf numFmtId="178" fontId="90" fillId="49" borderId="16" xfId="637" applyFont="1" applyFill="1" applyBorder="1" applyAlignment="1">
      <alignment horizontal="center" vertical="center" wrapText="1"/>
    </xf>
    <xf numFmtId="178" fontId="90" fillId="49" borderId="44" xfId="637" applyFont="1" applyFill="1" applyBorder="1" applyAlignment="1">
      <alignment horizontal="center" vertical="center" wrapText="1"/>
    </xf>
    <xf numFmtId="178" fontId="90" fillId="49" borderId="17" xfId="637" applyFont="1" applyFill="1" applyBorder="1" applyAlignment="1">
      <alignment horizontal="center" vertical="center" wrapText="1"/>
    </xf>
    <xf numFmtId="178" fontId="72" fillId="0" borderId="0" xfId="634" applyFont="1" applyBorder="1" applyAlignment="1">
      <alignment horizontal="left" vertical="top" wrapText="1"/>
    </xf>
    <xf numFmtId="178" fontId="111" fillId="49" borderId="16" xfId="634" applyFont="1" applyFill="1" applyBorder="1" applyAlignment="1">
      <alignment horizontal="center" vertical="center" wrapText="1"/>
    </xf>
    <xf numFmtId="178" fontId="111" fillId="49" borderId="44" xfId="634" applyFont="1" applyFill="1" applyBorder="1" applyAlignment="1">
      <alignment horizontal="center" vertical="center" wrapText="1"/>
    </xf>
    <xf numFmtId="178" fontId="111" fillId="49" borderId="17" xfId="634" applyFont="1" applyFill="1" applyBorder="1" applyAlignment="1">
      <alignment horizontal="center" vertical="center" wrapText="1"/>
    </xf>
    <xf numFmtId="178" fontId="65" fillId="32" borderId="13" xfId="0" applyFont="1" applyFill="1" applyBorder="1" applyAlignment="1">
      <alignment horizontal="center" vertical="center" wrapText="1"/>
    </xf>
    <xf numFmtId="43" fontId="63" fillId="49" borderId="16" xfId="0" applyNumberFormat="1" applyFont="1" applyFill="1" applyBorder="1" applyAlignment="1">
      <alignment horizontal="center" vertical="center" wrapText="1"/>
    </xf>
    <xf numFmtId="43" fontId="63" fillId="49" borderId="44" xfId="0" applyNumberFormat="1" applyFont="1" applyFill="1" applyBorder="1" applyAlignment="1">
      <alignment horizontal="center" vertical="center" wrapText="1"/>
    </xf>
    <xf numFmtId="43" fontId="63" fillId="49" borderId="17" xfId="0" applyNumberFormat="1" applyFont="1" applyFill="1" applyBorder="1" applyAlignment="1">
      <alignment horizontal="center" vertical="center" wrapText="1"/>
    </xf>
    <xf numFmtId="43" fontId="111" fillId="49" borderId="16" xfId="0" applyNumberFormat="1" applyFont="1" applyFill="1" applyBorder="1" applyAlignment="1">
      <alignment horizontal="center" vertical="center" wrapText="1"/>
    </xf>
    <xf numFmtId="43" fontId="111" fillId="49" borderId="44" xfId="0" applyNumberFormat="1" applyFont="1" applyFill="1" applyBorder="1" applyAlignment="1">
      <alignment horizontal="center" vertical="center" wrapText="1"/>
    </xf>
    <xf numFmtId="43" fontId="111" fillId="49" borderId="17" xfId="0" applyNumberFormat="1" applyFont="1" applyFill="1" applyBorder="1" applyAlignment="1">
      <alignment horizontal="center" vertical="center" wrapText="1"/>
    </xf>
    <xf numFmtId="43" fontId="60" fillId="27" borderId="16" xfId="0" applyNumberFormat="1" applyFont="1" applyFill="1" applyBorder="1" applyAlignment="1">
      <alignment horizontal="center" vertical="center" wrapText="1"/>
    </xf>
    <xf numFmtId="43" fontId="60" fillId="27" borderId="44" xfId="0" applyNumberFormat="1" applyFont="1" applyFill="1" applyBorder="1" applyAlignment="1">
      <alignment horizontal="center" vertical="center" wrapText="1"/>
    </xf>
    <xf numFmtId="43" fontId="83" fillId="27" borderId="19" xfId="0" applyNumberFormat="1" applyFont="1" applyFill="1" applyBorder="1" applyAlignment="1">
      <alignment horizontal="center" vertical="center" wrapText="1"/>
    </xf>
    <xf numFmtId="43" fontId="83" fillId="27" borderId="14" xfId="0" applyNumberFormat="1" applyFont="1" applyFill="1" applyBorder="1" applyAlignment="1">
      <alignment horizontal="center" vertical="center" wrapText="1"/>
    </xf>
    <xf numFmtId="178" fontId="111" fillId="47" borderId="13" xfId="0" applyNumberFormat="1" applyFont="1" applyFill="1" applyBorder="1" applyAlignment="1">
      <alignment horizontal="center" vertical="center"/>
    </xf>
    <xf numFmtId="178" fontId="111" fillId="47" borderId="19" xfId="0" applyNumberFormat="1" applyFont="1" applyFill="1" applyBorder="1" applyAlignment="1" applyProtection="1">
      <alignment horizontal="center" vertical="center"/>
    </xf>
    <xf numFmtId="178" fontId="111" fillId="47" borderId="14" xfId="0" applyNumberFormat="1" applyFont="1" applyFill="1" applyBorder="1" applyAlignment="1" applyProtection="1">
      <alignment horizontal="center" vertical="center"/>
    </xf>
    <xf numFmtId="178" fontId="63" fillId="47" borderId="13" xfId="0" applyFont="1" applyFill="1" applyBorder="1" applyAlignment="1">
      <alignment horizontal="center" vertical="center" wrapText="1"/>
    </xf>
    <xf numFmtId="178" fontId="75" fillId="0" borderId="12" xfId="0" applyNumberFormat="1" applyFont="1" applyFill="1" applyBorder="1" applyAlignment="1">
      <alignment horizontal="left" vertical="top" wrapText="1"/>
    </xf>
    <xf numFmtId="43" fontId="99" fillId="49" borderId="13" xfId="0" applyNumberFormat="1" applyFont="1" applyFill="1" applyBorder="1" applyAlignment="1">
      <alignment horizontal="center" vertical="center" wrapText="1"/>
    </xf>
    <xf numFmtId="43" fontId="99" fillId="49" borderId="13" xfId="0" applyNumberFormat="1" applyFont="1" applyFill="1" applyBorder="1" applyAlignment="1">
      <alignment horizontal="center" vertical="center"/>
    </xf>
    <xf numFmtId="43" fontId="108" fillId="49" borderId="40" xfId="324" applyNumberFormat="1" applyFont="1" applyFill="1" applyBorder="1" applyAlignment="1">
      <alignment horizontal="center" vertical="center" wrapText="1"/>
    </xf>
    <xf numFmtId="43" fontId="108" fillId="49" borderId="0" xfId="324" applyNumberFormat="1" applyFont="1" applyFill="1" applyBorder="1" applyAlignment="1">
      <alignment horizontal="center" vertical="center" wrapText="1"/>
    </xf>
    <xf numFmtId="178" fontId="102" fillId="28" borderId="0" xfId="0" applyFont="1" applyFill="1" applyBorder="1" applyAlignment="1">
      <alignment horizontal="left" vertical="center" wrapText="1"/>
    </xf>
    <xf numFmtId="178" fontId="102" fillId="32" borderId="13" xfId="0" applyFont="1" applyFill="1" applyBorder="1" applyAlignment="1">
      <alignment horizontal="center" vertical="center" wrapText="1"/>
    </xf>
    <xf numFmtId="178" fontId="84" fillId="0" borderId="44" xfId="0" applyFont="1" applyFill="1" applyBorder="1" applyAlignment="1">
      <alignment horizontal="center" vertical="center" wrapText="1"/>
    </xf>
    <xf numFmtId="178" fontId="84" fillId="0" borderId="17" xfId="0" applyFont="1" applyFill="1" applyBorder="1" applyAlignment="1">
      <alignment horizontal="center" vertical="center" wrapText="1"/>
    </xf>
    <xf numFmtId="49" fontId="69" fillId="49" borderId="16" xfId="0" applyNumberFormat="1" applyFont="1" applyFill="1" applyBorder="1" applyAlignment="1">
      <alignment horizontal="center" vertical="center" wrapText="1"/>
    </xf>
    <xf numFmtId="49" fontId="69" fillId="49" borderId="44" xfId="0" applyNumberFormat="1" applyFont="1" applyFill="1" applyBorder="1" applyAlignment="1">
      <alignment horizontal="center" vertical="center" wrapText="1"/>
    </xf>
    <xf numFmtId="49" fontId="69" fillId="49" borderId="17" xfId="0" applyNumberFormat="1" applyFont="1" applyFill="1" applyBorder="1" applyAlignment="1">
      <alignment horizontal="center" vertical="center" wrapText="1"/>
    </xf>
    <xf numFmtId="49" fontId="61" fillId="32" borderId="16" xfId="0" applyNumberFormat="1" applyFont="1" applyFill="1" applyBorder="1" applyAlignment="1">
      <alignment horizontal="center" vertical="center" wrapText="1"/>
    </xf>
    <xf numFmtId="49" fontId="61" fillId="32" borderId="44" xfId="0" applyNumberFormat="1" applyFont="1" applyFill="1" applyBorder="1" applyAlignment="1">
      <alignment horizontal="center" vertical="center" wrapText="1"/>
    </xf>
    <xf numFmtId="49" fontId="61" fillId="32" borderId="17" xfId="0" applyNumberFormat="1" applyFont="1" applyFill="1" applyBorder="1" applyAlignment="1">
      <alignment horizontal="center" vertical="center" wrapText="1"/>
    </xf>
    <xf numFmtId="178" fontId="102" fillId="0" borderId="34" xfId="0" applyFont="1" applyFill="1" applyBorder="1" applyAlignment="1">
      <alignment horizontal="center" vertical="center" wrapText="1"/>
    </xf>
    <xf numFmtId="178" fontId="102" fillId="0" borderId="11" xfId="0" applyFont="1" applyFill="1" applyBorder="1" applyAlignment="1">
      <alignment horizontal="center" vertical="center" wrapText="1"/>
    </xf>
    <xf numFmtId="178" fontId="93" fillId="34" borderId="13" xfId="0" applyFont="1" applyFill="1" applyBorder="1" applyAlignment="1">
      <alignment horizontal="center" vertical="center" wrapText="1"/>
    </xf>
    <xf numFmtId="178" fontId="102" fillId="42" borderId="13" xfId="0" applyFont="1" applyFill="1" applyBorder="1" applyAlignment="1">
      <alignment horizontal="center" vertical="center" wrapText="1"/>
    </xf>
    <xf numFmtId="49" fontId="68" fillId="34" borderId="13" xfId="0" applyNumberFormat="1" applyFont="1" applyFill="1" applyBorder="1" applyAlignment="1">
      <alignment horizontal="center" vertical="center" wrapText="1"/>
    </xf>
    <xf numFmtId="178" fontId="69" fillId="47" borderId="13" xfId="0" applyFont="1" applyFill="1" applyBorder="1" applyAlignment="1">
      <alignment horizontal="center" vertical="center" wrapText="1"/>
    </xf>
    <xf numFmtId="49" fontId="61" fillId="34" borderId="34" xfId="0" applyNumberFormat="1" applyFont="1" applyFill="1" applyBorder="1" applyAlignment="1">
      <alignment horizontal="center" vertical="center" wrapText="1"/>
    </xf>
    <xf numFmtId="49" fontId="61" fillId="34" borderId="11" xfId="0" applyNumberFormat="1" applyFont="1" applyFill="1" applyBorder="1" applyAlignment="1">
      <alignment horizontal="center" vertical="center" wrapText="1"/>
    </xf>
    <xf numFmtId="49" fontId="61" fillId="34" borderId="43" xfId="0" applyNumberFormat="1" applyFont="1" applyFill="1" applyBorder="1" applyAlignment="1">
      <alignment horizontal="center" vertical="center" wrapText="1"/>
    </xf>
    <xf numFmtId="178" fontId="106" fillId="48" borderId="13" xfId="0" applyFont="1" applyFill="1" applyBorder="1" applyAlignment="1">
      <alignment horizontal="center" vertical="center" wrapText="1"/>
    </xf>
    <xf numFmtId="178" fontId="111" fillId="47" borderId="19" xfId="0" applyFont="1" applyFill="1" applyBorder="1" applyAlignment="1">
      <alignment horizontal="center" vertical="center" wrapText="1"/>
    </xf>
    <xf numFmtId="178" fontId="102" fillId="0" borderId="16" xfId="0" applyFont="1" applyFill="1" applyBorder="1" applyAlignment="1">
      <alignment horizontal="center" vertical="center" wrapText="1"/>
    </xf>
    <xf numFmtId="178" fontId="102" fillId="0" borderId="44" xfId="0" applyFont="1" applyFill="1" applyBorder="1" applyAlignment="1">
      <alignment horizontal="center" vertical="center" wrapText="1"/>
    </xf>
    <xf numFmtId="178" fontId="102" fillId="0" borderId="17" xfId="0" applyFont="1" applyFill="1" applyBorder="1" applyAlignment="1">
      <alignment horizontal="center" vertical="center" wrapText="1"/>
    </xf>
    <xf numFmtId="49" fontId="63" fillId="49" borderId="34" xfId="0" applyNumberFormat="1" applyFont="1" applyFill="1" applyBorder="1" applyAlignment="1">
      <alignment horizontal="center" vertical="center" wrapText="1"/>
    </xf>
    <xf numFmtId="49" fontId="63" fillId="49" borderId="11" xfId="0" applyNumberFormat="1" applyFont="1" applyFill="1" applyBorder="1" applyAlignment="1">
      <alignment horizontal="center" vertical="center" wrapText="1"/>
    </xf>
    <xf numFmtId="49" fontId="63" fillId="49" borderId="43" xfId="0" applyNumberFormat="1" applyFont="1" applyFill="1" applyBorder="1" applyAlignment="1">
      <alignment horizontal="center" vertical="center" wrapText="1"/>
    </xf>
    <xf numFmtId="49" fontId="69" fillId="49" borderId="13" xfId="0" applyNumberFormat="1" applyFont="1" applyFill="1" applyBorder="1" applyAlignment="1">
      <alignment horizontal="center" vertical="center" wrapText="1"/>
    </xf>
    <xf numFmtId="178" fontId="12" fillId="0" borderId="0" xfId="0" applyFont="1" applyBorder="1" applyAlignment="1">
      <alignment horizontal="left" vertical="top" wrapText="1"/>
    </xf>
    <xf numFmtId="178" fontId="0" fillId="0" borderId="0" xfId="0" applyFont="1" applyBorder="1" applyAlignment="1">
      <alignment horizontal="left" vertical="top" wrapText="1"/>
    </xf>
    <xf numFmtId="49" fontId="111" fillId="49" borderId="16" xfId="0" applyNumberFormat="1" applyFont="1" applyFill="1" applyBorder="1" applyAlignment="1">
      <alignment horizontal="center" vertical="center" wrapText="1"/>
    </xf>
    <xf numFmtId="49" fontId="111" fillId="49" borderId="44" xfId="0" applyNumberFormat="1" applyFont="1" applyFill="1" applyBorder="1" applyAlignment="1">
      <alignment horizontal="center" vertical="center" wrapText="1"/>
    </xf>
    <xf numFmtId="49" fontId="111" fillId="49" borderId="17" xfId="0" applyNumberFormat="1" applyFont="1" applyFill="1" applyBorder="1" applyAlignment="1">
      <alignment horizontal="center" vertical="center" wrapText="1"/>
    </xf>
    <xf numFmtId="49" fontId="69" fillId="49" borderId="34" xfId="0" applyNumberFormat="1" applyFont="1" applyFill="1" applyBorder="1" applyAlignment="1">
      <alignment horizontal="center" vertical="center" wrapText="1"/>
    </xf>
    <xf numFmtId="49" fontId="69" fillId="49" borderId="11" xfId="0" applyNumberFormat="1" applyFont="1" applyFill="1" applyBorder="1" applyAlignment="1">
      <alignment horizontal="center" vertical="center" wrapText="1"/>
    </xf>
    <xf numFmtId="49" fontId="69" fillId="49" borderId="43" xfId="0" applyNumberFormat="1" applyFont="1" applyFill="1" applyBorder="1" applyAlignment="1">
      <alignment horizontal="center" vertical="center" wrapText="1"/>
    </xf>
    <xf numFmtId="178" fontId="111" fillId="49" borderId="34" xfId="0" applyFont="1" applyFill="1" applyBorder="1" applyAlignment="1">
      <alignment horizontal="center" vertical="center" wrapText="1"/>
    </xf>
    <xf numFmtId="178" fontId="111" fillId="49" borderId="11" xfId="0" applyFont="1" applyFill="1" applyBorder="1" applyAlignment="1">
      <alignment horizontal="center" vertical="center"/>
    </xf>
    <xf numFmtId="49" fontId="108" fillId="49" borderId="13" xfId="0" applyNumberFormat="1" applyFont="1" applyFill="1" applyBorder="1" applyAlignment="1">
      <alignment horizontal="center" vertical="center" wrapText="1"/>
    </xf>
    <xf numFmtId="178" fontId="102" fillId="0" borderId="41" xfId="0" applyFont="1" applyFill="1" applyBorder="1" applyAlignment="1">
      <alignment horizontal="center" vertical="center" wrapText="1"/>
    </xf>
    <xf numFmtId="178" fontId="102" fillId="0" borderId="12" xfId="0" applyFont="1" applyFill="1" applyBorder="1" applyAlignment="1">
      <alignment horizontal="center" vertical="center" wrapText="1"/>
    </xf>
    <xf numFmtId="178" fontId="93" fillId="32" borderId="13" xfId="0" applyFont="1" applyFill="1" applyBorder="1" applyAlignment="1">
      <alignment horizontal="center" vertical="center" wrapText="1"/>
    </xf>
    <xf numFmtId="49" fontId="102" fillId="34" borderId="16" xfId="0" applyNumberFormat="1" applyFont="1" applyFill="1" applyBorder="1" applyAlignment="1">
      <alignment horizontal="center" vertical="center" wrapText="1"/>
    </xf>
    <xf numFmtId="49" fontId="102" fillId="34" borderId="44" xfId="0" applyNumberFormat="1" applyFont="1" applyFill="1" applyBorder="1" applyAlignment="1">
      <alignment horizontal="center" vertical="center" wrapText="1"/>
    </xf>
    <xf numFmtId="49" fontId="102" fillId="34" borderId="17" xfId="0" applyNumberFormat="1" applyFont="1" applyFill="1" applyBorder="1" applyAlignment="1">
      <alignment horizontal="center" vertical="center" wrapText="1"/>
    </xf>
    <xf numFmtId="49" fontId="83" fillId="0" borderId="12" xfId="0" applyNumberFormat="1" applyFont="1" applyFill="1" applyBorder="1" applyAlignment="1">
      <alignment horizontal="center" vertical="center" wrapText="1"/>
    </xf>
    <xf numFmtId="178" fontId="0" fillId="0" borderId="0" xfId="0" applyFont="1" applyAlignment="1">
      <alignment horizontal="left" vertical="center" wrapText="1"/>
    </xf>
    <xf numFmtId="178" fontId="72" fillId="0" borderId="44" xfId="0" applyNumberFormat="1" applyFont="1" applyBorder="1" applyAlignment="1">
      <alignment horizontal="left" vertical="center" wrapText="1"/>
    </xf>
    <xf numFmtId="178" fontId="94" fillId="0" borderId="0" xfId="0" applyNumberFormat="1" applyFont="1" applyBorder="1" applyAlignment="1">
      <alignment horizontal="left" vertical="top"/>
    </xf>
    <xf numFmtId="43" fontId="111" fillId="49" borderId="13" xfId="0" applyNumberFormat="1" applyFont="1" applyFill="1" applyBorder="1" applyAlignment="1">
      <alignment horizontal="center" vertical="center" wrapText="1"/>
    </xf>
    <xf numFmtId="43" fontId="94" fillId="0" borderId="12" xfId="0" applyNumberFormat="1" applyFont="1" applyBorder="1" applyAlignment="1">
      <alignment horizontal="left" vertical="center" wrapText="1"/>
    </xf>
    <xf numFmtId="43" fontId="111" fillId="31" borderId="13" xfId="0" applyNumberFormat="1" applyFont="1" applyFill="1" applyBorder="1" applyAlignment="1">
      <alignment horizontal="center" vertical="center"/>
    </xf>
    <xf numFmtId="43" fontId="99" fillId="31" borderId="16" xfId="0" applyNumberFormat="1" applyFont="1" applyFill="1" applyBorder="1" applyAlignment="1">
      <alignment horizontal="center" vertical="center"/>
    </xf>
    <xf numFmtId="43" fontId="99" fillId="31" borderId="44" xfId="0" applyNumberFormat="1" applyFont="1" applyFill="1" applyBorder="1" applyAlignment="1">
      <alignment horizontal="center" vertical="center"/>
    </xf>
    <xf numFmtId="43" fontId="99" fillId="31" borderId="17" xfId="0" applyNumberFormat="1" applyFont="1" applyFill="1" applyBorder="1" applyAlignment="1">
      <alignment horizontal="center" vertical="center"/>
    </xf>
    <xf numFmtId="43" fontId="72" fillId="0" borderId="0" xfId="0" applyNumberFormat="1" applyFont="1" applyBorder="1" applyAlignment="1">
      <alignment horizontal="left" vertical="top" wrapText="1"/>
    </xf>
    <xf numFmtId="43" fontId="72" fillId="0" borderId="0" xfId="0" applyNumberFormat="1" applyFont="1" applyBorder="1" applyAlignment="1">
      <alignment horizontal="left" vertical="top"/>
    </xf>
    <xf numFmtId="178" fontId="78" fillId="0" borderId="12" xfId="0" applyNumberFormat="1" applyFont="1" applyBorder="1" applyAlignment="1">
      <alignment horizontal="left" vertical="center" wrapText="1"/>
    </xf>
    <xf numFmtId="178" fontId="78" fillId="0" borderId="0" xfId="0" applyNumberFormat="1" applyFont="1" applyBorder="1" applyAlignment="1">
      <alignment horizontal="left" vertical="center"/>
    </xf>
    <xf numFmtId="43" fontId="99" fillId="31" borderId="13" xfId="0" applyNumberFormat="1" applyFont="1" applyFill="1" applyBorder="1" applyAlignment="1">
      <alignment horizontal="center"/>
    </xf>
    <xf numFmtId="43" fontId="99" fillId="49" borderId="13" xfId="0" applyNumberFormat="1" applyFont="1" applyFill="1" applyBorder="1" applyAlignment="1">
      <alignment horizontal="center"/>
    </xf>
    <xf numFmtId="178" fontId="72" fillId="0" borderId="0" xfId="0" applyFont="1" applyBorder="1" applyAlignment="1">
      <alignment horizontal="left" vertical="center"/>
    </xf>
    <xf numFmtId="178" fontId="69" fillId="31" borderId="13" xfId="0" applyFont="1" applyFill="1" applyBorder="1" applyAlignment="1">
      <alignment horizontal="center" vertical="center" wrapText="1"/>
    </xf>
    <xf numFmtId="178" fontId="69" fillId="31" borderId="13" xfId="660" applyFont="1" applyFill="1" applyBorder="1" applyAlignment="1">
      <alignment horizontal="center" vertical="center" wrapText="1"/>
    </xf>
    <xf numFmtId="0" fontId="108" fillId="49" borderId="13" xfId="438" applyFont="1" applyFill="1" applyBorder="1" applyAlignment="1">
      <alignment horizontal="center" vertical="center" wrapText="1"/>
    </xf>
    <xf numFmtId="0" fontId="60" fillId="0" borderId="0" xfId="663" applyFont="1" applyAlignment="1">
      <alignment horizontal="center"/>
    </xf>
    <xf numFmtId="0" fontId="109" fillId="49" borderId="13" xfId="438" applyFont="1" applyFill="1" applyBorder="1" applyAlignment="1">
      <alignment horizontal="center" vertical="center" wrapText="1"/>
    </xf>
    <xf numFmtId="0" fontId="129" fillId="46" borderId="13" xfId="438" applyFont="1" applyFill="1" applyBorder="1" applyAlignment="1">
      <alignment horizontal="center" vertical="center" wrapText="1"/>
    </xf>
    <xf numFmtId="0" fontId="108" fillId="46" borderId="16" xfId="438" applyFont="1" applyFill="1" applyBorder="1" applyAlignment="1">
      <alignment horizontal="center" vertical="center" wrapText="1"/>
    </xf>
    <xf numFmtId="0" fontId="108" fillId="46" borderId="44" xfId="438" applyFont="1" applyFill="1" applyBorder="1" applyAlignment="1">
      <alignment horizontal="center" vertical="center" wrapText="1"/>
    </xf>
    <xf numFmtId="0" fontId="108" fillId="46" borderId="17" xfId="438" applyFont="1" applyFill="1" applyBorder="1" applyAlignment="1">
      <alignment horizontal="center" vertical="center" wrapText="1"/>
    </xf>
    <xf numFmtId="0" fontId="108" fillId="47" borderId="16" xfId="438" applyFont="1" applyFill="1" applyBorder="1" applyAlignment="1">
      <alignment horizontal="center" vertical="center" wrapText="1"/>
    </xf>
    <xf numFmtId="0" fontId="108" fillId="47" borderId="44" xfId="438" applyFont="1" applyFill="1" applyBorder="1" applyAlignment="1">
      <alignment horizontal="center" vertical="center" wrapText="1"/>
    </xf>
    <xf numFmtId="0" fontId="124" fillId="47" borderId="13" xfId="657" applyFont="1" applyFill="1" applyBorder="1" applyAlignment="1">
      <alignment horizontal="center" vertical="center" wrapText="1"/>
    </xf>
  </cellXfs>
  <cellStyles count="1090">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88"/>
    <cellStyle name="Comma 2 4" xfId="255"/>
    <cellStyle name="Comma 2 4 2" xfId="256"/>
    <cellStyle name="Comma 2 4 3" xfId="257"/>
    <cellStyle name="Comma 2 4 4" xfId="258"/>
    <cellStyle name="Comma 2 4 5" xfId="259"/>
    <cellStyle name="Comma 2 4 6" xfId="68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87"/>
    <cellStyle name="Comma 4" xfId="280"/>
    <cellStyle name="Comma 5" xfId="281"/>
    <cellStyle name="Comma 5 2" xfId="686"/>
    <cellStyle name="Comma 6" xfId="282"/>
    <cellStyle name="Comma 7" xfId="283"/>
    <cellStyle name="Comma 8" xfId="284"/>
    <cellStyle name="Comma 9" xfId="285"/>
    <cellStyle name="Currency 2 2" xfId="678"/>
    <cellStyle name="Currency 2 3" xfId="679"/>
    <cellStyle name="Currency 2 4" xfId="680"/>
    <cellStyle name="Currency 2 5" xfId="681"/>
    <cellStyle name="Currency_CI-Prov" xfId="695"/>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96"/>
    <cellStyle name="Euro 4" xfId="1039"/>
    <cellStyle name="Euro 4 2" xfId="1051"/>
    <cellStyle name="Explanatory Text" xfId="304"/>
    <cellStyle name="Explanatory Text 2" xfId="305"/>
    <cellStyle name="Followed Hyperlink" xfId="1026"/>
    <cellStyle name="Followed Hyperlink 2" xfId="1027"/>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1028"/>
    <cellStyle name="Hyperlink 2" xfId="1029"/>
    <cellStyle name="Incorrecto 2" xfId="318"/>
    <cellStyle name="Incorrecto 2 2" xfId="319"/>
    <cellStyle name="Input" xfId="320"/>
    <cellStyle name="Input 2" xfId="321"/>
    <cellStyle name="Linked Cell" xfId="322"/>
    <cellStyle name="Linked Cell 2" xfId="323"/>
    <cellStyle name="Millares" xfId="324" builtinId="3"/>
    <cellStyle name="Millares 10" xfId="697"/>
    <cellStyle name="Millares 10 2" xfId="608"/>
    <cellStyle name="Millares 10 2 2" xfId="698"/>
    <cellStyle name="Millares 10 2 2 2" xfId="699"/>
    <cellStyle name="Millares 10 2 2 2 2" xfId="700"/>
    <cellStyle name="Millares 10 2 2 3" xfId="701"/>
    <cellStyle name="Millares 10 2 3" xfId="702"/>
    <cellStyle name="Millares 10 2 3 2" xfId="703"/>
    <cellStyle name="Millares 10 2 4" xfId="704"/>
    <cellStyle name="Millares 10 2 5" xfId="705"/>
    <cellStyle name="Millares 10 3" xfId="706"/>
    <cellStyle name="Millares 11" xfId="707"/>
    <cellStyle name="Millares 11 2" xfId="708"/>
    <cellStyle name="Millares 11 3" xfId="709"/>
    <cellStyle name="Millares 11 4" xfId="710"/>
    <cellStyle name="Millares 11 5" xfId="711"/>
    <cellStyle name="Millares 11 6" xfId="712"/>
    <cellStyle name="Millares 11 7" xfId="713"/>
    <cellStyle name="Millares 11 8" xfId="714"/>
    <cellStyle name="Millares 11 9" xfId="715"/>
    <cellStyle name="Millares 12" xfId="1032"/>
    <cellStyle name="Millares 12 2" xfId="1046"/>
    <cellStyle name="Millares 13" xfId="716"/>
    <cellStyle name="Millares 13 10" xfId="1047"/>
    <cellStyle name="Millares 13 12" xfId="717"/>
    <cellStyle name="Millares 13 13" xfId="718"/>
    <cellStyle name="Millares 13 2" xfId="719"/>
    <cellStyle name="Millares 13 2 2" xfId="720"/>
    <cellStyle name="Millares 13 2 2 2" xfId="721"/>
    <cellStyle name="Millares 13 2 3" xfId="722"/>
    <cellStyle name="Millares 13 3" xfId="723"/>
    <cellStyle name="Millares 13 3 2" xfId="724"/>
    <cellStyle name="Millares 13 4" xfId="725"/>
    <cellStyle name="Millares 13 5" xfId="726"/>
    <cellStyle name="Millares 13 6" xfId="727"/>
    <cellStyle name="Millares 13 7" xfId="728"/>
    <cellStyle name="Millares 13 8" xfId="729"/>
    <cellStyle name="Millares 13 9" xfId="694"/>
    <cellStyle name="Millares 14" xfId="1040"/>
    <cellStyle name="Millares 14 2" xfId="1052"/>
    <cellStyle name="Millares 15" xfId="325"/>
    <cellStyle name="Millares 16" xfId="1042"/>
    <cellStyle name="Millares 16 2" xfId="1083"/>
    <cellStyle name="Millares 17" xfId="1084"/>
    <cellStyle name="Millares 2" xfId="326"/>
    <cellStyle name="Millares 2 10" xfId="658"/>
    <cellStyle name="Millares 2 2" xfId="327"/>
    <cellStyle name="Millares 2 2 2" xfId="730"/>
    <cellStyle name="Millares 2 2 3" xfId="731"/>
    <cellStyle name="Millares 2 3" xfId="328"/>
    <cellStyle name="Millares 2 3 2" xfId="693"/>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32"/>
    <cellStyle name="Millares 3 3" xfId="733"/>
    <cellStyle name="Millares 3 4" xfId="734"/>
    <cellStyle name="Millares 3 5" xfId="735"/>
    <cellStyle name="Millares 3 6" xfId="736"/>
    <cellStyle name="Millares 3 7" xfId="737"/>
    <cellStyle name="Millares 3 8" xfId="738"/>
    <cellStyle name="Millares 4" xfId="337"/>
    <cellStyle name="Millares 4 2" xfId="739"/>
    <cellStyle name="Millares 5" xfId="338"/>
    <cellStyle name="Millares 5 2" xfId="339"/>
    <cellStyle name="Millares 6" xfId="340"/>
    <cellStyle name="Millares 6 2" xfId="585"/>
    <cellStyle name="Millares 6 3" xfId="740"/>
    <cellStyle name="Millares 6 4" xfId="741"/>
    <cellStyle name="Millares 6 5" xfId="742"/>
    <cellStyle name="Millares 6 6" xfId="743"/>
    <cellStyle name="Millares 6 7" xfId="744"/>
    <cellStyle name="Millares 7" xfId="341"/>
    <cellStyle name="Millares 7 2" xfId="342"/>
    <cellStyle name="Millares 7 2 2" xfId="745"/>
    <cellStyle name="Millares 7 3" xfId="659"/>
    <cellStyle name="Millares 7 4" xfId="746"/>
    <cellStyle name="Millares 7 5" xfId="747"/>
    <cellStyle name="Millares 7 6" xfId="748"/>
    <cellStyle name="Millares 7 7" xfId="749"/>
    <cellStyle name="Millares 7 8" xfId="750"/>
    <cellStyle name="Millares 8" xfId="343"/>
    <cellStyle name="Millares 8 2" xfId="751"/>
    <cellStyle name="Millares 9" xfId="628"/>
    <cellStyle name="Millares 9 2" xfId="655"/>
    <cellStyle name="Millares 9 2 2" xfId="752"/>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50"/>
    <cellStyle name="Normal 10 2 3" xfId="632"/>
    <cellStyle name="Normal 10 3" xfId="350"/>
    <cellStyle name="Normal 10 3 2" xfId="351"/>
    <cellStyle name="Normal 10 4" xfId="352"/>
    <cellStyle name="Normal 10 5" xfId="691"/>
    <cellStyle name="Normal 100" xfId="685"/>
    <cellStyle name="Normal 101" xfId="1025"/>
    <cellStyle name="Normal 101 2" xfId="1053"/>
    <cellStyle name="Normal 102" xfId="1030"/>
    <cellStyle name="Normal 102 2" xfId="1054"/>
    <cellStyle name="Normal 103" xfId="1031"/>
    <cellStyle name="Normal 103 2" xfId="1055"/>
    <cellStyle name="Normal 104" xfId="1035"/>
    <cellStyle name="Normal 104 2" xfId="1056"/>
    <cellStyle name="Normal 105" xfId="1036"/>
    <cellStyle name="Normal 106" xfId="1037"/>
    <cellStyle name="Normal 107" xfId="1038"/>
    <cellStyle name="Normal 107 2" xfId="1057"/>
    <cellStyle name="Normal 108" xfId="1079"/>
    <cellStyle name="Normal 109" xfId="1080"/>
    <cellStyle name="Normal 11" xfId="353"/>
    <cellStyle name="Normal 11 2" xfId="354"/>
    <cellStyle name="Normal 11 2 2" xfId="355"/>
    <cellStyle name="Normal 11 2 2 2" xfId="753"/>
    <cellStyle name="Normal 11 2 2 2 2" xfId="754"/>
    <cellStyle name="Normal 11 2 2 3" xfId="755"/>
    <cellStyle name="Normal 11 2 3" xfId="756"/>
    <cellStyle name="Normal 11 2 3 2" xfId="757"/>
    <cellStyle name="Normal 11 2 4" xfId="758"/>
    <cellStyle name="Normal 11 3" xfId="356"/>
    <cellStyle name="Normal 11 3 2" xfId="759"/>
    <cellStyle name="Normal 11 3 2 2" xfId="760"/>
    <cellStyle name="Normal 11 3 2 2 2" xfId="761"/>
    <cellStyle name="Normal 11 3 2 3" xfId="762"/>
    <cellStyle name="Normal 11 3 3" xfId="763"/>
    <cellStyle name="Normal 11 3 3 2" xfId="764"/>
    <cellStyle name="Normal 11 3 4" xfId="765"/>
    <cellStyle name="Normal 11 4" xfId="766"/>
    <cellStyle name="Normal 11 4 2" xfId="767"/>
    <cellStyle name="Normal 11 4 2 2" xfId="768"/>
    <cellStyle name="Normal 11 4 3" xfId="769"/>
    <cellStyle name="Normal 11 5" xfId="770"/>
    <cellStyle name="Normal 11 5 2" xfId="771"/>
    <cellStyle name="Normal 11 6" xfId="772"/>
    <cellStyle name="Normal 110" xfId="1086"/>
    <cellStyle name="Normal 111" xfId="1087"/>
    <cellStyle name="Normal 112" xfId="1043"/>
    <cellStyle name="Normal 113" xfId="1088"/>
    <cellStyle name="Normal 12" xfId="357"/>
    <cellStyle name="Normal 12 2" xfId="358"/>
    <cellStyle name="Normal 12 2 2" xfId="359"/>
    <cellStyle name="Normal 12 2 2 2" xfId="773"/>
    <cellStyle name="Normal 12 2 3" xfId="774"/>
    <cellStyle name="Normal 12 3" xfId="360"/>
    <cellStyle name="Normal 12 3 2" xfId="775"/>
    <cellStyle name="Normal 12 4" xfId="776"/>
    <cellStyle name="Normal 13" xfId="361"/>
    <cellStyle name="Normal 13 2" xfId="362"/>
    <cellStyle name="Normal 13 2 2" xfId="363"/>
    <cellStyle name="Normal 13 2 2 2" xfId="777"/>
    <cellStyle name="Normal 13 2 3" xfId="778"/>
    <cellStyle name="Normal 13 2 4" xfId="779"/>
    <cellStyle name="Normal 13 3" xfId="364"/>
    <cellStyle name="Normal 13 3 2" xfId="780"/>
    <cellStyle name="Normal 13 4" xfId="781"/>
    <cellStyle name="Normal 13 5" xfId="782"/>
    <cellStyle name="Normal 13 6" xfId="783"/>
    <cellStyle name="Normal 13 7" xfId="784"/>
    <cellStyle name="Normal 13 8" xfId="785"/>
    <cellStyle name="Normal 14" xfId="365"/>
    <cellStyle name="Normal 14 2" xfId="366"/>
    <cellStyle name="Normal 14 2 2" xfId="367"/>
    <cellStyle name="Normal 14 2 2 2" xfId="786"/>
    <cellStyle name="Normal 14 2 3" xfId="787"/>
    <cellStyle name="Normal 14 3" xfId="368"/>
    <cellStyle name="Normal 14 3 2" xfId="788"/>
    <cellStyle name="Normal 14 4" xfId="789"/>
    <cellStyle name="Normal 15" xfId="369"/>
    <cellStyle name="Normal 15 2" xfId="370"/>
    <cellStyle name="Normal 15 2 2" xfId="371"/>
    <cellStyle name="Normal 15 2 2 2" xfId="790"/>
    <cellStyle name="Normal 15 2 3" xfId="791"/>
    <cellStyle name="Normal 15 3" xfId="372"/>
    <cellStyle name="Normal 15 3 2" xfId="792"/>
    <cellStyle name="Normal 15 4" xfId="793"/>
    <cellStyle name="Normal 16" xfId="373"/>
    <cellStyle name="Normal 16 2" xfId="374"/>
    <cellStyle name="Normal 16 2 2" xfId="375"/>
    <cellStyle name="Normal 16 2 2 2" xfId="794"/>
    <cellStyle name="Normal 16 2 3" xfId="795"/>
    <cellStyle name="Normal 16 3" xfId="376"/>
    <cellStyle name="Normal 16 3 2" xfId="796"/>
    <cellStyle name="Normal 16 4" xfId="797"/>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8"/>
    <cellStyle name="Normal 18 5" xfId="799"/>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657"/>
    <cellStyle name="Normal 2 16" xfId="615"/>
    <cellStyle name="Normal 2 16 2" xfId="1078"/>
    <cellStyle name="Normal 2 16 3" xfId="1081"/>
    <cellStyle name="Normal 2 16 4" xfId="1049"/>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800"/>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801"/>
    <cellStyle name="Normal 20 5" xfId="802"/>
    <cellStyle name="Normal 21" xfId="439"/>
    <cellStyle name="Normal 21 2" xfId="440"/>
    <cellStyle name="Normal 21 2 2" xfId="441"/>
    <cellStyle name="Normal 21 3" xfId="442"/>
    <cellStyle name="Normal 22" xfId="443"/>
    <cellStyle name="Normal 22 2" xfId="444"/>
    <cellStyle name="Normal 22 2 2" xfId="803"/>
    <cellStyle name="Normal 22 3" xfId="633"/>
    <cellStyle name="Normal 23" xfId="445"/>
    <cellStyle name="Normal 23 2" xfId="446"/>
    <cellStyle name="Normal 23 2 2" xfId="804"/>
    <cellStyle name="Normal 23 3" xfId="805"/>
    <cellStyle name="Normal 23 4" xfId="806"/>
    <cellStyle name="Normal 23 5" xfId="807"/>
    <cellStyle name="Normal 23 6" xfId="1082"/>
    <cellStyle name="Normal 24" xfId="447"/>
    <cellStyle name="Normal 24 2" xfId="448"/>
    <cellStyle name="Normal 24 3" xfId="664"/>
    <cellStyle name="Normal 25" xfId="449"/>
    <cellStyle name="Normal 25 2" xfId="450"/>
    <cellStyle name="Normal 25 3" xfId="665"/>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8"/>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9"/>
    <cellStyle name="Normal 4 11" xfId="810"/>
    <cellStyle name="Normal 4 12" xfId="811"/>
    <cellStyle name="Normal 4 2" xfId="481"/>
    <cellStyle name="Normal 4 2 2" xfId="482"/>
    <cellStyle name="Normal 4 2 2 2" xfId="483"/>
    <cellStyle name="Normal 4 2 2 2 2" xfId="812"/>
    <cellStyle name="Normal 4 2 2 3" xfId="813"/>
    <cellStyle name="Normal 4 2 3" xfId="484"/>
    <cellStyle name="Normal 4 2 3 2" xfId="814"/>
    <cellStyle name="Normal 4 2 4" xfId="815"/>
    <cellStyle name="Normal 4 3" xfId="485"/>
    <cellStyle name="Normal 4 3 2" xfId="816"/>
    <cellStyle name="Normal 4 3 2 2" xfId="817"/>
    <cellStyle name="Normal 4 3 2 2 2" xfId="818"/>
    <cellStyle name="Normal 4 3 2 3" xfId="819"/>
    <cellStyle name="Normal 4 3 3" xfId="820"/>
    <cellStyle name="Normal 4 3 3 2" xfId="821"/>
    <cellStyle name="Normal 4 3 4" xfId="822"/>
    <cellStyle name="Normal 4 4" xfId="486"/>
    <cellStyle name="Normal 4 4 2" xfId="823"/>
    <cellStyle name="Normal 4 4 2 2" xfId="824"/>
    <cellStyle name="Normal 4 4 2 2 2" xfId="825"/>
    <cellStyle name="Normal 4 4 2 3" xfId="826"/>
    <cellStyle name="Normal 4 4 3" xfId="827"/>
    <cellStyle name="Normal 4 4 3 2" xfId="828"/>
    <cellStyle name="Normal 4 4 4" xfId="829"/>
    <cellStyle name="Normal 4 5" xfId="487"/>
    <cellStyle name="Normal 4 5 2" xfId="830"/>
    <cellStyle name="Normal 4 5 2 2" xfId="831"/>
    <cellStyle name="Normal 4 5 2 2 2" xfId="832"/>
    <cellStyle name="Normal 4 5 2 3" xfId="833"/>
    <cellStyle name="Normal 4 5 3" xfId="834"/>
    <cellStyle name="Normal 4 5 3 2" xfId="835"/>
    <cellStyle name="Normal 4 5 4" xfId="836"/>
    <cellStyle name="Normal 4 6" xfId="488"/>
    <cellStyle name="Normal 4 6 2" xfId="837"/>
    <cellStyle name="Normal 4 6 2 2" xfId="838"/>
    <cellStyle name="Normal 4 6 2 2 2" xfId="839"/>
    <cellStyle name="Normal 4 6 2 3" xfId="840"/>
    <cellStyle name="Normal 4 6 3" xfId="841"/>
    <cellStyle name="Normal 4 6 3 2" xfId="842"/>
    <cellStyle name="Normal 4 6 4" xfId="843"/>
    <cellStyle name="Normal 4 7" xfId="844"/>
    <cellStyle name="Normal 4 7 2" xfId="845"/>
    <cellStyle name="Normal 4 7 2 2" xfId="846"/>
    <cellStyle name="Normal 4 7 2 2 2" xfId="847"/>
    <cellStyle name="Normal 4 7 2 3" xfId="848"/>
    <cellStyle name="Normal 4 7 3" xfId="849"/>
    <cellStyle name="Normal 4 7 3 2" xfId="850"/>
    <cellStyle name="Normal 4 7 4" xfId="851"/>
    <cellStyle name="Normal 4 8" xfId="852"/>
    <cellStyle name="Normal 4 8 2" xfId="853"/>
    <cellStyle name="Normal 4 8 2 2" xfId="854"/>
    <cellStyle name="Normal 4 8 3" xfId="855"/>
    <cellStyle name="Normal 4 9" xfId="856"/>
    <cellStyle name="Normal 4 9 2" xfId="857"/>
    <cellStyle name="Normal 4 9 2 2" xfId="858"/>
    <cellStyle name="Normal 4 9 2 2 2" xfId="859"/>
    <cellStyle name="Normal 4 9 3" xfId="1033"/>
    <cellStyle name="Normal 40" xfId="489"/>
    <cellStyle name="Normal 40 2" xfId="600"/>
    <cellStyle name="Normal 41" xfId="490"/>
    <cellStyle name="Normal 41 2" xfId="491"/>
    <cellStyle name="Normal 42" xfId="492"/>
    <cellStyle name="Normal 42 2" xfId="860"/>
    <cellStyle name="Normal 43" xfId="580"/>
    <cellStyle name="Normal 43 2" xfId="602"/>
    <cellStyle name="Normal 43 3" xfId="666"/>
    <cellStyle name="Normal 44" xfId="603"/>
    <cellStyle name="Normal 44 2" xfId="861"/>
    <cellStyle name="Normal 45" xfId="605"/>
    <cellStyle name="Normal 45 2" xfId="629"/>
    <cellStyle name="Normal 46" xfId="606"/>
    <cellStyle name="Normal 46 2" xfId="654"/>
    <cellStyle name="Normal 47" xfId="607"/>
    <cellStyle name="Normal 47 2" xfId="656"/>
    <cellStyle name="Normal 48" xfId="609"/>
    <cellStyle name="Normal 48 2" xfId="690"/>
    <cellStyle name="Normal 49" xfId="610"/>
    <cellStyle name="Normal 49 2" xfId="862"/>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3"/>
    <cellStyle name="Normal 5 8" xfId="506"/>
    <cellStyle name="Normal 5 8 2" xfId="864"/>
    <cellStyle name="Normal 5 8 2 2" xfId="865"/>
    <cellStyle name="Normal 5 8 3" xfId="866"/>
    <cellStyle name="Normal 5 9" xfId="507"/>
    <cellStyle name="Normal 5 9 2" xfId="867"/>
    <cellStyle name="Normal 50" xfId="611"/>
    <cellStyle name="Normal 50 2" xfId="1044"/>
    <cellStyle name="Normal 51" xfId="613"/>
    <cellStyle name="Normal 51 2" xfId="635"/>
    <cellStyle name="Normal 51 3" xfId="1045"/>
    <cellStyle name="Normal 52" xfId="614"/>
    <cellStyle name="Normal 52 2" xfId="868"/>
    <cellStyle name="Normal 52 3" xfId="1058"/>
    <cellStyle name="Normal 53" xfId="616"/>
    <cellStyle name="Normal 53 2" xfId="1059"/>
    <cellStyle name="Normal 54" xfId="617"/>
    <cellStyle name="Normal 54 2" xfId="1060"/>
    <cellStyle name="Normal 55" xfId="618"/>
    <cellStyle name="Normal 55 2" xfId="1061"/>
    <cellStyle name="Normal 56" xfId="619"/>
    <cellStyle name="Normal 56 2" xfId="1062"/>
    <cellStyle name="Normal 57" xfId="620"/>
    <cellStyle name="Normal 57 2" xfId="1063"/>
    <cellStyle name="Normal 58" xfId="621"/>
    <cellStyle name="Normal 58 2" xfId="1064"/>
    <cellStyle name="Normal 59" xfId="622"/>
    <cellStyle name="Normal 59 2" xfId="1065"/>
    <cellStyle name="Normal 6" xfId="508"/>
    <cellStyle name="Normal 6 10" xfId="869"/>
    <cellStyle name="Normal 6 11" xfId="870"/>
    <cellStyle name="Normal 6 12" xfId="871"/>
    <cellStyle name="Normal 6 2" xfId="509"/>
    <cellStyle name="Normal 6 2 2" xfId="510"/>
    <cellStyle name="Normal 6 2 2 2" xfId="872"/>
    <cellStyle name="Normal 6 2 2 2 2" xfId="873"/>
    <cellStyle name="Normal 6 2 2 3" xfId="874"/>
    <cellStyle name="Normal 6 2 3" xfId="875"/>
    <cellStyle name="Normal 6 2 3 2" xfId="876"/>
    <cellStyle name="Normal 6 2 4" xfId="877"/>
    <cellStyle name="Normal 6 3" xfId="511"/>
    <cellStyle name="Normal 6 3 2" xfId="512"/>
    <cellStyle name="Normal 6 3 2 2" xfId="878"/>
    <cellStyle name="Normal 6 3 2 2 2" xfId="879"/>
    <cellStyle name="Normal 6 3 2 3" xfId="880"/>
    <cellStyle name="Normal 6 3 3" xfId="881"/>
    <cellStyle name="Normal 6 3 3 2" xfId="882"/>
    <cellStyle name="Normal 6 3 4" xfId="883"/>
    <cellStyle name="Normal 6 4" xfId="513"/>
    <cellStyle name="Normal 6 4 2" xfId="584"/>
    <cellStyle name="Normal 6 4 2 2" xfId="884"/>
    <cellStyle name="Normal 6 4 2 2 2" xfId="885"/>
    <cellStyle name="Normal 6 4 2 3" xfId="886"/>
    <cellStyle name="Normal 6 4 3" xfId="887"/>
    <cellStyle name="Normal 6 4 3 2" xfId="888"/>
    <cellStyle name="Normal 6 4 4" xfId="889"/>
    <cellStyle name="Normal 6 5" xfId="514"/>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5"/>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6"/>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3"/>
    <cellStyle name="Normal 60 2" xfId="1066"/>
    <cellStyle name="Normal 61" xfId="624"/>
    <cellStyle name="Normal 61 2" xfId="1067"/>
    <cellStyle name="Normal 62" xfId="625"/>
    <cellStyle name="Normal 62 2" xfId="1068"/>
    <cellStyle name="Normal 63" xfId="626"/>
    <cellStyle name="Normal 63 2" xfId="1069"/>
    <cellStyle name="Normal 64" xfId="630"/>
    <cellStyle name="Normal 64 2" xfId="1070"/>
    <cellStyle name="Normal 65" xfId="627"/>
    <cellStyle name="Normal 65 2" xfId="1071"/>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684"/>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692"/>
    <cellStyle name="Normal 8 4" xfId="533"/>
    <cellStyle name="Normal 8 5" xfId="534"/>
    <cellStyle name="Normal 8 6" xfId="535"/>
    <cellStyle name="Normal 8 7" xfId="536"/>
    <cellStyle name="Normal 80" xfId="650"/>
    <cellStyle name="Normal 81" xfId="651"/>
    <cellStyle name="Normal 82" xfId="652"/>
    <cellStyle name="Normal 83" xfId="653"/>
    <cellStyle name="Normal 83 2" xfId="1072"/>
    <cellStyle name="Normal 84" xfId="660"/>
    <cellStyle name="Normal 85" xfId="661"/>
    <cellStyle name="Normal 85 2" xfId="1073"/>
    <cellStyle name="Normal 86" xfId="662"/>
    <cellStyle name="Normal 86 2" xfId="1074"/>
    <cellStyle name="Normal 87" xfId="663"/>
    <cellStyle name="Normal 87 2" xfId="667"/>
    <cellStyle name="Normal 87 3" xfId="1075"/>
    <cellStyle name="Normal 88" xfId="668"/>
    <cellStyle name="Normal 89" xfId="669"/>
    <cellStyle name="Normal 9" xfId="537"/>
    <cellStyle name="Normal 9 2" xfId="538"/>
    <cellStyle name="Normal 9 2 2" xfId="539"/>
    <cellStyle name="Normal 9 2 2 2" xfId="917"/>
    <cellStyle name="Normal 9 2 2 2 2" xfId="918"/>
    <cellStyle name="Normal 9 2 2 3" xfId="919"/>
    <cellStyle name="Normal 9 2 3" xfId="920"/>
    <cellStyle name="Normal 9 2 3 2" xfId="921"/>
    <cellStyle name="Normal 9 2 4" xfId="922"/>
    <cellStyle name="Normal 9 3" xfId="540"/>
    <cellStyle name="Normal 9 3 2" xfId="541"/>
    <cellStyle name="Normal 9 3 2 2" xfId="923"/>
    <cellStyle name="Normal 9 3 3" xfId="924"/>
    <cellStyle name="Normal 9 4" xfId="542"/>
    <cellStyle name="Normal 9 4 2" xfId="925"/>
    <cellStyle name="Normal 9 5" xfId="543"/>
    <cellStyle name="Normal 9 6" xfId="544"/>
    <cellStyle name="Normal 9 7" xfId="545"/>
    <cellStyle name="Normal 90" xfId="670"/>
    <cellStyle name="Normal 91" xfId="671"/>
    <cellStyle name="Normal 92" xfId="672"/>
    <cellStyle name="Normal 93" xfId="673"/>
    <cellStyle name="Normal 94" xfId="674"/>
    <cellStyle name="Normal 95" xfId="675"/>
    <cellStyle name="Normal 96" xfId="676"/>
    <cellStyle name="Normal 97" xfId="677"/>
    <cellStyle name="Normal 97 2" xfId="1076"/>
    <cellStyle name="Normal 98" xfId="682"/>
    <cellStyle name="Normal 99" xfId="683"/>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1034"/>
    <cellStyle name="Porcentaje 3 2" xfId="1048"/>
    <cellStyle name="Porcentaje 4" xfId="1041"/>
    <cellStyle name="Porcentaje 4 2" xfId="1077"/>
    <cellStyle name="Porcentaje 5" xfId="1085"/>
    <cellStyle name="Porcentual 10" xfId="926"/>
    <cellStyle name="Porcentual 10 2" xfId="927"/>
    <cellStyle name="Porcentual 11" xfId="928"/>
    <cellStyle name="Porcentual 2" xfId="554"/>
    <cellStyle name="Porcentual 2 2" xfId="555"/>
    <cellStyle name="Porcentual 2 2 2" xfId="929"/>
    <cellStyle name="Porcentual 2 2 2 2" xfId="930"/>
    <cellStyle name="Porcentual 2 3" xfId="556"/>
    <cellStyle name="Porcentual 2 3 2" xfId="931"/>
    <cellStyle name="Porcentual 2 4" xfId="557"/>
    <cellStyle name="Porcentual 2 5" xfId="932"/>
    <cellStyle name="Porcentual 2 6" xfId="933"/>
    <cellStyle name="Porcentual 3" xfId="558"/>
    <cellStyle name="Porcentual 3 2" xfId="934"/>
    <cellStyle name="Porcentual 3 3" xfId="935"/>
    <cellStyle name="Porcentual 3 4" xfId="936"/>
    <cellStyle name="Porcentual 3 5" xfId="937"/>
    <cellStyle name="Porcentual 3 6" xfId="938"/>
    <cellStyle name="Porcentual 3 7" xfId="939"/>
    <cellStyle name="Porcentual 4" xfId="940"/>
    <cellStyle name="Porcentual 4 2" xfId="941"/>
    <cellStyle name="Porcentual 4 3" xfId="942"/>
    <cellStyle name="Porcentual 4 4" xfId="943"/>
    <cellStyle name="Porcentual 4 5" xfId="944"/>
    <cellStyle name="Porcentual 4 6" xfId="945"/>
    <cellStyle name="Porcentual 4 7" xfId="946"/>
    <cellStyle name="Porcentual 4 8" xfId="947"/>
    <cellStyle name="Porcentual 5" xfId="948"/>
    <cellStyle name="Porcentual 5 10" xfId="949"/>
    <cellStyle name="Porcentual 5 11" xfId="950"/>
    <cellStyle name="Porcentual 5 12" xfId="951"/>
    <cellStyle name="Porcentual 5 2" xfId="559"/>
    <cellStyle name="Porcentual 5 2 2" xfId="952"/>
    <cellStyle name="Porcentual 5 2 2 2" xfId="953"/>
    <cellStyle name="Porcentual 5 2 2 2 2" xfId="954"/>
    <cellStyle name="Porcentual 5 2 2 3" xfId="955"/>
    <cellStyle name="Porcentual 5 2 3" xfId="956"/>
    <cellStyle name="Porcentual 5 2 3 2" xfId="957"/>
    <cellStyle name="Porcentual 5 2 4" xfId="958"/>
    <cellStyle name="Porcentual 5 3" xfId="959"/>
    <cellStyle name="Porcentual 5 3 2" xfId="960"/>
    <cellStyle name="Porcentual 5 3 2 2" xfId="961"/>
    <cellStyle name="Porcentual 5 3 2 2 2" xfId="962"/>
    <cellStyle name="Porcentual 5 3 2 3" xfId="963"/>
    <cellStyle name="Porcentual 5 3 3" xfId="964"/>
    <cellStyle name="Porcentual 5 3 3 2" xfId="965"/>
    <cellStyle name="Porcentual 5 3 4" xfId="966"/>
    <cellStyle name="Porcentual 5 4" xfId="967"/>
    <cellStyle name="Porcentual 5 4 2" xfId="968"/>
    <cellStyle name="Porcentual 5 4 2 2" xfId="969"/>
    <cellStyle name="Porcentual 5 4 2 2 2" xfId="970"/>
    <cellStyle name="Porcentual 5 4 2 3" xfId="971"/>
    <cellStyle name="Porcentual 5 4 3" xfId="972"/>
    <cellStyle name="Porcentual 5 4 3 2" xfId="973"/>
    <cellStyle name="Porcentual 5 4 4" xfId="974"/>
    <cellStyle name="Porcentual 5 5" xfId="975"/>
    <cellStyle name="Porcentual 5 5 2" xfId="976"/>
    <cellStyle name="Porcentual 5 5 2 2" xfId="977"/>
    <cellStyle name="Porcentual 5 5 2 2 2" xfId="978"/>
    <cellStyle name="Porcentual 5 5 2 3" xfId="979"/>
    <cellStyle name="Porcentual 5 5 3" xfId="980"/>
    <cellStyle name="Porcentual 5 5 3 2" xfId="981"/>
    <cellStyle name="Porcentual 5 5 4" xfId="982"/>
    <cellStyle name="Porcentual 5 6" xfId="983"/>
    <cellStyle name="Porcentual 5 6 2" xfId="984"/>
    <cellStyle name="Porcentual 5 6 2 2" xfId="985"/>
    <cellStyle name="Porcentual 5 6 2 2 2" xfId="986"/>
    <cellStyle name="Porcentual 5 6 2 3" xfId="987"/>
    <cellStyle name="Porcentual 5 6 3" xfId="988"/>
    <cellStyle name="Porcentual 5 6 3 2" xfId="989"/>
    <cellStyle name="Porcentual 5 6 4" xfId="990"/>
    <cellStyle name="Porcentual 5 7" xfId="991"/>
    <cellStyle name="Porcentual 5 7 2" xfId="992"/>
    <cellStyle name="Porcentual 5 7 2 2" xfId="993"/>
    <cellStyle name="Porcentual 5 7 2 2 2" xfId="994"/>
    <cellStyle name="Porcentual 5 7 2 3" xfId="995"/>
    <cellStyle name="Porcentual 5 7 3" xfId="996"/>
    <cellStyle name="Porcentual 5 7 3 2" xfId="997"/>
    <cellStyle name="Porcentual 5 7 4" xfId="998"/>
    <cellStyle name="Porcentual 5 8" xfId="999"/>
    <cellStyle name="Porcentual 5 8 2" xfId="1000"/>
    <cellStyle name="Porcentual 5 8 2 2" xfId="1001"/>
    <cellStyle name="Porcentual 5 8 3" xfId="1002"/>
    <cellStyle name="Porcentual 5 9" xfId="1003"/>
    <cellStyle name="Porcentual 5 9 2" xfId="1004"/>
    <cellStyle name="Porcentual 6" xfId="1005"/>
    <cellStyle name="Porcentual 6 2" xfId="1006"/>
    <cellStyle name="Porcentual 6 2 2" xfId="1007"/>
    <cellStyle name="Porcentual 6 2 2 2" xfId="1008"/>
    <cellStyle name="Porcentual 6 2 2 2 2" xfId="1009"/>
    <cellStyle name="Porcentual 6 3" xfId="1010"/>
    <cellStyle name="Porcentual 7" xfId="1011"/>
    <cellStyle name="Porcentual 7 2" xfId="1012"/>
    <cellStyle name="Porcentual 8" xfId="1013"/>
    <cellStyle name="Porcentual 8 2" xfId="1014"/>
    <cellStyle name="Porcentual 9" xfId="1015"/>
    <cellStyle name="Porcentual 9 2" xfId="1016"/>
    <cellStyle name="Porcentual 9 2 2" xfId="1017"/>
    <cellStyle name="Porcentual 9 2 2 2" xfId="1018"/>
    <cellStyle name="Porcentual 9 2 2 2 2" xfId="1019"/>
    <cellStyle name="Porcentual 9 2 2 3" xfId="1020"/>
    <cellStyle name="Porcentual 9 2 3" xfId="1021"/>
    <cellStyle name="Porcentual 9 2 3 2" xfId="1022"/>
    <cellStyle name="Porcentual 9 2 4" xfId="1023"/>
    <cellStyle name="Porcentual 9 2 5" xfId="1024"/>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0066FF"/>
      <color rgb="FF3333FF"/>
      <color rgb="FF990099"/>
      <color rgb="FF249AA6"/>
      <color rgb="FF0BBF94"/>
      <color rgb="FFCC6600"/>
      <color rgb="FF0000FF"/>
      <color rgb="FFB81271"/>
      <color rgb="FFFF33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externalLink" Target="externalLinks/externalLink9.xml"/><Relationship Id="rId196"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externalLink" Target="externalLinks/externalLink10.xml"/><Relationship Id="rId197"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externalLink" Target="externalLinks/externalLink1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2.xml"/><Relationship Id="rId189"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tyles" Target="styles.xml"/><Relationship Id="rId190" Type="http://schemas.openxmlformats.org/officeDocument/2006/relationships/externalLink" Target="externalLinks/externalLink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27CDB6E-AE6D-11CF-96B8-444553540000}"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image" Target="../media/image8.jpe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73.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2.jpeg"/></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(2)'!$I$2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(2)'!$I$3:$I$11</c:f>
              <c:numCache>
                <c:formatCode>_([$€-2]* #,##0_);_([$€-2]* \(#,##0\);_([$€-2]* "-"??_)</c:formatCode>
                <c:ptCount val="9"/>
              </c:numCache>
            </c:numRef>
          </c:val>
        </c:ser>
        <c:ser>
          <c:idx val="1"/>
          <c:order val="1"/>
          <c:tx>
            <c:strRef>
              <c:f>' SDSS Definiciones (2)'!$J$2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(2)'!$J$3:$J$11</c:f>
              <c:numCache>
                <c:formatCode>_([$€-2]* #,##0_);_([$€-2]* \(#,##0\);_([$€-2]* "-"??_)</c:formatCode>
                <c:ptCount val="9"/>
              </c:numCache>
            </c:numRef>
          </c:val>
        </c:ser>
        <c:ser>
          <c:idx val="2"/>
          <c:order val="2"/>
          <c:tx>
            <c:strRef>
              <c:f>' SDSS Definiciones (2)'!$K$2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(2)'!$K$3:$K$11</c:f>
              <c:numCache>
                <c:formatCode>_([$€-2]* #,##0_);_([$€-2]* \(#,##0\);_([$€-2]* "-"??_)</c:formatCode>
                <c:ptCount val="9"/>
              </c:numCache>
            </c:numRef>
          </c:val>
        </c:ser>
        <c:dLbls>
          <c:showLegendKey val="0"/>
          <c:showVal val="0"/>
          <c:showCatName val="0"/>
          <c:showSerName val="0"/>
          <c:showPercent val="0"/>
          <c:showBubbleSize val="0"/>
        </c:dLbls>
        <c:gapWidth val="22"/>
        <c:shape val="cylinder"/>
        <c:axId val="206724704"/>
        <c:axId val="206726664"/>
        <c:axId val="0"/>
      </c:bar3DChart>
      <c:catAx>
        <c:axId val="206724704"/>
        <c:scaling>
          <c:orientation val="minMax"/>
        </c:scaling>
        <c:delete val="0"/>
        <c:axPos val="b"/>
        <c:numFmt formatCode="_([$€-2]* #,##0_);_([$€-2]* \(#,##0\);_([$€-2]* &quot;-&quot;??_)" sourceLinked="1"/>
        <c:majorTickMark val="none"/>
        <c:minorTickMark val="none"/>
        <c:tickLblPos val="nextTo"/>
        <c:crossAx val="206726664"/>
        <c:crosses val="autoZero"/>
        <c:auto val="1"/>
        <c:lblAlgn val="ctr"/>
        <c:lblOffset val="100"/>
        <c:noMultiLvlLbl val="0"/>
      </c:catAx>
      <c:valAx>
        <c:axId val="206726664"/>
        <c:scaling>
          <c:orientation val="minMax"/>
        </c:scaling>
        <c:delete val="0"/>
        <c:axPos val="l"/>
        <c:numFmt formatCode="_([$€-2]* #,##0_);_([$€-2]* \(#,##0\);_([$€-2]* &quot;-&quot;??_)" sourceLinked="1"/>
        <c:majorTickMark val="none"/>
        <c:minorTickMark val="none"/>
        <c:tickLblPos val="none"/>
        <c:spPr>
          <a:ln w="9525">
            <a:noFill/>
          </a:ln>
        </c:spPr>
        <c:crossAx val="20672470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30083136008142E-2"/>
          <c:y val="0.17500167865793059"/>
          <c:w val="0.88575989296819502"/>
          <c:h val="0.70690928637050809"/>
        </c:manualLayout>
      </c:layout>
      <c:barChart>
        <c:barDir val="col"/>
        <c:grouping val="clustered"/>
        <c:varyColors val="0"/>
        <c:ser>
          <c:idx val="2"/>
          <c:order val="1"/>
          <c:tx>
            <c:strRef>
              <c:f>'I.1.1 Cobertura SDSS '!$E$3</c:f>
              <c:strCache>
                <c:ptCount val="1"/>
                <c:pt idx="0">
                  <c:v>Población Nacional</c:v>
                </c:pt>
              </c:strCache>
            </c:strRef>
          </c:tx>
          <c:spPr>
            <a:solidFill>
              <a:schemeClr val="accent5">
                <a:lumMod val="50000"/>
              </a:schemeClr>
            </a:solidFill>
          </c:spPr>
          <c:invertIfNegative val="0"/>
          <c:dLbls>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'I.1.1 Cobertura SDSS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'I.1.1 Cobertura SDSS '!$E$4:$E$15</c:f>
              <c:numCache>
                <c:formatCode>#,##0_);[Red]\(#,##0\)</c:formatCode>
                <c:ptCount val="10"/>
                <c:pt idx="0">
                  <c:v>8968144</c:v>
                </c:pt>
                <c:pt idx="1">
                  <c:v>9072308</c:v>
                </c:pt>
                <c:pt idx="2">
                  <c:v>9175265</c:v>
                </c:pt>
                <c:pt idx="3">
                  <c:v>9277181</c:v>
                </c:pt>
                <c:pt idx="4">
                  <c:v>9378455</c:v>
                </c:pt>
                <c:pt idx="5">
                  <c:v>9478612</c:v>
                </c:pt>
                <c:pt idx="6">
                  <c:v>9579983</c:v>
                </c:pt>
                <c:pt idx="7">
                  <c:v>9680534</c:v>
                </c:pt>
                <c:pt idx="8" formatCode="#,##0">
                  <c:v>9780743</c:v>
                </c:pt>
                <c:pt idx="9" formatCode="#,##0">
                  <c:v>9880505</c:v>
                </c:pt>
              </c:numCache>
            </c:numRef>
          </c:val>
        </c:ser>
        <c:dLbls>
          <c:showLegendKey val="0"/>
          <c:showVal val="0"/>
          <c:showCatName val="0"/>
          <c:showSerName val="0"/>
          <c:showPercent val="0"/>
          <c:showBubbleSize val="0"/>
        </c:dLbls>
        <c:gapWidth val="18"/>
        <c:overlap val="-7"/>
        <c:axId val="241668904"/>
        <c:axId val="241669296"/>
      </c:barChart>
      <c:lineChart>
        <c:grouping val="standard"/>
        <c:varyColors val="0"/>
        <c:ser>
          <c:idx val="1"/>
          <c:order val="0"/>
          <c:tx>
            <c:strRef>
              <c:f>'I.1.1 Cobertura SDSS '!$D$3</c:f>
              <c:strCache>
                <c:ptCount val="1"/>
                <c:pt idx="0">
                  <c:v>% Cobertura  de la Población</c:v>
                </c:pt>
              </c:strCache>
            </c:strRef>
          </c:tx>
          <c:spPr>
            <a:ln>
              <a:noFill/>
            </a:ln>
          </c:spPr>
          <c:marker>
            <c:symbol val="circle"/>
            <c:size val="24"/>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4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'I.1.1 Cobertura SDSS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'I.1.1 Cobertura SDSS '!$D$4:$D$15</c:f>
              <c:numCache>
                <c:formatCode>0.0%</c:formatCode>
                <c:ptCount val="10"/>
                <c:pt idx="0">
                  <c:v>9.9590952152418602E-2</c:v>
                </c:pt>
                <c:pt idx="1">
                  <c:v>0.14570845698801232</c:v>
                </c:pt>
                <c:pt idx="2">
                  <c:v>0.29224256738088766</c:v>
                </c:pt>
                <c:pt idx="3">
                  <c:v>0.31844953763433093</c:v>
                </c:pt>
                <c:pt idx="4">
                  <c:v>0.36901312636249789</c:v>
                </c:pt>
                <c:pt idx="5">
                  <c:v>0.45291462505269758</c:v>
                </c:pt>
                <c:pt idx="6">
                  <c:v>0.48151713839158172</c:v>
                </c:pt>
                <c:pt idx="7">
                  <c:v>0.52403875653967025</c:v>
                </c:pt>
                <c:pt idx="8">
                  <c:v>0.57679074074433812</c:v>
                </c:pt>
                <c:pt idx="9">
                  <c:v>0.63469053454251578</c:v>
                </c:pt>
              </c:numCache>
            </c:numRef>
          </c:val>
          <c:smooth val="0"/>
        </c:ser>
        <c:dLbls>
          <c:showLegendKey val="0"/>
          <c:showVal val="0"/>
          <c:showCatName val="0"/>
          <c:showSerName val="0"/>
          <c:showPercent val="0"/>
          <c:showBubbleSize val="0"/>
        </c:dLbls>
        <c:marker val="1"/>
        <c:smooth val="0"/>
        <c:axId val="241670080"/>
        <c:axId val="241669688"/>
      </c:lineChart>
      <c:catAx>
        <c:axId val="241668904"/>
        <c:scaling>
          <c:orientation val="minMax"/>
        </c:scaling>
        <c:delete val="0"/>
        <c:axPos val="b"/>
        <c:numFmt formatCode="General" sourceLinked="0"/>
        <c:majorTickMark val="out"/>
        <c:minorTickMark val="none"/>
        <c:tickLblPos val="nextTo"/>
        <c:txPr>
          <a:bodyPr/>
          <a:lstStyle/>
          <a:p>
            <a:pPr>
              <a:defRPr sz="2400"/>
            </a:pPr>
            <a:endParaRPr lang="es-ES"/>
          </a:p>
        </c:txPr>
        <c:crossAx val="241669296"/>
        <c:crosses val="autoZero"/>
        <c:auto val="1"/>
        <c:lblAlgn val="ctr"/>
        <c:lblOffset val="100"/>
        <c:noMultiLvlLbl val="0"/>
      </c:catAx>
      <c:valAx>
        <c:axId val="241669296"/>
        <c:scaling>
          <c:orientation val="minMax"/>
        </c:scaling>
        <c:delete val="0"/>
        <c:axPos val="l"/>
        <c:numFmt formatCode="#,##0_);[Red]\(#,##0\)" sourceLinked="1"/>
        <c:majorTickMark val="out"/>
        <c:minorTickMark val="none"/>
        <c:tickLblPos val="nextTo"/>
        <c:txPr>
          <a:bodyPr/>
          <a:lstStyle/>
          <a:p>
            <a:pPr>
              <a:defRPr sz="1400"/>
            </a:pPr>
            <a:endParaRPr lang="es-ES"/>
          </a:p>
        </c:txPr>
        <c:crossAx val="241668904"/>
        <c:crosses val="autoZero"/>
        <c:crossBetween val="between"/>
      </c:valAx>
      <c:valAx>
        <c:axId val="241669688"/>
        <c:scaling>
          <c:orientation val="minMax"/>
          <c:max val="1"/>
        </c:scaling>
        <c:delete val="0"/>
        <c:axPos val="r"/>
        <c:numFmt formatCode="0.0%" sourceLinked="1"/>
        <c:majorTickMark val="out"/>
        <c:minorTickMark val="none"/>
        <c:tickLblPos val="nextTo"/>
        <c:txPr>
          <a:bodyPr/>
          <a:lstStyle/>
          <a:p>
            <a:pPr>
              <a:defRPr sz="1800"/>
            </a:pPr>
            <a:endParaRPr lang="es-ES"/>
          </a:p>
        </c:txPr>
        <c:crossAx val="241670080"/>
        <c:crosses val="max"/>
        <c:crossBetween val="between"/>
      </c:valAx>
      <c:catAx>
        <c:axId val="241670080"/>
        <c:scaling>
          <c:orientation val="minMax"/>
        </c:scaling>
        <c:delete val="1"/>
        <c:axPos val="b"/>
        <c:numFmt formatCode="General" sourceLinked="1"/>
        <c:majorTickMark val="out"/>
        <c:minorTickMark val="none"/>
        <c:tickLblPos val="nextTo"/>
        <c:crossAx val="241669688"/>
        <c:crosses val="autoZero"/>
        <c:auto val="1"/>
        <c:lblAlgn val="ctr"/>
        <c:lblOffset val="100"/>
        <c:noMultiLvlLbl val="0"/>
      </c:catAx>
    </c:plotArea>
    <c:legend>
      <c:legendPos val="r"/>
      <c:layout>
        <c:manualLayout>
          <c:xMode val="edge"/>
          <c:yMode val="edge"/>
          <c:x val="0.29997823608608593"/>
          <c:y val="0.13387103221655916"/>
          <c:w val="0.48874008547285064"/>
          <c:h val="4.6328629740286356E-2"/>
        </c:manualLayout>
      </c:layout>
      <c:overlay val="0"/>
      <c:txPr>
        <a:bodyPr/>
        <a:lstStyle/>
        <a:p>
          <a:pPr>
            <a:defRPr sz="28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'IV.4.2.2 Monto subsid'!$A$5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'IV.4.2.2 Monto subsid'!$B$4:$H$4</c:f>
              <c:numCache>
                <c:formatCode>General</c:formatCode>
                <c:ptCount val="7"/>
                <c:pt idx="0">
                  <c:v>2008</c:v>
                </c:pt>
                <c:pt idx="1">
                  <c:v>2009</c:v>
                </c:pt>
                <c:pt idx="2">
                  <c:v>2010</c:v>
                </c:pt>
                <c:pt idx="3">
                  <c:v>2011</c:v>
                </c:pt>
                <c:pt idx="4">
                  <c:v>2012</c:v>
                </c:pt>
                <c:pt idx="5">
                  <c:v>2013</c:v>
                </c:pt>
                <c:pt idx="6">
                  <c:v>2014</c:v>
                </c:pt>
              </c:numCache>
            </c:numRef>
          </c:cat>
          <c:val>
            <c:numRef>
              <c:f>'IV.4.2.2 Monto subsid'!$B$5:$H$5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'IV.4.2.2 Monto subsid'!$A$6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'IV.4.2.2 Monto subsid'!$B$4:$H$4</c:f>
              <c:numCache>
                <c:formatCode>General</c:formatCode>
                <c:ptCount val="7"/>
                <c:pt idx="0">
                  <c:v>2008</c:v>
                </c:pt>
                <c:pt idx="1">
                  <c:v>2009</c:v>
                </c:pt>
                <c:pt idx="2">
                  <c:v>2010</c:v>
                </c:pt>
                <c:pt idx="3">
                  <c:v>2011</c:v>
                </c:pt>
                <c:pt idx="4">
                  <c:v>2012</c:v>
                </c:pt>
                <c:pt idx="5">
                  <c:v>2013</c:v>
                </c:pt>
                <c:pt idx="6">
                  <c:v>2014</c:v>
                </c:pt>
              </c:numCache>
            </c:numRef>
          </c:cat>
          <c:val>
            <c:numRef>
              <c:f>'IV.4.2.2 Monto subsid'!$B$6:$H$6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'IV.4.2.2 Monto subsid'!$A$7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'IV.4.2.2 Monto subsid'!$B$4:$H$4</c:f>
              <c:numCache>
                <c:formatCode>General</c:formatCode>
                <c:ptCount val="7"/>
                <c:pt idx="0">
                  <c:v>2008</c:v>
                </c:pt>
                <c:pt idx="1">
                  <c:v>2009</c:v>
                </c:pt>
                <c:pt idx="2">
                  <c:v>2010</c:v>
                </c:pt>
                <c:pt idx="3">
                  <c:v>2011</c:v>
                </c:pt>
                <c:pt idx="4">
                  <c:v>2012</c:v>
                </c:pt>
                <c:pt idx="5">
                  <c:v>2013</c:v>
                </c:pt>
                <c:pt idx="6">
                  <c:v>2014</c:v>
                </c:pt>
              </c:numCache>
            </c:numRef>
          </c:cat>
          <c:val>
            <c:numRef>
              <c:f>'IV.4.2.2 Monto subsid'!$B$7:$H$7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281532640"/>
        <c:axId val="281533032"/>
        <c:axId val="0"/>
      </c:bar3DChart>
      <c:catAx>
        <c:axId val="281532640"/>
        <c:scaling>
          <c:orientation val="minMax"/>
        </c:scaling>
        <c:delete val="0"/>
        <c:axPos val="b"/>
        <c:numFmt formatCode="General" sourceLinked="1"/>
        <c:majorTickMark val="none"/>
        <c:minorTickMark val="none"/>
        <c:tickLblPos val="nextTo"/>
        <c:txPr>
          <a:bodyPr/>
          <a:lstStyle/>
          <a:p>
            <a:pPr>
              <a:defRPr sz="1600"/>
            </a:pPr>
            <a:endParaRPr lang="es-ES"/>
          </a:p>
        </c:txPr>
        <c:crossAx val="281533032"/>
        <c:crosses val="autoZero"/>
        <c:auto val="1"/>
        <c:lblAlgn val="ctr"/>
        <c:lblOffset val="100"/>
        <c:noMultiLvlLbl val="0"/>
      </c:catAx>
      <c:valAx>
        <c:axId val="281533032"/>
        <c:scaling>
          <c:orientation val="minMax"/>
        </c:scaling>
        <c:delete val="1"/>
        <c:axPos val="l"/>
        <c:numFmt formatCode="_(* #,##0.00_);_(* \(#,##0.00\);_(* &quot;-&quot;_);_(@_)" sourceLinked="1"/>
        <c:majorTickMark val="out"/>
        <c:minorTickMark val="none"/>
        <c:tickLblPos val="nextTo"/>
        <c:crossAx val="281532640"/>
        <c:crosses val="autoZero"/>
        <c:crossBetween val="between"/>
      </c:valAx>
    </c:plotArea>
    <c:legend>
      <c:legendPos val="t"/>
      <c:layout>
        <c:manualLayout>
          <c:xMode val="edge"/>
          <c:yMode val="edge"/>
          <c:x val="0.24206909192216894"/>
          <c:y val="8.5063165181275421E-2"/>
          <c:w val="0.61538688250560858"/>
          <c:h val="5.9902079547748843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9641696773020239E-2"/>
          <c:y val="0.13860762662328582"/>
          <c:w val="0.89661095540218261"/>
          <c:h val="0.70929293559782236"/>
        </c:manualLayout>
      </c:layout>
      <c:barChart>
        <c:barDir val="col"/>
        <c:grouping val="clustered"/>
        <c:varyColors val="0"/>
        <c:ser>
          <c:idx val="0"/>
          <c:order val="0"/>
          <c:tx>
            <c:strRef>
              <c:f>'V.1.1 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'V.1.1 Afil. SVDS'!$A$4:$A$15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'V.1.1 Afil. SVDS'!$B$4:$B$15</c:f>
              <c:numCache>
                <c:formatCode>#,##0</c:formatCode>
                <c:ptCount val="10"/>
                <c:pt idx="0">
                  <c:v>626615</c:v>
                </c:pt>
                <c:pt idx="1">
                  <c:v>808496</c:v>
                </c:pt>
                <c:pt idx="2">
                  <c:v>913203</c:v>
                </c:pt>
                <c:pt idx="3">
                  <c:v>929743</c:v>
                </c:pt>
                <c:pt idx="4">
                  <c:v>1118293</c:v>
                </c:pt>
                <c:pt idx="5">
                  <c:v>1189601</c:v>
                </c:pt>
                <c:pt idx="6">
                  <c:v>1242780</c:v>
                </c:pt>
                <c:pt idx="7">
                  <c:v>1291137</c:v>
                </c:pt>
                <c:pt idx="8">
                  <c:v>1376966</c:v>
                </c:pt>
                <c:pt idx="9">
                  <c:v>1508392</c:v>
                </c:pt>
              </c:numCache>
            </c:numRef>
          </c:val>
        </c:ser>
        <c:ser>
          <c:idx val="1"/>
          <c:order val="1"/>
          <c:tx>
            <c:strRef>
              <c:f>'V.1.1 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'V.1.1 Afil. SVDS'!$A$4:$A$15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'V.1.1 Afil. SVDS'!$C$4:$C$15</c:f>
              <c:numCache>
                <c:formatCode>#,##0</c:formatCode>
                <c:ptCount val="10"/>
                <c:pt idx="0">
                  <c:v>1429521</c:v>
                </c:pt>
                <c:pt idx="1">
                  <c:v>1588621</c:v>
                </c:pt>
                <c:pt idx="2">
                  <c:v>1797027</c:v>
                </c:pt>
                <c:pt idx="3">
                  <c:v>1983720</c:v>
                </c:pt>
                <c:pt idx="4">
                  <c:v>2193890</c:v>
                </c:pt>
                <c:pt idx="5">
                  <c:v>2374783</c:v>
                </c:pt>
                <c:pt idx="6">
                  <c:v>2552974</c:v>
                </c:pt>
                <c:pt idx="7">
                  <c:v>2714449</c:v>
                </c:pt>
                <c:pt idx="8">
                  <c:v>2881130</c:v>
                </c:pt>
                <c:pt idx="9">
                  <c:v>3069900</c:v>
                </c:pt>
              </c:numCache>
            </c:numRef>
          </c:val>
        </c:ser>
        <c:dLbls>
          <c:showLegendKey val="0"/>
          <c:showVal val="0"/>
          <c:showCatName val="0"/>
          <c:showSerName val="0"/>
          <c:showPercent val="0"/>
          <c:showBubbleSize val="0"/>
        </c:dLbls>
        <c:gapWidth val="60"/>
        <c:axId val="281534208"/>
        <c:axId val="281534600"/>
      </c:barChart>
      <c:lineChart>
        <c:grouping val="standard"/>
        <c:varyColors val="0"/>
        <c:ser>
          <c:idx val="2"/>
          <c:order val="2"/>
          <c:tx>
            <c:strRef>
              <c:f>'V.1.1 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1"/>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'V.1.1 Afil. SVDS'!$A$4:$A$15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'V.1.1 Afil. SVDS'!$D$4:$D$15</c:f>
              <c:numCache>
                <c:formatCode>0.0%</c:formatCode>
                <c:ptCount val="10"/>
                <c:pt idx="0">
                  <c:v>0.43833913597631652</c:v>
                </c:pt>
                <c:pt idx="1">
                  <c:v>0.50892944257944472</c:v>
                </c:pt>
                <c:pt idx="2">
                  <c:v>0.5081743346093297</c:v>
                </c:pt>
                <c:pt idx="3">
                  <c:v>0.46868660899723752</c:v>
                </c:pt>
                <c:pt idx="4">
                  <c:v>0.50973066106322562</c:v>
                </c:pt>
                <c:pt idx="5">
                  <c:v>0.50093040079872564</c:v>
                </c:pt>
                <c:pt idx="6">
                  <c:v>0.4867969669883046</c:v>
                </c:pt>
                <c:pt idx="7">
                  <c:v>0.47565343832210516</c:v>
                </c:pt>
                <c:pt idx="8">
                  <c:v>0.47792567499557465</c:v>
                </c:pt>
                <c:pt idx="9">
                  <c:v>0.49134890387309033</c:v>
                </c:pt>
              </c:numCache>
            </c:numRef>
          </c:val>
          <c:smooth val="0"/>
        </c:ser>
        <c:dLbls>
          <c:showLegendKey val="0"/>
          <c:showVal val="0"/>
          <c:showCatName val="0"/>
          <c:showSerName val="0"/>
          <c:showPercent val="0"/>
          <c:showBubbleSize val="0"/>
        </c:dLbls>
        <c:marker val="1"/>
        <c:smooth val="0"/>
        <c:axId val="280936672"/>
        <c:axId val="281534992"/>
      </c:lineChart>
      <c:catAx>
        <c:axId val="281534208"/>
        <c:scaling>
          <c:orientation val="minMax"/>
        </c:scaling>
        <c:delete val="0"/>
        <c:axPos val="b"/>
        <c:numFmt formatCode="General" sourceLinked="1"/>
        <c:majorTickMark val="out"/>
        <c:minorTickMark val="none"/>
        <c:tickLblPos val="nextTo"/>
        <c:txPr>
          <a:bodyPr/>
          <a:lstStyle/>
          <a:p>
            <a:pPr>
              <a:defRPr sz="1400"/>
            </a:pPr>
            <a:endParaRPr lang="es-ES"/>
          </a:p>
        </c:txPr>
        <c:crossAx val="281534600"/>
        <c:crosses val="autoZero"/>
        <c:auto val="1"/>
        <c:lblAlgn val="ctr"/>
        <c:lblOffset val="100"/>
        <c:noMultiLvlLbl val="0"/>
      </c:catAx>
      <c:valAx>
        <c:axId val="281534600"/>
        <c:scaling>
          <c:orientation val="minMax"/>
        </c:scaling>
        <c:delete val="0"/>
        <c:axPos val="l"/>
        <c:numFmt formatCode="#,##0" sourceLinked="1"/>
        <c:majorTickMark val="out"/>
        <c:minorTickMark val="none"/>
        <c:tickLblPos val="nextTo"/>
        <c:crossAx val="281534208"/>
        <c:crosses val="autoZero"/>
        <c:crossBetween val="between"/>
      </c:valAx>
      <c:valAx>
        <c:axId val="281534992"/>
        <c:scaling>
          <c:orientation val="minMax"/>
          <c:max val="1"/>
        </c:scaling>
        <c:delete val="0"/>
        <c:axPos val="r"/>
        <c:numFmt formatCode="0.0%" sourceLinked="1"/>
        <c:majorTickMark val="out"/>
        <c:minorTickMark val="none"/>
        <c:tickLblPos val="nextTo"/>
        <c:crossAx val="280936672"/>
        <c:crosses val="max"/>
        <c:crossBetween val="between"/>
      </c:valAx>
      <c:catAx>
        <c:axId val="280936672"/>
        <c:scaling>
          <c:orientation val="minMax"/>
        </c:scaling>
        <c:delete val="1"/>
        <c:axPos val="b"/>
        <c:numFmt formatCode="General" sourceLinked="1"/>
        <c:majorTickMark val="out"/>
        <c:minorTickMark val="none"/>
        <c:tickLblPos val="nextTo"/>
        <c:crossAx val="281534992"/>
        <c:crosses val="autoZero"/>
        <c:auto val="1"/>
        <c:lblAlgn val="ctr"/>
        <c:lblOffset val="100"/>
        <c:noMultiLvlLbl val="0"/>
      </c:catAx>
    </c:plotArea>
    <c:legend>
      <c:legendPos val="r"/>
      <c:layout>
        <c:manualLayout>
          <c:xMode val="edge"/>
          <c:yMode val="edge"/>
          <c:x val="0.24009900271763315"/>
          <c:y val="0.122202304670915"/>
          <c:w val="0.58392715565541276"/>
          <c:h val="3.723861464869796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19845733336622E-2"/>
          <c:y val="0.16660299035524023"/>
          <c:w val="0.84621849311397634"/>
          <c:h val="0.69730515804407922"/>
        </c:manualLayout>
      </c:layout>
      <c:lineChart>
        <c:grouping val="standard"/>
        <c:varyColors val="0"/>
        <c:ser>
          <c:idx val="0"/>
          <c:order val="0"/>
          <c:tx>
            <c:strRef>
              <c:f>'V.1.2 Afil. cotiz.'!$B$3</c:f>
              <c:strCache>
                <c:ptCount val="1"/>
                <c:pt idx="0">
                  <c:v>Afiliados</c:v>
                </c:pt>
              </c:strCache>
            </c:strRef>
          </c:tx>
          <c:cat>
            <c:strRef>
              <c:f>'V.1.2 Afil. cotiz.'!$A$4:$A$15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'V.1.2 Afil. cotiz.'!$B$4:$B$15</c:f>
            </c:numRef>
          </c:val>
          <c:smooth val="0"/>
        </c:ser>
        <c:ser>
          <c:idx val="1"/>
          <c:order val="1"/>
          <c:tx>
            <c:strRef>
              <c:f>'V.1.2 Afil. cotiz.'!$C$3</c:f>
              <c:strCache>
                <c:ptCount val="1"/>
                <c:pt idx="0">
                  <c:v>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cat>
            <c:strRef>
              <c:f>'V.1.2 Afil. cotiz.'!$A$4:$A$15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'V.1.2 Afil. cotiz.'!$C$4:$C$15</c:f>
              <c:numCache>
                <c:formatCode>#,##0</c:formatCode>
                <c:ptCount val="10"/>
                <c:pt idx="0">
                  <c:v>626615</c:v>
                </c:pt>
                <c:pt idx="1">
                  <c:v>808496</c:v>
                </c:pt>
                <c:pt idx="2">
                  <c:v>913203</c:v>
                </c:pt>
                <c:pt idx="3">
                  <c:v>929743</c:v>
                </c:pt>
                <c:pt idx="4">
                  <c:v>1118293</c:v>
                </c:pt>
                <c:pt idx="5">
                  <c:v>1189601</c:v>
                </c:pt>
                <c:pt idx="6">
                  <c:v>1242780</c:v>
                </c:pt>
                <c:pt idx="7">
                  <c:v>1291137</c:v>
                </c:pt>
                <c:pt idx="8">
                  <c:v>1376966</c:v>
                </c:pt>
                <c:pt idx="9">
                  <c:v>1508392</c:v>
                </c:pt>
              </c:numCache>
            </c:numRef>
          </c:val>
          <c:smooth val="0"/>
        </c:ser>
        <c:ser>
          <c:idx val="2"/>
          <c:order val="2"/>
          <c:tx>
            <c:strRef>
              <c:f>'V.1.2 Afil. cotiz.'!$D$3</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cat>
            <c:strRef>
              <c:f>'V.1.2 Afil. cotiz.'!$A$4:$A$15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'V.1.2 Afil. cotiz.'!$D$4:$D$15</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280937456"/>
        <c:axId val="280937848"/>
      </c:lineChart>
      <c:lineChart>
        <c:grouping val="standard"/>
        <c:varyColors val="0"/>
        <c:ser>
          <c:idx val="3"/>
          <c:order val="3"/>
          <c:tx>
            <c:strRef>
              <c:f>'V.1.2 Afil. cotiz.'!$E$3</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31456168727E-2"/>
                  <c:y val="-3.600681942167720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'V.1.2 Afil. cotiz.'!$A$4:$A$15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'V.1.2 Afil. cotiz.'!$E$4:$E$15</c:f>
              <c:numCache>
                <c:formatCode>0.00%</c:formatCode>
                <c:ptCount val="10"/>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numCache>
            </c:numRef>
          </c:val>
          <c:smooth val="0"/>
        </c:ser>
        <c:dLbls>
          <c:showLegendKey val="0"/>
          <c:showVal val="0"/>
          <c:showCatName val="0"/>
          <c:showSerName val="0"/>
          <c:showPercent val="0"/>
          <c:showBubbleSize val="0"/>
        </c:dLbls>
        <c:hiLowLines/>
        <c:marker val="1"/>
        <c:smooth val="0"/>
        <c:axId val="280938632"/>
        <c:axId val="280938240"/>
      </c:lineChart>
      <c:catAx>
        <c:axId val="28093745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80937848"/>
        <c:crosses val="autoZero"/>
        <c:auto val="1"/>
        <c:lblAlgn val="ctr"/>
        <c:lblOffset val="100"/>
        <c:noMultiLvlLbl val="0"/>
      </c:catAx>
      <c:valAx>
        <c:axId val="280937848"/>
        <c:scaling>
          <c:orientation val="minMax"/>
        </c:scaling>
        <c:delete val="0"/>
        <c:axPos val="l"/>
        <c:numFmt formatCode="#,##0" sourceLinked="1"/>
        <c:majorTickMark val="out"/>
        <c:minorTickMark val="none"/>
        <c:tickLblPos val="nextTo"/>
        <c:crossAx val="280937456"/>
        <c:crosses val="autoZero"/>
        <c:crossBetween val="between"/>
        <c:majorUnit val="500000"/>
      </c:valAx>
      <c:valAx>
        <c:axId val="280938240"/>
        <c:scaling>
          <c:orientation val="minMax"/>
          <c:max val="1"/>
        </c:scaling>
        <c:delete val="0"/>
        <c:axPos val="r"/>
        <c:numFmt formatCode="0.00%" sourceLinked="1"/>
        <c:majorTickMark val="out"/>
        <c:minorTickMark val="none"/>
        <c:tickLblPos val="nextTo"/>
        <c:crossAx val="280938632"/>
        <c:crosses val="max"/>
        <c:crossBetween val="between"/>
      </c:valAx>
      <c:catAx>
        <c:axId val="280938632"/>
        <c:scaling>
          <c:orientation val="minMax"/>
        </c:scaling>
        <c:delete val="1"/>
        <c:axPos val="b"/>
        <c:numFmt formatCode="General" sourceLinked="1"/>
        <c:majorTickMark val="out"/>
        <c:minorTickMark val="none"/>
        <c:tickLblPos val="nextTo"/>
        <c:crossAx val="280938240"/>
        <c:crosses val="autoZero"/>
        <c:auto val="1"/>
        <c:lblAlgn val="ctr"/>
        <c:lblOffset val="100"/>
        <c:noMultiLvlLbl val="0"/>
      </c:catAx>
    </c:plotArea>
    <c:legend>
      <c:legendPos val="r"/>
      <c:layout>
        <c:manualLayout>
          <c:xMode val="edge"/>
          <c:yMode val="edge"/>
          <c:x val="0.17301711531377789"/>
          <c:y val="9.2097106046358193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64824390114663E-2"/>
          <c:y val="0.17648883028771814"/>
          <c:w val="0.90119791297448748"/>
          <c:h val="0.66073606992278833"/>
        </c:manualLayout>
      </c:layout>
      <c:lineChart>
        <c:grouping val="standard"/>
        <c:varyColors val="0"/>
        <c:ser>
          <c:idx val="0"/>
          <c:order val="0"/>
          <c:tx>
            <c:strRef>
              <c:f>'V.1.3 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1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 Afil. SVDS mensual'!$A$4:$A$40</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'V.1.3 Afil. SVDS mensual'!$B$4:$B$40</c:f>
              <c:numCache>
                <c:formatCode>#,##0</c:formatCode>
                <c:ptCount val="13"/>
                <c:pt idx="0">
                  <c:v>1376966</c:v>
                </c:pt>
                <c:pt idx="1">
                  <c:v>1324202</c:v>
                </c:pt>
                <c:pt idx="2">
                  <c:v>1363785</c:v>
                </c:pt>
                <c:pt idx="3">
                  <c:v>1406908</c:v>
                </c:pt>
                <c:pt idx="4">
                  <c:v>1414140</c:v>
                </c:pt>
                <c:pt idx="5">
                  <c:v>1417833</c:v>
                </c:pt>
                <c:pt idx="6">
                  <c:v>1429452</c:v>
                </c:pt>
                <c:pt idx="7">
                  <c:v>1449141</c:v>
                </c:pt>
                <c:pt idx="8">
                  <c:v>1420010</c:v>
                </c:pt>
                <c:pt idx="9">
                  <c:v>1451258</c:v>
                </c:pt>
                <c:pt idx="10">
                  <c:v>1472311</c:v>
                </c:pt>
                <c:pt idx="11">
                  <c:v>1444579</c:v>
                </c:pt>
                <c:pt idx="12">
                  <c:v>1508392</c:v>
                </c:pt>
              </c:numCache>
            </c:numRef>
          </c:val>
          <c:smooth val="0"/>
        </c:ser>
        <c:ser>
          <c:idx val="1"/>
          <c:order val="1"/>
          <c:tx>
            <c:strRef>
              <c:f>'V.1.3 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1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 Afil. SVDS mensual'!$A$4:$A$40</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'V.1.3 Afil. SVDS mensual'!$C$4:$C$40</c:f>
              <c:numCache>
                <c:formatCode>#,##0</c:formatCode>
                <c:ptCount val="13"/>
                <c:pt idx="0">
                  <c:v>2881130</c:v>
                </c:pt>
                <c:pt idx="1">
                  <c:v>2893593</c:v>
                </c:pt>
                <c:pt idx="2">
                  <c:v>2907007</c:v>
                </c:pt>
                <c:pt idx="3">
                  <c:v>2923456</c:v>
                </c:pt>
                <c:pt idx="4">
                  <c:v>2938981</c:v>
                </c:pt>
                <c:pt idx="5">
                  <c:v>2953804</c:v>
                </c:pt>
                <c:pt idx="6">
                  <c:v>2968885</c:v>
                </c:pt>
                <c:pt idx="7">
                  <c:v>2983609</c:v>
                </c:pt>
                <c:pt idx="8">
                  <c:v>3000209</c:v>
                </c:pt>
                <c:pt idx="9">
                  <c:v>3015120</c:v>
                </c:pt>
                <c:pt idx="10">
                  <c:v>3032720</c:v>
                </c:pt>
                <c:pt idx="11">
                  <c:v>3053477</c:v>
                </c:pt>
                <c:pt idx="12">
                  <c:v>3069900</c:v>
                </c:pt>
              </c:numCache>
            </c:numRef>
          </c:val>
          <c:smooth val="0"/>
        </c:ser>
        <c:dLbls>
          <c:showLegendKey val="0"/>
          <c:showVal val="0"/>
          <c:showCatName val="0"/>
          <c:showSerName val="0"/>
          <c:showPercent val="0"/>
          <c:showBubbleSize val="0"/>
        </c:dLbls>
        <c:hiLowLines>
          <c:spPr>
            <a:ln w="25400">
              <a:gradFill>
                <a:gsLst>
                  <a:gs pos="0">
                    <a:srgbClr val="FF3399"/>
                  </a:gs>
                  <a:gs pos="25000">
                    <a:srgbClr val="FF6633"/>
                  </a:gs>
                  <a:gs pos="50000">
                    <a:srgbClr val="FFFF00"/>
                  </a:gs>
                  <a:gs pos="75000">
                    <a:srgbClr val="01A78F"/>
                  </a:gs>
                  <a:gs pos="100000">
                    <a:srgbClr val="3366FF"/>
                  </a:gs>
                </a:gsLst>
                <a:lin ang="5400000" scaled="0"/>
              </a:gradFill>
              <a:prstDash val="sysDash"/>
            </a:ln>
          </c:spPr>
        </c:hiLowLines>
        <c:marker val="1"/>
        <c:smooth val="0"/>
        <c:axId val="280939416"/>
        <c:axId val="280939808"/>
      </c:lineChart>
      <c:lineChart>
        <c:grouping val="standard"/>
        <c:varyColors val="0"/>
        <c:ser>
          <c:idx val="2"/>
          <c:order val="2"/>
          <c:tx>
            <c:strRef>
              <c:f>'V.1.3 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spPr>
              <a:noFill/>
              <a:ln>
                <a:noFill/>
              </a:ln>
              <a:effectLst/>
            </c:spPr>
            <c:txPr>
              <a:bodyPr/>
              <a:lstStyle/>
              <a:p>
                <a:pPr>
                  <a:defRPr sz="14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 Afil. SVDS mensual'!$A$4:$A$40</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'V.1.3 Afil. SVDS mensual'!$D$4:$D$40</c:f>
              <c:numCache>
                <c:formatCode>0.0%</c:formatCode>
                <c:ptCount val="13"/>
                <c:pt idx="0">
                  <c:v>0.47792567499557465</c:v>
                </c:pt>
                <c:pt idx="1">
                  <c:v>0.45763243137511045</c:v>
                </c:pt>
                <c:pt idx="2">
                  <c:v>0.46913715722046767</c:v>
                </c:pt>
                <c:pt idx="3">
                  <c:v>0.48124822128330302</c:v>
                </c:pt>
                <c:pt idx="4">
                  <c:v>0.48116677174843936</c:v>
                </c:pt>
                <c:pt idx="5">
                  <c:v>0.48000239690920588</c:v>
                </c:pt>
                <c:pt idx="6">
                  <c:v>0.48147772648654291</c:v>
                </c:pt>
                <c:pt idx="7">
                  <c:v>0.48570070676150928</c:v>
                </c:pt>
                <c:pt idx="8">
                  <c:v>0.4733036931760421</c:v>
                </c:pt>
                <c:pt idx="9">
                  <c:v>0.48132677969699383</c:v>
                </c:pt>
                <c:pt idx="10">
                  <c:v>0.48547541480914824</c:v>
                </c:pt>
                <c:pt idx="11">
                  <c:v>0.47309313284495019</c:v>
                </c:pt>
                <c:pt idx="12">
                  <c:v>0.49134890387309033</c:v>
                </c:pt>
              </c:numCache>
            </c:numRef>
          </c:val>
          <c:smooth val="0"/>
        </c:ser>
        <c:dLbls>
          <c:showLegendKey val="0"/>
          <c:showVal val="0"/>
          <c:showCatName val="0"/>
          <c:showSerName val="0"/>
          <c:showPercent val="0"/>
          <c:showBubbleSize val="0"/>
        </c:dLbls>
        <c:hiLowLines/>
        <c:marker val="1"/>
        <c:smooth val="0"/>
        <c:axId val="280940592"/>
        <c:axId val="280940200"/>
      </c:lineChart>
      <c:catAx>
        <c:axId val="280939416"/>
        <c:scaling>
          <c:orientation val="minMax"/>
        </c:scaling>
        <c:delete val="0"/>
        <c:axPos val="b"/>
        <c:numFmt formatCode="General" sourceLinked="0"/>
        <c:majorTickMark val="none"/>
        <c:minorTickMark val="none"/>
        <c:tickLblPos val="nextTo"/>
        <c:crossAx val="280939808"/>
        <c:crosses val="autoZero"/>
        <c:auto val="1"/>
        <c:lblAlgn val="ctr"/>
        <c:lblOffset val="100"/>
        <c:noMultiLvlLbl val="0"/>
      </c:catAx>
      <c:valAx>
        <c:axId val="28093980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280939416"/>
        <c:crosses val="autoZero"/>
        <c:crossBetween val="between"/>
      </c:valAx>
      <c:valAx>
        <c:axId val="28094020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280940592"/>
        <c:crosses val="max"/>
        <c:crossBetween val="between"/>
      </c:valAx>
      <c:catAx>
        <c:axId val="280940592"/>
        <c:scaling>
          <c:orientation val="minMax"/>
        </c:scaling>
        <c:delete val="1"/>
        <c:axPos val="b"/>
        <c:numFmt formatCode="General" sourceLinked="1"/>
        <c:majorTickMark val="out"/>
        <c:minorTickMark val="none"/>
        <c:tickLblPos val="nextTo"/>
        <c:crossAx val="280940200"/>
        <c:crosses val="autoZero"/>
        <c:auto val="1"/>
        <c:lblAlgn val="ctr"/>
        <c:lblOffset val="100"/>
        <c:noMultiLvlLbl val="0"/>
      </c:catAx>
      <c:spPr>
        <a:ln>
          <a:solidFill>
            <a:schemeClr val="bg1"/>
          </a:solidFill>
        </a:ln>
      </c:spPr>
    </c:plotArea>
    <c:legend>
      <c:legendPos val="r"/>
      <c:layout>
        <c:manualLayout>
          <c:xMode val="edge"/>
          <c:yMode val="edge"/>
          <c:x val="0.26415059166336852"/>
          <c:y val="6.3116158308881995E-2"/>
          <c:w val="0.50069536005201665"/>
          <c:h val="5.912239494937631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Seguro de Vejez, Discapacidad y Sobrevivencia (SVDS)</a:t>
            </a:r>
          </a:p>
          <a:p>
            <a:pPr>
              <a:defRPr/>
            </a:pPr>
            <a:r>
              <a:rPr lang="en-US"/>
              <a:t>Porcentaje de Cotizantes Activos </a:t>
            </a:r>
            <a:r>
              <a:rPr lang="en-US" baseline="0"/>
              <a:t>del Total de </a:t>
            </a:r>
            <a:r>
              <a:rPr lang="en-US"/>
              <a:t>Afiliados</a:t>
            </a:r>
            <a:r>
              <a:rPr lang="en-US" baseline="0"/>
              <a:t> </a:t>
            </a:r>
            <a:r>
              <a:rPr lang="en-US"/>
              <a:t>por AFP</a:t>
            </a:r>
          </a:p>
        </c:rich>
      </c:tx>
      <c:layout>
        <c:manualLayout>
          <c:xMode val="edge"/>
          <c:yMode val="edge"/>
          <c:x val="0.26519886009180366"/>
          <c:y val="1.4575740739016836E-2"/>
        </c:manualLayout>
      </c:layout>
      <c:overlay val="0"/>
    </c:title>
    <c:autoTitleDeleted val="0"/>
    <c:plotArea>
      <c:layout>
        <c:manualLayout>
          <c:layoutTarget val="inner"/>
          <c:xMode val="edge"/>
          <c:yMode val="edge"/>
          <c:x val="4.8668734410246654E-2"/>
          <c:y val="0.21714219330084672"/>
          <c:w val="0.9128892939818738"/>
          <c:h val="0.52526939934813421"/>
        </c:manualLayout>
      </c:layout>
      <c:barChart>
        <c:barDir val="col"/>
        <c:grouping val="clustered"/>
        <c:varyColors val="0"/>
        <c:ser>
          <c:idx val="1"/>
          <c:order val="1"/>
          <c:tx>
            <c:strRef>
              <c:f>'%Cotiz. x AFP'!$B$3</c:f>
              <c:strCache>
                <c:ptCount val="1"/>
                <c:pt idx="0">
                  <c:v>Afiliados</c:v>
                </c:pt>
              </c:strCache>
            </c:strRef>
          </c:tx>
          <c:spPr>
            <a:solidFill>
              <a:schemeClr val="accent2">
                <a:lumMod val="50000"/>
              </a:schemeClr>
            </a:solidFill>
          </c:spPr>
          <c:invertIfNegative val="0"/>
          <c:cat>
            <c:strRef>
              <c:f>'%Cotiz. x AFP'!$A$4:$A$10</c:f>
              <c:strCache>
                <c:ptCount val="7"/>
                <c:pt idx="0">
                  <c:v>Romana</c:v>
                </c:pt>
                <c:pt idx="1">
                  <c:v>Reservas</c:v>
                </c:pt>
                <c:pt idx="2">
                  <c:v>Siembra</c:v>
                </c:pt>
                <c:pt idx="3">
                  <c:v>Popular</c:v>
                </c:pt>
                <c:pt idx="4">
                  <c:v>Scotia Crecer</c:v>
                </c:pt>
                <c:pt idx="5">
                  <c:v>Reparto Individualizado</c:v>
                </c:pt>
                <c:pt idx="6">
                  <c:v>Ministerio de Hacienda</c:v>
                </c:pt>
              </c:strCache>
            </c:strRef>
          </c:cat>
          <c:val>
            <c:numRef>
              <c:f>'%Cotiz. x AFP'!$B$4:$B$10</c:f>
              <c:numCache>
                <c:formatCode>#,##0</c:formatCode>
                <c:ptCount val="7"/>
                <c:pt idx="0">
                  <c:v>22237</c:v>
                </c:pt>
                <c:pt idx="1">
                  <c:v>377667</c:v>
                </c:pt>
                <c:pt idx="2">
                  <c:v>593661</c:v>
                </c:pt>
                <c:pt idx="3">
                  <c:v>911296</c:v>
                </c:pt>
                <c:pt idx="4">
                  <c:v>960747</c:v>
                </c:pt>
                <c:pt idx="5">
                  <c:v>96183</c:v>
                </c:pt>
                <c:pt idx="6">
                  <c:v>108109</c:v>
                </c:pt>
              </c:numCache>
            </c:numRef>
          </c:val>
        </c:ser>
        <c:ser>
          <c:idx val="2"/>
          <c:order val="2"/>
          <c:tx>
            <c:strRef>
              <c:f>'%Cotiz. x AFP'!$C$3</c:f>
              <c:strCache>
                <c:ptCount val="1"/>
                <c:pt idx="0">
                  <c:v>Cotizantes</c:v>
                </c:pt>
              </c:strCache>
            </c:strRef>
          </c:tx>
          <c:spPr>
            <a:solidFill>
              <a:schemeClr val="accent5">
                <a:lumMod val="50000"/>
              </a:schemeClr>
            </a:solidFill>
          </c:spPr>
          <c:invertIfNegative val="0"/>
          <c:cat>
            <c:strRef>
              <c:f>'%Cotiz. x AFP'!$A$4:$A$10</c:f>
              <c:strCache>
                <c:ptCount val="7"/>
                <c:pt idx="0">
                  <c:v>Romana</c:v>
                </c:pt>
                <c:pt idx="1">
                  <c:v>Reservas</c:v>
                </c:pt>
                <c:pt idx="2">
                  <c:v>Siembra</c:v>
                </c:pt>
                <c:pt idx="3">
                  <c:v>Popular</c:v>
                </c:pt>
                <c:pt idx="4">
                  <c:v>Scotia Crecer</c:v>
                </c:pt>
                <c:pt idx="5">
                  <c:v>Reparto Individualizado</c:v>
                </c:pt>
                <c:pt idx="6">
                  <c:v>Ministerio de Hacienda</c:v>
                </c:pt>
              </c:strCache>
            </c:strRef>
          </c:cat>
          <c:val>
            <c:numRef>
              <c:f>'%Cotiz. x AFP'!$C$4:$C$11</c:f>
              <c:numCache>
                <c:formatCode>#,##0</c:formatCode>
                <c:ptCount val="8"/>
                <c:pt idx="0">
                  <c:v>11274</c:v>
                </c:pt>
                <c:pt idx="1">
                  <c:v>205118</c:v>
                </c:pt>
                <c:pt idx="2">
                  <c:v>275702</c:v>
                </c:pt>
                <c:pt idx="3">
                  <c:v>447951</c:v>
                </c:pt>
                <c:pt idx="4">
                  <c:v>433287</c:v>
                </c:pt>
                <c:pt idx="5">
                  <c:v>84872</c:v>
                </c:pt>
                <c:pt idx="6">
                  <c:v>42017</c:v>
                </c:pt>
                <c:pt idx="7">
                  <c:v>8171</c:v>
                </c:pt>
              </c:numCache>
            </c:numRef>
          </c:val>
        </c:ser>
        <c:dLbls>
          <c:showLegendKey val="0"/>
          <c:showVal val="0"/>
          <c:showCatName val="0"/>
          <c:showSerName val="0"/>
          <c:showPercent val="0"/>
          <c:showBubbleSize val="0"/>
        </c:dLbls>
        <c:gapWidth val="150"/>
        <c:axId val="280941376"/>
        <c:axId val="280941768"/>
      </c:barChart>
      <c:lineChart>
        <c:grouping val="standard"/>
        <c:varyColors val="0"/>
        <c:ser>
          <c:idx val="0"/>
          <c:order val="0"/>
          <c:tx>
            <c:strRef>
              <c:f>'%Cotiz. x AFP'!$D$3</c:f>
              <c:strCache>
                <c:ptCount val="1"/>
                <c:pt idx="0">
                  <c:v>% Cotizantes por AFP</c:v>
                </c:pt>
              </c:strCache>
            </c:strRef>
          </c:tx>
          <c:spPr>
            <a:ln w="50800">
              <a:gradFill>
                <a:gsLst>
                  <a:gs pos="0">
                    <a:srgbClr val="FFF200"/>
                  </a:gs>
                  <a:gs pos="45000">
                    <a:srgbClr val="FF7A00"/>
                  </a:gs>
                  <a:gs pos="70000">
                    <a:srgbClr val="FF0300"/>
                  </a:gs>
                  <a:gs pos="100000">
                    <a:srgbClr val="4D0808"/>
                  </a:gs>
                </a:gsLst>
                <a:lin ang="5400000" scaled="0"/>
              </a:gradFill>
              <a:prstDash val="sysDot"/>
            </a:ln>
          </c:spPr>
          <c:marker>
            <c:symbol val="circle"/>
            <c:size val="13"/>
            <c:spPr>
              <a:gradFill>
                <a:gsLst>
                  <a:gs pos="0">
                    <a:srgbClr val="FFF200"/>
                  </a:gs>
                  <a:gs pos="45000">
                    <a:srgbClr val="FF7A00"/>
                  </a:gs>
                  <a:gs pos="70000">
                    <a:srgbClr val="FF0300"/>
                  </a:gs>
                  <a:gs pos="100000">
                    <a:srgbClr val="4D0808"/>
                  </a:gs>
                </a:gsLst>
                <a:lin ang="5400000" scaled="0"/>
              </a:gradFill>
            </c:spPr>
          </c:marker>
          <c:dLbls>
            <c:dLbl>
              <c:idx val="3"/>
              <c:layout>
                <c:manualLayout>
                  <c:x val="-1.2129230175401448E-2"/>
                  <c:y val="-3.5058673413759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2213122214434809E-4"/>
                  <c:y val="1.35271290496298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'%Cotiz. x AFP'!$A$4:$A$10</c:f>
              <c:strCache>
                <c:ptCount val="7"/>
                <c:pt idx="0">
                  <c:v>Romana</c:v>
                </c:pt>
                <c:pt idx="1">
                  <c:v>Reservas</c:v>
                </c:pt>
                <c:pt idx="2">
                  <c:v>Siembra</c:v>
                </c:pt>
                <c:pt idx="3">
                  <c:v>Popular</c:v>
                </c:pt>
                <c:pt idx="4">
                  <c:v>Scotia Crecer</c:v>
                </c:pt>
                <c:pt idx="5">
                  <c:v>Reparto Individualizado</c:v>
                </c:pt>
                <c:pt idx="6">
                  <c:v>Ministerio de Hacienda</c:v>
                </c:pt>
              </c:strCache>
            </c:strRef>
          </c:cat>
          <c:val>
            <c:numRef>
              <c:f>'%Cotiz. x AFP'!$D$4:$D$10</c:f>
              <c:numCache>
                <c:formatCode>0%</c:formatCode>
                <c:ptCount val="7"/>
                <c:pt idx="0">
                  <c:v>0.50699284975491299</c:v>
                </c:pt>
                <c:pt idx="1">
                  <c:v>0.54311867332862018</c:v>
                </c:pt>
                <c:pt idx="2">
                  <c:v>0.46440982311453843</c:v>
                </c:pt>
                <c:pt idx="3">
                  <c:v>0.49155378713392794</c:v>
                </c:pt>
                <c:pt idx="4">
                  <c:v>0.45098969864074517</c:v>
                </c:pt>
                <c:pt idx="5">
                  <c:v>0.88240125593919927</c:v>
                </c:pt>
                <c:pt idx="6">
                  <c:v>0.38865404360414024</c:v>
                </c:pt>
              </c:numCache>
            </c:numRef>
          </c:val>
          <c:smooth val="0"/>
        </c:ser>
        <c:dLbls>
          <c:showLegendKey val="0"/>
          <c:showVal val="0"/>
          <c:showCatName val="0"/>
          <c:showSerName val="0"/>
          <c:showPercent val="0"/>
          <c:showBubbleSize val="0"/>
        </c:dLbls>
        <c:marker val="1"/>
        <c:smooth val="0"/>
        <c:axId val="280942552"/>
        <c:axId val="280942160"/>
      </c:lineChart>
      <c:catAx>
        <c:axId val="280941376"/>
        <c:scaling>
          <c:orientation val="minMax"/>
        </c:scaling>
        <c:delete val="0"/>
        <c:axPos val="b"/>
        <c:numFmt formatCode="General" sourceLinked="1"/>
        <c:majorTickMark val="out"/>
        <c:minorTickMark val="none"/>
        <c:tickLblPos val="nextTo"/>
        <c:txPr>
          <a:bodyPr rot="-2700000" vert="horz"/>
          <a:lstStyle/>
          <a:p>
            <a:pPr>
              <a:defRPr sz="1400"/>
            </a:pPr>
            <a:endParaRPr lang="es-ES"/>
          </a:p>
        </c:txPr>
        <c:crossAx val="280941768"/>
        <c:crosses val="autoZero"/>
        <c:auto val="1"/>
        <c:lblAlgn val="ctr"/>
        <c:lblOffset val="100"/>
        <c:noMultiLvlLbl val="0"/>
      </c:catAx>
      <c:valAx>
        <c:axId val="280941768"/>
        <c:scaling>
          <c:orientation val="minMax"/>
        </c:scaling>
        <c:delete val="0"/>
        <c:axPos val="l"/>
        <c:numFmt formatCode="#,##0" sourceLinked="1"/>
        <c:majorTickMark val="out"/>
        <c:minorTickMark val="none"/>
        <c:tickLblPos val="nextTo"/>
        <c:crossAx val="280941376"/>
        <c:crosses val="autoZero"/>
        <c:crossBetween val="between"/>
      </c:valAx>
      <c:valAx>
        <c:axId val="280942160"/>
        <c:scaling>
          <c:orientation val="minMax"/>
        </c:scaling>
        <c:delete val="0"/>
        <c:axPos val="r"/>
        <c:numFmt formatCode="0%" sourceLinked="1"/>
        <c:majorTickMark val="out"/>
        <c:minorTickMark val="none"/>
        <c:tickLblPos val="nextTo"/>
        <c:crossAx val="280942552"/>
        <c:crosses val="max"/>
        <c:crossBetween val="between"/>
      </c:valAx>
      <c:catAx>
        <c:axId val="280942552"/>
        <c:scaling>
          <c:orientation val="minMax"/>
        </c:scaling>
        <c:delete val="1"/>
        <c:axPos val="b"/>
        <c:numFmt formatCode="General" sourceLinked="1"/>
        <c:majorTickMark val="out"/>
        <c:minorTickMark val="none"/>
        <c:tickLblPos val="nextTo"/>
        <c:crossAx val="280942160"/>
        <c:crosses val="autoZero"/>
        <c:auto val="1"/>
        <c:lblAlgn val="ctr"/>
        <c:lblOffset val="100"/>
        <c:noMultiLvlLbl val="0"/>
      </c:catAx>
    </c:plotArea>
    <c:legend>
      <c:legendPos val="r"/>
      <c:layout>
        <c:manualLayout>
          <c:xMode val="edge"/>
          <c:yMode val="edge"/>
          <c:x val="0.22972940811116488"/>
          <c:y val="9.9079713489140311E-2"/>
          <c:w val="0.52991653202966349"/>
          <c:h val="4.535312505539227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a:pPr>
            <a:r>
              <a:rPr lang="es-DO" sz="1800"/>
              <a:t>Porcentaje de Afiliación Total Anual del SVDS por Sexo </a:t>
            </a:r>
          </a:p>
        </c:rich>
      </c:tx>
      <c:layout>
        <c:manualLayout>
          <c:xMode val="edge"/>
          <c:yMode val="edge"/>
          <c:x val="0.29884307275950722"/>
          <c:y val="2.753593493713893E-2"/>
        </c:manualLayout>
      </c:layout>
      <c:overlay val="0"/>
    </c:title>
    <c:autoTitleDeleted val="0"/>
    <c:view3D>
      <c:rotX val="20"/>
      <c:rotY val="0"/>
      <c:rAngAx val="0"/>
    </c:view3D>
    <c:floor>
      <c:thickness val="0"/>
    </c:floor>
    <c:sideWall>
      <c:thickness val="0"/>
    </c:sideWall>
    <c:backWall>
      <c:thickness val="0"/>
    </c:backWall>
    <c:plotArea>
      <c:layout>
        <c:manualLayout>
          <c:layoutTarget val="inner"/>
          <c:xMode val="edge"/>
          <c:yMode val="edge"/>
          <c:x val="1.8611351026740337E-2"/>
          <c:y val="0.13438349318268791"/>
          <c:w val="0.96179775315563809"/>
          <c:h val="0.75733885063851203"/>
        </c:manualLayout>
      </c:layout>
      <c:bar3DChart>
        <c:barDir val="col"/>
        <c:grouping val="standard"/>
        <c:varyColors val="0"/>
        <c:ser>
          <c:idx val="1"/>
          <c:order val="0"/>
          <c:tx>
            <c:strRef>
              <c:f>'V.1.4 Afil. SVDS x sexo'!$F$3</c:f>
              <c:strCache>
                <c:ptCount val="1"/>
                <c:pt idx="0">
                  <c:v>% Femenino</c:v>
                </c:pt>
              </c:strCache>
            </c:strRef>
          </c:tx>
          <c:spPr>
            <a:solidFill>
              <a:schemeClr val="accent2">
                <a:lumMod val="75000"/>
              </a:schemeClr>
            </a:solidFill>
          </c:spPr>
          <c:invertIfNegative val="0"/>
          <c:dLbls>
            <c:dLbl>
              <c:idx val="0"/>
              <c:layout>
                <c:manualLayout>
                  <c:x val="0"/>
                  <c:y val="8.71971273009398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031314356665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9590895817621409E-3"/>
                  <c:y val="7.5723821077132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26078048114167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490246605617836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178644979046310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18324548499637E-17"/>
                  <c:y val="9.17864497904631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590895817621409E-3"/>
                  <c:y val="9.17864497904630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36649096999274E-16"/>
                  <c:y val="0.1055544172590325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25975601427098"/>
                </c:manualLayout>
              </c:layout>
              <c:spPr>
                <a:effectLst>
                  <a:glow rad="1003300">
                    <a:schemeClr val="accent1">
                      <a:alpha val="89000"/>
                    </a:schemeClr>
                  </a:glow>
                </a:effectLst>
              </c:spPr>
              <c:txPr>
                <a:bodyPr/>
                <a:lstStyle/>
                <a:p>
                  <a:pPr>
                    <a:defRPr sz="16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effectLst>
                <a:glow rad="1003300">
                  <a:schemeClr val="accent1">
                    <a:alpha val="89000"/>
                  </a:schemeClr>
                </a:glow>
              </a:effectLst>
            </c:spPr>
            <c:txPr>
              <a:bodyPr/>
              <a:lstStyle/>
              <a:p>
                <a:pPr>
                  <a:defRPr sz="14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 Afil. SVDS x sexo'!$A$4:$A$15</c:f>
              <c:strCache>
                <c:ptCount val="10"/>
                <c:pt idx="0">
                  <c:v> Dic. 05</c:v>
                </c:pt>
                <c:pt idx="1">
                  <c:v> Dic. 06</c:v>
                </c:pt>
                <c:pt idx="2">
                  <c:v> Dic. 07</c:v>
                </c:pt>
                <c:pt idx="3">
                  <c:v> Dic. 08</c:v>
                </c:pt>
                <c:pt idx="4">
                  <c:v> Dic. 09</c:v>
                </c:pt>
                <c:pt idx="5">
                  <c:v> Dic. 10</c:v>
                </c:pt>
                <c:pt idx="6">
                  <c:v> Dic. 11</c:v>
                </c:pt>
                <c:pt idx="7">
                  <c:v> Dic. 12</c:v>
                </c:pt>
                <c:pt idx="8">
                  <c:v> Dic. 13</c:v>
                </c:pt>
                <c:pt idx="9">
                  <c:v> Dic. 14</c:v>
                </c:pt>
              </c:strCache>
            </c:strRef>
          </c:cat>
          <c:val>
            <c:numRef>
              <c:f>'V.1.4 Afil. SVDS x sexo'!$F$4:$F$15</c:f>
              <c:numCache>
                <c:formatCode>0.0%</c:formatCode>
                <c:ptCount val="10"/>
                <c:pt idx="0">
                  <c:v>0.4203890673869079</c:v>
                </c:pt>
                <c:pt idx="1">
                  <c:v>0.41455954566885367</c:v>
                </c:pt>
                <c:pt idx="2">
                  <c:v>0.41241450462346979</c:v>
                </c:pt>
                <c:pt idx="3">
                  <c:v>0.41240144778496968</c:v>
                </c:pt>
                <c:pt idx="4">
                  <c:v>0.41569358536663187</c:v>
                </c:pt>
                <c:pt idx="5">
                  <c:v>0.41740529555753092</c:v>
                </c:pt>
                <c:pt idx="6">
                  <c:v>0.41999761846379946</c:v>
                </c:pt>
                <c:pt idx="7">
                  <c:v>0.42142806882722794</c:v>
                </c:pt>
                <c:pt idx="8">
                  <c:v>0.42345642161235347</c:v>
                </c:pt>
                <c:pt idx="9">
                  <c:v>0.42671552819310077</c:v>
                </c:pt>
              </c:numCache>
            </c:numRef>
          </c:val>
        </c:ser>
        <c:ser>
          <c:idx val="0"/>
          <c:order val="1"/>
          <c:tx>
            <c:strRef>
              <c:f>'V.1.4 Afil. SVDS x sexo'!$E$3</c:f>
              <c:strCache>
                <c:ptCount val="1"/>
                <c:pt idx="0">
                  <c:v>% Masculino</c:v>
                </c:pt>
              </c:strCache>
            </c:strRef>
          </c:tx>
          <c:spPr>
            <a:solidFill>
              <a:schemeClr val="accent5">
                <a:lumMod val="50000"/>
              </a:schemeClr>
            </a:solidFill>
          </c:spPr>
          <c:invertIfNegative val="0"/>
          <c:dLbls>
            <c:dLbl>
              <c:idx val="0"/>
              <c:layout>
                <c:manualLayout>
                  <c:x val="-1.9590895817621409E-3"/>
                  <c:y val="6.88398373428473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386343726432113E-3"/>
                  <c:y val="6.65451760980857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9590895817621049E-3"/>
                  <c:y val="7.5723821077132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883983734284732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6.883983734284732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954479088107043E-4"/>
                  <c:y val="6.65451760980857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7954479088099866E-4"/>
                  <c:y val="6.654517609808574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88398373428473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590895817621409E-3"/>
                  <c:y val="6.42505148533241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8977239544053522E-3"/>
                  <c:y val="7.3428979150382739E-2"/>
                </c:manualLayout>
              </c:layout>
              <c:spPr/>
              <c:txPr>
                <a:bodyPr/>
                <a:lstStyle/>
                <a:p>
                  <a:pPr>
                    <a:defRPr sz="16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 Afil. SVDS x sexo'!$A$4:$A$15</c:f>
              <c:strCache>
                <c:ptCount val="10"/>
                <c:pt idx="0">
                  <c:v> Dic. 05</c:v>
                </c:pt>
                <c:pt idx="1">
                  <c:v> Dic. 06</c:v>
                </c:pt>
                <c:pt idx="2">
                  <c:v> Dic. 07</c:v>
                </c:pt>
                <c:pt idx="3">
                  <c:v> Dic. 08</c:v>
                </c:pt>
                <c:pt idx="4">
                  <c:v> Dic. 09</c:v>
                </c:pt>
                <c:pt idx="5">
                  <c:v> Dic. 10</c:v>
                </c:pt>
                <c:pt idx="6">
                  <c:v> Dic. 11</c:v>
                </c:pt>
                <c:pt idx="7">
                  <c:v> Dic. 12</c:v>
                </c:pt>
                <c:pt idx="8">
                  <c:v> Dic. 13</c:v>
                </c:pt>
                <c:pt idx="9">
                  <c:v> Dic. 14</c:v>
                </c:pt>
              </c:strCache>
            </c:strRef>
          </c:cat>
          <c:val>
            <c:numRef>
              <c:f>'V.1.4 Afil. SVDS x sexo'!$E$4:$E$15</c:f>
              <c:numCache>
                <c:formatCode>0.0%</c:formatCode>
                <c:ptCount val="10"/>
                <c:pt idx="0">
                  <c:v>0.57961093261309204</c:v>
                </c:pt>
                <c:pt idx="1">
                  <c:v>0.58544045433114633</c:v>
                </c:pt>
                <c:pt idx="2">
                  <c:v>0.58758549537653026</c:v>
                </c:pt>
                <c:pt idx="3">
                  <c:v>0.58759855221503032</c:v>
                </c:pt>
                <c:pt idx="4">
                  <c:v>0.58430641463336808</c:v>
                </c:pt>
                <c:pt idx="5">
                  <c:v>0.58259470444246908</c:v>
                </c:pt>
                <c:pt idx="6">
                  <c:v>0.58000238153620054</c:v>
                </c:pt>
                <c:pt idx="7">
                  <c:v>0.57857193117277206</c:v>
                </c:pt>
                <c:pt idx="8">
                  <c:v>0.57654357838764647</c:v>
                </c:pt>
                <c:pt idx="9">
                  <c:v>0.57328447180689923</c:v>
                </c:pt>
              </c:numCache>
            </c:numRef>
          </c:val>
        </c:ser>
        <c:dLbls>
          <c:showLegendKey val="0"/>
          <c:showVal val="1"/>
          <c:showCatName val="0"/>
          <c:showSerName val="0"/>
          <c:showPercent val="0"/>
          <c:showBubbleSize val="0"/>
        </c:dLbls>
        <c:gapWidth val="68"/>
        <c:shape val="cylinder"/>
        <c:axId val="280943336"/>
        <c:axId val="280943728"/>
        <c:axId val="280050832"/>
      </c:bar3DChart>
      <c:catAx>
        <c:axId val="280943336"/>
        <c:scaling>
          <c:orientation val="minMax"/>
        </c:scaling>
        <c:delete val="0"/>
        <c:axPos val="b"/>
        <c:numFmt formatCode="General" sourceLinked="0"/>
        <c:majorTickMark val="none"/>
        <c:minorTickMark val="none"/>
        <c:tickLblPos val="nextTo"/>
        <c:txPr>
          <a:bodyPr/>
          <a:lstStyle/>
          <a:p>
            <a:pPr>
              <a:defRPr sz="1600"/>
            </a:pPr>
            <a:endParaRPr lang="es-ES"/>
          </a:p>
        </c:txPr>
        <c:crossAx val="280943728"/>
        <c:crosses val="autoZero"/>
        <c:auto val="1"/>
        <c:lblAlgn val="ctr"/>
        <c:lblOffset val="100"/>
        <c:noMultiLvlLbl val="0"/>
      </c:catAx>
      <c:valAx>
        <c:axId val="280943728"/>
        <c:scaling>
          <c:orientation val="minMax"/>
        </c:scaling>
        <c:delete val="1"/>
        <c:axPos val="l"/>
        <c:numFmt formatCode="0.0%" sourceLinked="1"/>
        <c:majorTickMark val="out"/>
        <c:minorTickMark val="none"/>
        <c:tickLblPos val="nextTo"/>
        <c:crossAx val="280943336"/>
        <c:crosses val="autoZero"/>
        <c:crossBetween val="between"/>
      </c:valAx>
      <c:serAx>
        <c:axId val="280050832"/>
        <c:scaling>
          <c:orientation val="minMax"/>
        </c:scaling>
        <c:delete val="1"/>
        <c:axPos val="b"/>
        <c:majorTickMark val="out"/>
        <c:minorTickMark val="none"/>
        <c:tickLblPos val="nextTo"/>
        <c:crossAx val="280943728"/>
        <c:crosses val="autoZero"/>
      </c:serAx>
    </c:plotArea>
    <c:legend>
      <c:legendPos val="t"/>
      <c:layout>
        <c:manualLayout>
          <c:xMode val="edge"/>
          <c:yMode val="edge"/>
          <c:x val="0.33567611652294604"/>
          <c:y val="0.92029683882407831"/>
          <c:w val="0.34040230444468061"/>
          <c:h val="4.704868620706228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Seguro de Vejez, Discapacidad y Sobrevivencia (SVDS)</a:t>
            </a:r>
          </a:p>
          <a:p>
            <a:pPr>
              <a:defRPr sz="1600"/>
            </a:pPr>
            <a:r>
              <a:rPr lang="es-DO" sz="1600"/>
              <a:t>Cotizantes del SVDS por Rango de Edad</a:t>
            </a:r>
          </a:p>
        </c:rich>
      </c:tx>
      <c:layout>
        <c:manualLayout>
          <c:xMode val="edge"/>
          <c:yMode val="edge"/>
          <c:x val="0.27861981820746062"/>
          <c:y val="4.2375511092040276E-2"/>
        </c:manualLayout>
      </c:layout>
      <c:overlay val="1"/>
    </c:title>
    <c:autoTitleDeleted val="0"/>
    <c:view3D>
      <c:rotX val="10"/>
      <c:rotY val="10"/>
      <c:rAngAx val="0"/>
      <c:perspective val="20"/>
    </c:view3D>
    <c:floor>
      <c:thickness val="0"/>
    </c:floor>
    <c:sideWall>
      <c:thickness val="0"/>
    </c:sideWall>
    <c:backWall>
      <c:thickness val="0"/>
    </c:backWall>
    <c:plotArea>
      <c:layout>
        <c:manualLayout>
          <c:layoutTarget val="inner"/>
          <c:xMode val="edge"/>
          <c:yMode val="edge"/>
          <c:x val="1.5137435418259312E-2"/>
          <c:y val="0.24752920740443654"/>
          <c:w val="0.97519274259184563"/>
          <c:h val="0.54443722985611676"/>
        </c:manualLayout>
      </c:layout>
      <c:bar3DChart>
        <c:barDir val="col"/>
        <c:grouping val="clustered"/>
        <c:varyColors val="0"/>
        <c:ser>
          <c:idx val="0"/>
          <c:order val="0"/>
          <c:tx>
            <c:strRef>
              <c:f>'V.1.5 Cotiz. x rango de edad'!$B$3</c:f>
              <c:strCache>
                <c:ptCount val="1"/>
                <c:pt idx="0">
                  <c:v>Cotizantes</c:v>
                </c:pt>
              </c:strCache>
            </c:strRef>
          </c:tx>
          <c:spPr>
            <a:ln>
              <a:solidFill>
                <a:schemeClr val="accent2">
                  <a:lumMod val="75000"/>
                </a:schemeClr>
              </a:solidFill>
            </a:ln>
          </c:spPr>
          <c:invertIfNegative val="0"/>
          <c:dLbls>
            <c:spPr>
              <a:noFill/>
              <a:ln>
                <a:noFill/>
              </a:ln>
              <a:effectLst/>
            </c:spPr>
            <c:txPr>
              <a:bodyPr/>
              <a:lstStyle/>
              <a:p>
                <a:pPr>
                  <a:defRPr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'V.1.5 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'V.1.5 Cotiz. x rango de edad'!$B$4:$B$13</c:f>
              <c:numCache>
                <c:formatCode>_(* #,##0_);_(* \(#,##0\);_(* "-"_);_(@_)</c:formatCode>
                <c:ptCount val="10"/>
                <c:pt idx="0">
                  <c:v>19180</c:v>
                </c:pt>
                <c:pt idx="1">
                  <c:v>189184</c:v>
                </c:pt>
                <c:pt idx="2">
                  <c:v>235141</c:v>
                </c:pt>
                <c:pt idx="3">
                  <c:v>227633</c:v>
                </c:pt>
                <c:pt idx="4">
                  <c:v>206058</c:v>
                </c:pt>
                <c:pt idx="5">
                  <c:v>174577</c:v>
                </c:pt>
                <c:pt idx="6">
                  <c:v>149614</c:v>
                </c:pt>
                <c:pt idx="7">
                  <c:v>116217</c:v>
                </c:pt>
                <c:pt idx="8">
                  <c:v>83146</c:v>
                </c:pt>
                <c:pt idx="9">
                  <c:v>107642</c:v>
                </c:pt>
              </c:numCache>
            </c:numRef>
          </c:val>
        </c:ser>
        <c:dLbls>
          <c:showLegendKey val="0"/>
          <c:showVal val="1"/>
          <c:showCatName val="0"/>
          <c:showSerName val="0"/>
          <c:showPercent val="0"/>
          <c:showBubbleSize val="0"/>
        </c:dLbls>
        <c:gapWidth val="49"/>
        <c:shape val="cylinder"/>
        <c:axId val="280944512"/>
        <c:axId val="280944904"/>
        <c:axId val="0"/>
      </c:bar3DChart>
      <c:catAx>
        <c:axId val="280944512"/>
        <c:scaling>
          <c:orientation val="minMax"/>
        </c:scaling>
        <c:delete val="0"/>
        <c:axPos val="b"/>
        <c:numFmt formatCode="General" sourceLinked="0"/>
        <c:majorTickMark val="none"/>
        <c:minorTickMark val="none"/>
        <c:tickLblPos val="nextTo"/>
        <c:txPr>
          <a:bodyPr rot="-2700000" vert="horz"/>
          <a:lstStyle/>
          <a:p>
            <a:pPr>
              <a:defRPr sz="1200"/>
            </a:pPr>
            <a:endParaRPr lang="es-ES"/>
          </a:p>
        </c:txPr>
        <c:crossAx val="280944904"/>
        <c:crosses val="autoZero"/>
        <c:auto val="1"/>
        <c:lblAlgn val="ctr"/>
        <c:lblOffset val="100"/>
        <c:noMultiLvlLbl val="0"/>
      </c:catAx>
      <c:valAx>
        <c:axId val="280944904"/>
        <c:scaling>
          <c:orientation val="minMax"/>
        </c:scaling>
        <c:delete val="1"/>
        <c:axPos val="l"/>
        <c:numFmt formatCode="_(* #,##0_);_(* \(#,##0\);_(* &quot;-&quot;_);_(@_)" sourceLinked="1"/>
        <c:majorTickMark val="out"/>
        <c:minorTickMark val="none"/>
        <c:tickLblPos val="nextTo"/>
        <c:crossAx val="2809445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0321936306818522E-2"/>
          <c:y val="0.22765765065043655"/>
          <c:w val="0.89174281235795805"/>
          <c:h val="0.66162663998066606"/>
        </c:manualLayout>
      </c:layout>
      <c:barChart>
        <c:barDir val="col"/>
        <c:grouping val="clustered"/>
        <c:varyColors val="0"/>
        <c:ser>
          <c:idx val="0"/>
          <c:order val="0"/>
          <c:tx>
            <c:strRef>
              <c:f>'V.1.5 Cotiz. x rango de edad (2'!$B$3</c:f>
              <c:strCache>
                <c:ptCount val="1"/>
                <c:pt idx="0">
                  <c:v>Población Ocupada Formal</c:v>
                </c:pt>
              </c:strCache>
            </c:strRef>
          </c:tx>
          <c:invertIfNegative val="0"/>
          <c:dLbls>
            <c:dLbl>
              <c:idx val="0"/>
              <c:layout>
                <c:manualLayout>
                  <c:x val="-2.1575843393139695E-17"/>
                  <c:y val="5.268048240173992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'V.1.5 Cotiz. x rango de edad (2'!$A$4:$A$7</c:f>
              <c:strCache>
                <c:ptCount val="4"/>
                <c:pt idx="0">
                  <c:v>Menor de 19 </c:v>
                </c:pt>
                <c:pt idx="1">
                  <c:v>20-39 años</c:v>
                </c:pt>
                <c:pt idx="2">
                  <c:v>40-59 años</c:v>
                </c:pt>
                <c:pt idx="3">
                  <c:v>60 y más</c:v>
                </c:pt>
              </c:strCache>
            </c:strRef>
          </c:cat>
          <c:val>
            <c:numRef>
              <c:f>'V.1.5 Cotiz. x rango de edad (2'!$B$4:$B$7</c:f>
              <c:numCache>
                <c:formatCode>#,##0</c:formatCode>
                <c:ptCount val="4"/>
                <c:pt idx="0">
                  <c:v>66479</c:v>
                </c:pt>
                <c:pt idx="1">
                  <c:v>1024794</c:v>
                </c:pt>
                <c:pt idx="2">
                  <c:v>654386</c:v>
                </c:pt>
                <c:pt idx="3">
                  <c:v>119837</c:v>
                </c:pt>
              </c:numCache>
            </c:numRef>
          </c:val>
        </c:ser>
        <c:dLbls>
          <c:showLegendKey val="0"/>
          <c:showVal val="0"/>
          <c:showCatName val="0"/>
          <c:showSerName val="0"/>
          <c:showPercent val="0"/>
          <c:showBubbleSize val="0"/>
        </c:dLbls>
        <c:gapWidth val="108"/>
        <c:axId val="280945688"/>
        <c:axId val="280946080"/>
      </c:barChart>
      <c:lineChart>
        <c:grouping val="standard"/>
        <c:varyColors val="0"/>
        <c:ser>
          <c:idx val="1"/>
          <c:order val="1"/>
          <c:tx>
            <c:strRef>
              <c:f>'V.1.5 Cotiz. x rango de edad (2'!$D$3</c:f>
              <c:strCache>
                <c:ptCount val="1"/>
                <c:pt idx="0">
                  <c:v>%  Cotizantes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c:spPr>
          </c:marker>
          <c:dLbls>
            <c:dLbl>
              <c:idx val="3"/>
              <c:layout>
                <c:manualLayout>
                  <c:x val="-3.3182856690110007E-2"/>
                  <c:y val="-5.272122579193612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'V.1.5 Cotiz. x rango de edad (2'!$A$4:$A$7</c:f>
              <c:strCache>
                <c:ptCount val="4"/>
                <c:pt idx="0">
                  <c:v>Menor de 19 </c:v>
                </c:pt>
                <c:pt idx="1">
                  <c:v>20-39 años</c:v>
                </c:pt>
                <c:pt idx="2">
                  <c:v>40-59 años</c:v>
                </c:pt>
                <c:pt idx="3">
                  <c:v>60 y más</c:v>
                </c:pt>
              </c:strCache>
            </c:strRef>
          </c:cat>
          <c:val>
            <c:numRef>
              <c:f>'V.1.5 Cotiz. x rango de edad (2'!$D$4:$D$7</c:f>
              <c:numCache>
                <c:formatCode>0.0%</c:formatCode>
                <c:ptCount val="4"/>
                <c:pt idx="0">
                  <c:v>0.28851216173528482</c:v>
                </c:pt>
                <c:pt idx="1">
                  <c:v>0.83725704873369677</c:v>
                </c:pt>
                <c:pt idx="2">
                  <c:v>0.80006907238235536</c:v>
                </c:pt>
                <c:pt idx="3">
                  <c:v>0.89823677161477677</c:v>
                </c:pt>
              </c:numCache>
            </c:numRef>
          </c:val>
          <c:smooth val="0"/>
        </c:ser>
        <c:dLbls>
          <c:showLegendKey val="0"/>
          <c:showVal val="0"/>
          <c:showCatName val="0"/>
          <c:showSerName val="0"/>
          <c:showPercent val="0"/>
          <c:showBubbleSize val="0"/>
        </c:dLbls>
        <c:marker val="1"/>
        <c:smooth val="0"/>
        <c:axId val="280946864"/>
        <c:axId val="280946472"/>
      </c:lineChart>
      <c:catAx>
        <c:axId val="280945688"/>
        <c:scaling>
          <c:orientation val="minMax"/>
        </c:scaling>
        <c:delete val="0"/>
        <c:axPos val="b"/>
        <c:numFmt formatCode="General" sourceLinked="0"/>
        <c:majorTickMark val="out"/>
        <c:minorTickMark val="none"/>
        <c:tickLblPos val="nextTo"/>
        <c:crossAx val="280946080"/>
        <c:crosses val="autoZero"/>
        <c:auto val="1"/>
        <c:lblAlgn val="ctr"/>
        <c:lblOffset val="100"/>
        <c:noMultiLvlLbl val="0"/>
      </c:catAx>
      <c:valAx>
        <c:axId val="280946080"/>
        <c:scaling>
          <c:orientation val="minMax"/>
        </c:scaling>
        <c:delete val="0"/>
        <c:axPos val="l"/>
        <c:numFmt formatCode="#,##0" sourceLinked="1"/>
        <c:majorTickMark val="out"/>
        <c:minorTickMark val="none"/>
        <c:tickLblPos val="nextTo"/>
        <c:crossAx val="280945688"/>
        <c:crosses val="autoZero"/>
        <c:crossBetween val="between"/>
      </c:valAx>
      <c:valAx>
        <c:axId val="280946472"/>
        <c:scaling>
          <c:orientation val="minMax"/>
          <c:max val="1.5"/>
        </c:scaling>
        <c:delete val="0"/>
        <c:axPos val="r"/>
        <c:numFmt formatCode="0.0%" sourceLinked="1"/>
        <c:majorTickMark val="out"/>
        <c:minorTickMark val="none"/>
        <c:tickLblPos val="nextTo"/>
        <c:crossAx val="280946864"/>
        <c:crosses val="max"/>
        <c:crossBetween val="between"/>
      </c:valAx>
      <c:catAx>
        <c:axId val="280946864"/>
        <c:scaling>
          <c:orientation val="minMax"/>
        </c:scaling>
        <c:delete val="1"/>
        <c:axPos val="b"/>
        <c:numFmt formatCode="General" sourceLinked="1"/>
        <c:majorTickMark val="out"/>
        <c:minorTickMark val="none"/>
        <c:tickLblPos val="nextTo"/>
        <c:crossAx val="280946472"/>
        <c:crosses val="autoZero"/>
        <c:auto val="1"/>
        <c:lblAlgn val="ctr"/>
        <c:lblOffset val="100"/>
        <c:noMultiLvlLbl val="0"/>
      </c:catAx>
      <c:spPr>
        <a:ln>
          <a:noFill/>
        </a:ln>
      </c:spPr>
    </c:plotArea>
    <c:legend>
      <c:legendPos val="r"/>
      <c:layout>
        <c:manualLayout>
          <c:xMode val="edge"/>
          <c:yMode val="edge"/>
          <c:x val="0.26913193216921272"/>
          <c:y val="0.16192324666408983"/>
          <c:w val="0.50246927481147097"/>
          <c:h val="5.9046006138190041E-2"/>
        </c:manualLayout>
      </c:layout>
      <c:overlay val="0"/>
      <c:txPr>
        <a:bodyPr/>
        <a:lstStyle/>
        <a:p>
          <a:pPr>
            <a:defRPr sz="1200"/>
          </a:pPr>
          <a:endParaRPr lang="es-ES"/>
        </a:p>
      </c:txPr>
    </c:legend>
    <c:plotVisOnly val="1"/>
    <c:dispBlanksAs val="gap"/>
    <c:showDLblsOverMax val="0"/>
  </c:chart>
  <c:spPr>
    <a:ln>
      <a:noFill/>
    </a:ln>
  </c:spPr>
  <c:txPr>
    <a:bodyPr/>
    <a:lstStyle/>
    <a:p>
      <a:pPr>
        <a:defRPr>
          <a:solidFill>
            <a:sysClr val="windowText" lastClr="000000"/>
          </a:solidFill>
        </a:defRPr>
      </a:pPr>
      <a:endParaRPr lang="es-ES"/>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7.2398446194225738E-2"/>
          <c:y val="0.14991479826063767"/>
          <c:w val="0.86482721259842521"/>
          <c:h val="0.67609023302906612"/>
        </c:manualLayout>
      </c:layout>
      <c:barChart>
        <c:barDir val="col"/>
        <c:grouping val="clustered"/>
        <c:varyColors val="0"/>
        <c:ser>
          <c:idx val="0"/>
          <c:order val="0"/>
          <c:tx>
            <c:strRef>
              <c:f>'V.1.6 Cotiz x sal. min. cot.'!$B$4</c:f>
              <c:strCache>
                <c:ptCount val="1"/>
                <c:pt idx="0">
                  <c:v>Cotizantes</c:v>
                </c:pt>
              </c:strCache>
            </c:strRef>
          </c:tx>
          <c:invertIfNegative val="0"/>
          <c:dLbls>
            <c:dLbl>
              <c:idx val="5"/>
              <c:layout>
                <c:manualLayout>
                  <c:x val="1.0528950634486332E-3"/>
                  <c:y val="4.5819024809522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3.482245885523727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529779751001385E-3"/>
                  <c:y val="3.115693687047546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529779751002931E-3"/>
                  <c:y val="2.74914148857136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'V.1.6 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'V.1.6 Cotiz x sal. min. cot.'!$B$5:$B$13</c:f>
              <c:numCache>
                <c:formatCode>#,##0</c:formatCode>
                <c:ptCount val="9"/>
                <c:pt idx="0">
                  <c:v>493132</c:v>
                </c:pt>
                <c:pt idx="1">
                  <c:v>517935</c:v>
                </c:pt>
                <c:pt idx="2">
                  <c:v>176545</c:v>
                </c:pt>
                <c:pt idx="3">
                  <c:v>102323</c:v>
                </c:pt>
                <c:pt idx="4">
                  <c:v>124344</c:v>
                </c:pt>
                <c:pt idx="5">
                  <c:v>35546</c:v>
                </c:pt>
                <c:pt idx="6">
                  <c:v>21228</c:v>
                </c:pt>
                <c:pt idx="7">
                  <c:v>20458</c:v>
                </c:pt>
                <c:pt idx="8">
                  <c:v>16881</c:v>
                </c:pt>
              </c:numCache>
            </c:numRef>
          </c:val>
        </c:ser>
        <c:dLbls>
          <c:showLegendKey val="0"/>
          <c:showVal val="0"/>
          <c:showCatName val="0"/>
          <c:showSerName val="0"/>
          <c:showPercent val="0"/>
          <c:showBubbleSize val="0"/>
        </c:dLbls>
        <c:gapWidth val="63"/>
        <c:axId val="280947648"/>
        <c:axId val="280948040"/>
      </c:barChart>
      <c:lineChart>
        <c:grouping val="standard"/>
        <c:varyColors val="0"/>
        <c:ser>
          <c:idx val="1"/>
          <c:order val="1"/>
          <c:tx>
            <c:strRef>
              <c:f>'V.1.6 Cotiz x sal. min. cot.'!$C$4</c:f>
              <c:strCache>
                <c:ptCount val="1"/>
                <c:pt idx="0">
                  <c:v>% Cotizantes</c:v>
                </c:pt>
              </c:strCache>
            </c:strRef>
          </c:tx>
          <c:spPr>
            <a:ln w="47625">
              <a:gradFill>
                <a:gsLst>
                  <a:gs pos="0">
                    <a:srgbClr val="FFF200"/>
                  </a:gs>
                  <a:gs pos="45000">
                    <a:srgbClr val="FF7A00"/>
                  </a:gs>
                  <a:gs pos="70000">
                    <a:srgbClr val="FF0300"/>
                  </a:gs>
                  <a:gs pos="100000">
                    <a:srgbClr val="4D0808"/>
                  </a:gs>
                </a:gsLst>
                <a:lin ang="5400000" scaled="0"/>
              </a:gradFill>
              <a:prstDash val="sysDot"/>
            </a:ln>
          </c:spPr>
          <c:marker>
            <c:symbol val="circle"/>
            <c:size val="14"/>
          </c:marker>
          <c:dLbls>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'V.1.6 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'V.1.6 Cotiz x sal. min. cot.'!$C$5:$C$13</c:f>
              <c:numCache>
                <c:formatCode>0.0%</c:formatCode>
                <c:ptCount val="9"/>
                <c:pt idx="0">
                  <c:v>0.32692562676015252</c:v>
                </c:pt>
                <c:pt idx="1">
                  <c:v>0.34336896509660619</c:v>
                </c:pt>
                <c:pt idx="2">
                  <c:v>0.11704185649353749</c:v>
                </c:pt>
                <c:pt idx="3">
                  <c:v>6.7835814562792696E-2</c:v>
                </c:pt>
                <c:pt idx="4">
                  <c:v>8.2434804745715962E-2</c:v>
                </c:pt>
                <c:pt idx="5">
                  <c:v>2.3565492259306601E-2</c:v>
                </c:pt>
                <c:pt idx="6">
                  <c:v>1.4073264774673957E-2</c:v>
                </c:pt>
                <c:pt idx="7">
                  <c:v>1.3562787392136792E-2</c:v>
                </c:pt>
                <c:pt idx="8">
                  <c:v>1.1191387915077778E-2</c:v>
                </c:pt>
              </c:numCache>
            </c:numRef>
          </c:val>
          <c:smooth val="0"/>
        </c:ser>
        <c:dLbls>
          <c:showLegendKey val="0"/>
          <c:showVal val="0"/>
          <c:showCatName val="0"/>
          <c:showSerName val="0"/>
          <c:showPercent val="0"/>
          <c:showBubbleSize val="0"/>
        </c:dLbls>
        <c:marker val="1"/>
        <c:smooth val="0"/>
        <c:axId val="280948824"/>
        <c:axId val="280948432"/>
      </c:lineChart>
      <c:catAx>
        <c:axId val="280947648"/>
        <c:scaling>
          <c:orientation val="minMax"/>
        </c:scaling>
        <c:delete val="0"/>
        <c:axPos val="b"/>
        <c:numFmt formatCode="General" sourceLinked="0"/>
        <c:majorTickMark val="out"/>
        <c:minorTickMark val="none"/>
        <c:tickLblPos val="nextTo"/>
        <c:txPr>
          <a:bodyPr rot="-2700000" vert="horz"/>
          <a:lstStyle/>
          <a:p>
            <a:pPr>
              <a:defRPr sz="1200"/>
            </a:pPr>
            <a:endParaRPr lang="es-ES"/>
          </a:p>
        </c:txPr>
        <c:crossAx val="280948040"/>
        <c:crosses val="autoZero"/>
        <c:auto val="1"/>
        <c:lblAlgn val="ctr"/>
        <c:lblOffset val="100"/>
        <c:noMultiLvlLbl val="0"/>
      </c:catAx>
      <c:valAx>
        <c:axId val="280948040"/>
        <c:scaling>
          <c:orientation val="minMax"/>
        </c:scaling>
        <c:delete val="0"/>
        <c:axPos val="l"/>
        <c:numFmt formatCode="#,##0" sourceLinked="1"/>
        <c:majorTickMark val="out"/>
        <c:minorTickMark val="none"/>
        <c:tickLblPos val="nextTo"/>
        <c:crossAx val="280947648"/>
        <c:crosses val="autoZero"/>
        <c:crossBetween val="between"/>
      </c:valAx>
      <c:valAx>
        <c:axId val="280948432"/>
        <c:scaling>
          <c:orientation val="minMax"/>
          <c:max val="1"/>
        </c:scaling>
        <c:delete val="0"/>
        <c:axPos val="r"/>
        <c:numFmt formatCode="0.0%" sourceLinked="1"/>
        <c:majorTickMark val="out"/>
        <c:minorTickMark val="none"/>
        <c:tickLblPos val="nextTo"/>
        <c:crossAx val="280948824"/>
        <c:crosses val="max"/>
        <c:crossBetween val="between"/>
      </c:valAx>
      <c:catAx>
        <c:axId val="280948824"/>
        <c:scaling>
          <c:orientation val="minMax"/>
        </c:scaling>
        <c:delete val="1"/>
        <c:axPos val="b"/>
        <c:numFmt formatCode="General" sourceLinked="1"/>
        <c:majorTickMark val="out"/>
        <c:minorTickMark val="none"/>
        <c:tickLblPos val="nextTo"/>
        <c:crossAx val="280948432"/>
        <c:crosses val="autoZero"/>
        <c:auto val="1"/>
        <c:lblAlgn val="ctr"/>
        <c:lblOffset val="100"/>
        <c:noMultiLvlLbl val="0"/>
      </c:catAx>
    </c:plotArea>
    <c:legend>
      <c:legendPos val="r"/>
      <c:layout>
        <c:manualLayout>
          <c:xMode val="edge"/>
          <c:yMode val="edge"/>
          <c:x val="0.25035430971128603"/>
          <c:y val="0.11112102052750038"/>
          <c:w val="0.52110843592061074"/>
          <c:h val="4.226135890912183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Distribución de los Afiliados Cotizantes por AFP's y Fondos de Reparto</a:t>
            </a:r>
          </a:p>
        </c:rich>
      </c:tx>
      <c:overlay val="0"/>
    </c:title>
    <c:autoTitleDeleted val="0"/>
    <c:view3D>
      <c:rotX val="70"/>
      <c:rotY val="0"/>
      <c:rAngAx val="0"/>
    </c:view3D>
    <c:floor>
      <c:thickness val="0"/>
    </c:floor>
    <c:sideWall>
      <c:thickness val="0"/>
    </c:sideWall>
    <c:backWall>
      <c:thickness val="0"/>
    </c:backWall>
    <c:plotArea>
      <c:layout>
        <c:manualLayout>
          <c:layoutTarget val="inner"/>
          <c:xMode val="edge"/>
          <c:yMode val="edge"/>
          <c:x val="0.16702483740157092"/>
          <c:y val="0.29723602364961288"/>
          <c:w val="0.58887641688047454"/>
          <c:h val="0.54538378776492769"/>
        </c:manualLayout>
      </c:layout>
      <c:pie3DChart>
        <c:varyColors val="1"/>
        <c:ser>
          <c:idx val="0"/>
          <c:order val="0"/>
          <c:tx>
            <c:strRef>
              <c:f>'V.1.7 Cotiz.x AFP y fondos'!$A$5</c:f>
              <c:strCache>
                <c:ptCount val="1"/>
                <c:pt idx="0">
                  <c:v>Dic. 2014</c:v>
                </c:pt>
              </c:strCache>
            </c:strRef>
          </c:tx>
          <c:explosion val="25"/>
          <c:dPt>
            <c:idx val="0"/>
            <c:bubble3D val="0"/>
            <c:explosion val="18"/>
          </c:dPt>
          <c:dPt>
            <c:idx val="4"/>
            <c:bubble3D val="0"/>
            <c:explosion val="22"/>
          </c:dPt>
          <c:dLbls>
            <c:dLbl>
              <c:idx val="0"/>
              <c:layout>
                <c:manualLayout>
                  <c:x val="4.962292727219219E-2"/>
                  <c:y val="-5.0909094796208624E-3"/>
                </c:manualLayout>
              </c:layout>
              <c:tx>
                <c:rich>
                  <a:bodyPr/>
                  <a:lstStyle/>
                  <a:p>
                    <a:r>
                      <a:rPr lang="en-US" sz="1600"/>
                      <a:t>Popular  </a:t>
                    </a:r>
                  </a:p>
                  <a:p>
                    <a:r>
                      <a:rPr lang="en-US" sz="1600"/>
                      <a:t>447,951 </a:t>
                    </a:r>
                  </a:p>
                  <a:p>
                    <a:r>
                      <a:rPr lang="en-US" sz="1600"/>
                      <a:t>29.7%</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5.3846155125144714E-2"/>
                  <c:y val="8.4848491327014375E-3"/>
                </c:manualLayout>
              </c:layout>
              <c:tx>
                <c:rich>
                  <a:bodyPr/>
                  <a:lstStyle/>
                  <a:p>
                    <a:r>
                      <a:rPr lang="en-US" sz="1600"/>
                      <a:t>Reservas</a:t>
                    </a:r>
                  </a:p>
                  <a:p>
                    <a:r>
                      <a:rPr lang="en-US" sz="1600"/>
                      <a:t>205,118</a:t>
                    </a:r>
                  </a:p>
                  <a:p>
                    <a:r>
                      <a:rPr lang="en-US" sz="1600"/>
                      <a:t>13.6%</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1.9004525338286293E-2"/>
                  <c:y val="4.0727275836966774E-2"/>
                </c:manualLayout>
              </c:layout>
              <c:tx>
                <c:rich>
                  <a:bodyPr/>
                  <a:lstStyle/>
                  <a:p>
                    <a:r>
                      <a:rPr lang="en-US" sz="1600"/>
                      <a:t>Romana</a:t>
                    </a:r>
                  </a:p>
                  <a:p>
                    <a:r>
                      <a:rPr lang="en-US" sz="1600"/>
                      <a:t>11,274 </a:t>
                    </a:r>
                  </a:p>
                  <a:p>
                    <a:r>
                      <a:rPr lang="en-US" sz="1600"/>
                      <a:t>0.7%</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3.8009050676572738E-2"/>
                  <c:y val="2.8848487051184885E-2"/>
                </c:manualLayout>
              </c:layout>
              <c:tx>
                <c:rich>
                  <a:bodyPr/>
                  <a:lstStyle/>
                  <a:p>
                    <a:r>
                      <a:rPr lang="en-US" sz="1600"/>
                      <a:t>Scotia Crecer</a:t>
                    </a:r>
                  </a:p>
                  <a:p>
                    <a:r>
                      <a:rPr lang="en-US" sz="1600"/>
                      <a:t> 433,287</a:t>
                    </a:r>
                  </a:p>
                  <a:p>
                    <a:r>
                      <a:rPr lang="en-US" sz="1600"/>
                      <a:t>29.7%</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7.3906570561075774E-2"/>
                  <c:y val="4.2424245663507186E-2"/>
                </c:manualLayout>
              </c:layout>
              <c:tx>
                <c:rich>
                  <a:bodyPr/>
                  <a:lstStyle/>
                  <a:p>
                    <a:r>
                      <a:rPr lang="en-US" sz="1600"/>
                      <a:t>Siembra</a:t>
                    </a:r>
                  </a:p>
                  <a:p>
                    <a:r>
                      <a:rPr lang="en-US" sz="1600"/>
                      <a:t>275,702</a:t>
                    </a:r>
                  </a:p>
                  <a:p>
                    <a:r>
                      <a:rPr lang="en-US" sz="1600"/>
                      <a:t>18.3%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4.8567120308954076E-2"/>
                  <c:y val="1.1878788785782012E-2"/>
                </c:manualLayout>
              </c:layout>
              <c:tx>
                <c:rich>
                  <a:bodyPr/>
                  <a:lstStyle/>
                  <a:p>
                    <a:r>
                      <a:rPr lang="en-US" sz="1600"/>
                      <a:t>Reparto Individualizado</a:t>
                    </a:r>
                  </a:p>
                  <a:p>
                    <a:r>
                      <a:rPr lang="en-US" sz="1600"/>
                      <a:t> 84,872 </a:t>
                    </a:r>
                  </a:p>
                  <a:p>
                    <a:r>
                      <a:rPr lang="en-US" sz="1600"/>
                      <a:t> 5.6%</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1.5837104448571976E-2"/>
                  <c:y val="-6.7878793061611528E-2"/>
                </c:manualLayout>
              </c:layout>
              <c:tx>
                <c:rich>
                  <a:bodyPr/>
                  <a:lstStyle/>
                  <a:p>
                    <a:r>
                      <a:rPr lang="en-US" sz="1600"/>
                      <a:t>Ministerio de Hacienda</a:t>
                    </a:r>
                  </a:p>
                  <a:p>
                    <a:r>
                      <a:rPr lang="en-US" sz="1600"/>
                      <a:t> 42,017</a:t>
                    </a:r>
                  </a:p>
                  <a:p>
                    <a:r>
                      <a:rPr lang="en-US" sz="1600"/>
                      <a:t>2.8%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0.1034690823973369"/>
                  <c:y val="-5.2606064622748944E-2"/>
                </c:manualLayout>
              </c:layout>
              <c:tx>
                <c:rich>
                  <a:bodyPr/>
                  <a:lstStyle/>
                  <a:p>
                    <a:r>
                      <a:rPr lang="en-US" sz="1600"/>
                      <a:t> Sin Individualizar</a:t>
                    </a:r>
                  </a:p>
                  <a:p>
                    <a:r>
                      <a:rPr lang="en-US" sz="1600"/>
                      <a:t>8,171 </a:t>
                    </a:r>
                  </a:p>
                  <a:p>
                    <a:r>
                      <a:rPr lang="en-US" sz="1600"/>
                      <a:t> 0.5%</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6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'V.1.7 Cotiz.x AFP y fondos'!$B$4:$I$4</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'V.1.7 Cotiz.x AFP y fondos'!$B$5:$I$5</c:f>
              <c:numCache>
                <c:formatCode>_(* #,##0_);_(* \(#,##0\);_(* "-"??_);_(@_)</c:formatCode>
                <c:ptCount val="8"/>
                <c:pt idx="0">
                  <c:v>447951</c:v>
                </c:pt>
                <c:pt idx="1">
                  <c:v>205118</c:v>
                </c:pt>
                <c:pt idx="2">
                  <c:v>11274</c:v>
                </c:pt>
                <c:pt idx="3">
                  <c:v>433287</c:v>
                </c:pt>
                <c:pt idx="4">
                  <c:v>275702</c:v>
                </c:pt>
                <c:pt idx="5">
                  <c:v>84872</c:v>
                </c:pt>
                <c:pt idx="6">
                  <c:v>42017</c:v>
                </c:pt>
                <c:pt idx="7">
                  <c:v>8171</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Porcentaje de Cobertura de Afiliación Definitiva del SDSS con Relación a la Población Nacional</a:t>
            </a:r>
          </a:p>
        </c:rich>
      </c:tx>
      <c:layout>
        <c:manualLayout>
          <c:xMode val="edge"/>
          <c:yMode val="edge"/>
          <c:x val="0.20512834967429591"/>
          <c:y val="4.6023515360291305E-2"/>
        </c:manualLayout>
      </c:layout>
      <c:overlay val="0"/>
    </c:title>
    <c:autoTitleDeleted val="0"/>
    <c:plotArea>
      <c:layout>
        <c:manualLayout>
          <c:layoutTarget val="inner"/>
          <c:xMode val="edge"/>
          <c:yMode val="edge"/>
          <c:x val="8.3873451415925837E-2"/>
          <c:y val="0.13999561330516599"/>
          <c:w val="0.83673964842019222"/>
          <c:h val="0.63566029417641012"/>
        </c:manualLayout>
      </c:layout>
      <c:barChart>
        <c:barDir val="col"/>
        <c:grouping val="clustered"/>
        <c:varyColors val="0"/>
        <c:ser>
          <c:idx val="1"/>
          <c:order val="1"/>
          <c:tx>
            <c:strRef>
              <c:f>'I.1.2 Cobertura SDSS'!$E$3</c:f>
              <c:strCache>
                <c:ptCount val="1"/>
                <c:pt idx="0">
                  <c:v>Población Total</c:v>
                </c:pt>
              </c:strCache>
            </c:strRef>
          </c:tx>
          <c:spPr>
            <a:solidFill>
              <a:schemeClr val="accent1">
                <a:lumMod val="75000"/>
              </a:schemeClr>
            </a:solidFill>
          </c:spPr>
          <c:invertIfNegative val="0"/>
          <c:dLbls>
            <c:dLbl>
              <c:idx val="9"/>
              <c:spPr/>
              <c:txPr>
                <a:bodyPr/>
                <a:lstStyle/>
                <a:p>
                  <a:pPr>
                    <a:defRPr sz="2000" b="0"/>
                  </a:pPr>
                  <a:endParaRPr lang="es-ES"/>
                </a:p>
              </c:txPr>
              <c:dLblPos val="outEnd"/>
              <c:showLegendKey val="0"/>
              <c:showVal val="1"/>
              <c:showCatName val="0"/>
              <c:showSerName val="0"/>
              <c:showPercent val="0"/>
              <c:showBubbleSize val="0"/>
            </c:dLbl>
            <c:dLbl>
              <c:idx val="10"/>
              <c:spPr/>
              <c:txPr>
                <a:bodyPr/>
                <a:lstStyle/>
                <a:p>
                  <a:pPr>
                    <a:defRPr sz="2000" b="0"/>
                  </a:pPr>
                  <a:endParaRPr lang="es-ES"/>
                </a:p>
              </c:txPr>
              <c:dLblPos val="outEnd"/>
              <c:showLegendKey val="0"/>
              <c:showVal val="1"/>
              <c:showCatName val="0"/>
              <c:showSerName val="0"/>
              <c:showPercent val="0"/>
              <c:showBubbleSize val="0"/>
            </c:dLbl>
            <c:dLbl>
              <c:idx val="11"/>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'I.1.2 Cobertura SDSS'!$A$4:$A$15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'I.1.2 Cobertura SDSS'!$E$4:$E$15</c:f>
              <c:numCache>
                <c:formatCode>#,##0_);[Red]\(#,##0\)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er>
        <c:dLbls>
          <c:showLegendKey val="0"/>
          <c:showVal val="0"/>
          <c:showCatName val="0"/>
          <c:showSerName val="0"/>
          <c:showPercent val="0"/>
          <c:showBubbleSize val="0"/>
        </c:dLbls>
        <c:gapWidth val="15"/>
        <c:axId val="241670864"/>
        <c:axId val="241671256"/>
      </c:barChart>
      <c:lineChart>
        <c:grouping val="standard"/>
        <c:varyColors val="0"/>
        <c:ser>
          <c:idx val="0"/>
          <c:order val="0"/>
          <c:tx>
            <c:strRef>
              <c:f>'I.1.2 Cobertura SDSS'!$D$3</c:f>
              <c:strCache>
                <c:ptCount val="1"/>
                <c:pt idx="0">
                  <c:v>% Cobertura</c:v>
                </c:pt>
              </c:strCache>
            </c:strRef>
          </c:tx>
          <c:spPr>
            <a:ln w="53975">
              <a:noFill/>
            </a:ln>
          </c:spPr>
          <c:marker>
            <c:symbol val="circle"/>
            <c:size val="22"/>
            <c:spPr>
              <a:gradFill>
                <a:gsLst>
                  <a:gs pos="0">
                    <a:srgbClr val="FFF200"/>
                  </a:gs>
                  <a:gs pos="45000">
                    <a:srgbClr val="FF7A00"/>
                  </a:gs>
                  <a:gs pos="70000">
                    <a:srgbClr val="FF0300"/>
                  </a:gs>
                  <a:gs pos="100000">
                    <a:srgbClr val="4D0808"/>
                  </a:gs>
                </a:gsLst>
                <a:lin ang="5400000" scaled="0"/>
              </a:gradFill>
              <a:ln>
                <a:solidFill>
                  <a:schemeClr val="tx1"/>
                </a:solidFill>
              </a:ln>
            </c:spPr>
          </c:marker>
          <c:dLbls>
            <c:dLbl>
              <c:idx val="0"/>
              <c:layout>
                <c:manualLayout>
                  <c:x val="-4.8562900242797878E-2"/>
                  <c:y val="-3.93685787786426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45220714950524E-2"/>
                  <c:y val="-3.92792515481871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spPr/>
              <c:txPr>
                <a:bodyPr/>
                <a:lstStyle/>
                <a:p>
                  <a:pPr>
                    <a:defRPr sz="2400" b="0">
                      <a:solidFill>
                        <a:schemeClr val="bg1"/>
                      </a:solidFill>
                    </a:defRPr>
                  </a:pPr>
                  <a:endParaRPr lang="es-ES"/>
                </a:p>
              </c:txPr>
              <c:dLblPos val="t"/>
              <c:showLegendKey val="0"/>
              <c:showVal val="1"/>
              <c:showCatName val="0"/>
              <c:showSerName val="0"/>
              <c:showPercent val="0"/>
              <c:showBubbleSize val="0"/>
            </c:dLbl>
            <c:dLbl>
              <c:idx val="10"/>
              <c:spPr/>
              <c:txPr>
                <a:bodyPr/>
                <a:lstStyle/>
                <a:p>
                  <a:pPr>
                    <a:defRPr sz="2400" b="0">
                      <a:solidFill>
                        <a:schemeClr val="bg1"/>
                      </a:solidFill>
                    </a:defRPr>
                  </a:pPr>
                  <a:endParaRPr lang="es-ES"/>
                </a:p>
              </c:txPr>
              <c:dLblPos val="t"/>
              <c:showLegendKey val="0"/>
              <c:showVal val="1"/>
              <c:showCatName val="0"/>
              <c:showSerName val="0"/>
              <c:showPercent val="0"/>
              <c:showBubbleSize val="0"/>
            </c:dLbl>
            <c:dLbl>
              <c:idx val="11"/>
              <c:spPr/>
              <c:txPr>
                <a:bodyPr/>
                <a:lstStyle/>
                <a:p>
                  <a:pPr>
                    <a:defRPr sz="2800" b="1">
                      <a:solidFill>
                        <a:schemeClr val="bg1"/>
                      </a:solidFill>
                    </a:defRPr>
                  </a:pPr>
                  <a:endParaRPr lang="es-ES"/>
                </a:p>
              </c:txPr>
              <c:dLblPos val="t"/>
              <c:showLegendKey val="0"/>
              <c:showVal val="1"/>
              <c:showCatName val="0"/>
              <c:showSerName val="0"/>
              <c:showPercent val="0"/>
              <c:showBubbleSize val="0"/>
            </c:dLbl>
            <c:spPr>
              <a:noFill/>
              <a:ln>
                <a:noFill/>
              </a:ln>
              <a:effectLst/>
            </c:spPr>
            <c:txPr>
              <a:bodyPr/>
              <a:lstStyle/>
              <a:p>
                <a:pPr>
                  <a:defRPr sz="240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'I.1.2 Cobertura SDSS'!$A$4:$A$15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'I.1.2 Cobertura SDSS'!$D$4:$D$15</c:f>
              <c:numCache>
                <c:formatCode>0.0%</c:formatCode>
                <c:ptCount val="10"/>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numCache>
            </c:numRef>
          </c:val>
          <c:smooth val="0"/>
        </c:ser>
        <c:dLbls>
          <c:showLegendKey val="0"/>
          <c:showVal val="0"/>
          <c:showCatName val="0"/>
          <c:showSerName val="0"/>
          <c:showPercent val="0"/>
          <c:showBubbleSize val="0"/>
        </c:dLbls>
        <c:marker val="1"/>
        <c:smooth val="0"/>
        <c:axId val="241672040"/>
        <c:axId val="241671648"/>
      </c:lineChart>
      <c:catAx>
        <c:axId val="241670864"/>
        <c:scaling>
          <c:orientation val="minMax"/>
        </c:scaling>
        <c:delete val="0"/>
        <c:axPos val="b"/>
        <c:numFmt formatCode="General" sourceLinked="0"/>
        <c:majorTickMark val="none"/>
        <c:minorTickMark val="none"/>
        <c:tickLblPos val="nextTo"/>
        <c:txPr>
          <a:bodyPr/>
          <a:lstStyle/>
          <a:p>
            <a:pPr>
              <a:defRPr sz="1600"/>
            </a:pPr>
            <a:endParaRPr lang="es-ES"/>
          </a:p>
        </c:txPr>
        <c:crossAx val="241671256"/>
        <c:crosses val="autoZero"/>
        <c:auto val="1"/>
        <c:lblAlgn val="ctr"/>
        <c:lblOffset val="100"/>
        <c:noMultiLvlLbl val="0"/>
      </c:catAx>
      <c:valAx>
        <c:axId val="241671256"/>
        <c:scaling>
          <c:orientation val="minMax"/>
        </c:scaling>
        <c:delete val="0"/>
        <c:axPos val="l"/>
        <c:numFmt formatCode="#,##0_);[Red]\(#,##0\)" sourceLinked="1"/>
        <c:majorTickMark val="none"/>
        <c:minorTickMark val="none"/>
        <c:tickLblPos val="nextTo"/>
        <c:txPr>
          <a:bodyPr/>
          <a:lstStyle/>
          <a:p>
            <a:pPr>
              <a:defRPr sz="1100"/>
            </a:pPr>
            <a:endParaRPr lang="es-ES"/>
          </a:p>
        </c:txPr>
        <c:crossAx val="241670864"/>
        <c:crosses val="autoZero"/>
        <c:crossBetween val="between"/>
      </c:valAx>
      <c:valAx>
        <c:axId val="241671648"/>
        <c:scaling>
          <c:orientation val="minMax"/>
          <c:max val="1.5"/>
        </c:scaling>
        <c:delete val="0"/>
        <c:axPos val="r"/>
        <c:numFmt formatCode="0.0%" sourceLinked="1"/>
        <c:majorTickMark val="out"/>
        <c:minorTickMark val="none"/>
        <c:tickLblPos val="nextTo"/>
        <c:txPr>
          <a:bodyPr/>
          <a:lstStyle/>
          <a:p>
            <a:pPr>
              <a:defRPr sz="1200"/>
            </a:pPr>
            <a:endParaRPr lang="es-ES"/>
          </a:p>
        </c:txPr>
        <c:crossAx val="241672040"/>
        <c:crosses val="max"/>
        <c:crossBetween val="between"/>
      </c:valAx>
      <c:catAx>
        <c:axId val="241672040"/>
        <c:scaling>
          <c:orientation val="minMax"/>
        </c:scaling>
        <c:delete val="1"/>
        <c:axPos val="b"/>
        <c:numFmt formatCode="General" sourceLinked="1"/>
        <c:majorTickMark val="out"/>
        <c:minorTickMark val="none"/>
        <c:tickLblPos val="nextTo"/>
        <c:crossAx val="241671648"/>
        <c:crosses val="autoZero"/>
        <c:auto val="1"/>
        <c:lblAlgn val="ctr"/>
        <c:lblOffset val="100"/>
        <c:noMultiLvlLbl val="0"/>
      </c:catAx>
    </c:plotArea>
    <c:legend>
      <c:legendPos val="t"/>
      <c:layout>
        <c:manualLayout>
          <c:xMode val="edge"/>
          <c:yMode val="edge"/>
          <c:x val="0.26196337273927245"/>
          <c:y val="0.10669316686728438"/>
          <c:w val="0.51023156619388843"/>
          <c:h val="3.6075222135913271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2880890478147826E-2"/>
          <c:y val="0.12157849505061269"/>
          <c:w val="0.83604558880374602"/>
          <c:h val="0.74633629069896901"/>
        </c:manualLayout>
      </c:layout>
      <c:barChart>
        <c:barDir val="bar"/>
        <c:grouping val="clustered"/>
        <c:varyColors val="0"/>
        <c:ser>
          <c:idx val="0"/>
          <c:order val="0"/>
          <c:tx>
            <c:strRef>
              <c:f>'V.1.8 Cotiz. x sexo '!$P$9</c:f>
              <c:strCache>
                <c:ptCount val="1"/>
                <c:pt idx="0">
                  <c:v>Ocupados Masculino</c:v>
                </c:pt>
              </c:strCache>
            </c:strRef>
          </c:tx>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 Cotiz. x sexo '!$O$10:$O$20</c:f>
              <c:strCache>
                <c:ptCount val="11"/>
                <c:pt idx="0">
                  <c:v> Dic-03  </c:v>
                </c:pt>
                <c:pt idx="1">
                  <c:v> Dic-04  </c:v>
                </c:pt>
                <c:pt idx="2">
                  <c:v> Dic-05  </c:v>
                </c:pt>
                <c:pt idx="3">
                  <c:v> Dic-06  </c:v>
                </c:pt>
                <c:pt idx="4">
                  <c:v> Dic-07  </c:v>
                </c:pt>
                <c:pt idx="5">
                  <c:v> Dic-08  </c:v>
                </c:pt>
                <c:pt idx="6">
                  <c:v> Dic-09  </c:v>
                </c:pt>
                <c:pt idx="7">
                  <c:v> Dic-10</c:v>
                </c:pt>
                <c:pt idx="8">
                  <c:v> Dic-11</c:v>
                </c:pt>
                <c:pt idx="9">
                  <c:v> Dic-12</c:v>
                </c:pt>
                <c:pt idx="10">
                  <c:v>Ene.13</c:v>
                </c:pt>
              </c:strCache>
            </c:strRef>
          </c:cat>
          <c:val>
            <c:numRef>
              <c:f>'V.1.8 Cotiz. x sexo '!$P$10:$P$20</c:f>
              <c:numCache>
                <c:formatCode>#,##0</c:formatCode>
                <c:ptCount val="11"/>
                <c:pt idx="0">
                  <c:v>2069456</c:v>
                </c:pt>
                <c:pt idx="1">
                  <c:v>2161218</c:v>
                </c:pt>
                <c:pt idx="2">
                  <c:v>2198463</c:v>
                </c:pt>
                <c:pt idx="3">
                  <c:v>2268443</c:v>
                </c:pt>
                <c:pt idx="4">
                  <c:v>2341679</c:v>
                </c:pt>
                <c:pt idx="5">
                  <c:v>2395788</c:v>
                </c:pt>
                <c:pt idx="6">
                  <c:v>2375866</c:v>
                </c:pt>
                <c:pt idx="7">
                  <c:v>2406770</c:v>
                </c:pt>
                <c:pt idx="8">
                  <c:v>2490273</c:v>
                </c:pt>
                <c:pt idx="9">
                  <c:v>2564366</c:v>
                </c:pt>
                <c:pt idx="10">
                  <c:v>2506927</c:v>
                </c:pt>
              </c:numCache>
            </c:numRef>
          </c:val>
        </c:ser>
        <c:ser>
          <c:idx val="1"/>
          <c:order val="1"/>
          <c:tx>
            <c:strRef>
              <c:f>'V.1.8 Cotiz. x sexo '!$Q$9</c:f>
              <c:strCache>
                <c:ptCount val="1"/>
                <c:pt idx="0">
                  <c:v>Cotizantes Masculino</c:v>
                </c:pt>
              </c:strCache>
            </c:strRef>
          </c:tx>
          <c:spPr>
            <a:solidFill>
              <a:srgbClr val="00206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 Cotiz. x sexo '!$O$10:$O$20</c:f>
              <c:strCache>
                <c:ptCount val="11"/>
                <c:pt idx="0">
                  <c:v> Dic-03  </c:v>
                </c:pt>
                <c:pt idx="1">
                  <c:v> Dic-04  </c:v>
                </c:pt>
                <c:pt idx="2">
                  <c:v> Dic-05  </c:v>
                </c:pt>
                <c:pt idx="3">
                  <c:v> Dic-06  </c:v>
                </c:pt>
                <c:pt idx="4">
                  <c:v> Dic-07  </c:v>
                </c:pt>
                <c:pt idx="5">
                  <c:v> Dic-08  </c:v>
                </c:pt>
                <c:pt idx="6">
                  <c:v> Dic-09  </c:v>
                </c:pt>
                <c:pt idx="7">
                  <c:v> Dic-10</c:v>
                </c:pt>
                <c:pt idx="8">
                  <c:v> Dic-11</c:v>
                </c:pt>
                <c:pt idx="9">
                  <c:v> Dic-12</c:v>
                </c:pt>
                <c:pt idx="10">
                  <c:v>Ene.13</c:v>
                </c:pt>
              </c:strCache>
            </c:strRef>
          </c:cat>
          <c:val>
            <c:numRef>
              <c:f>'V.1.8 Cotiz. x sexo '!$Q$10:$Q$20</c:f>
              <c:numCache>
                <c:formatCode>#,##0</c:formatCode>
                <c:ptCount val="11"/>
                <c:pt idx="0">
                  <c:v>350832</c:v>
                </c:pt>
                <c:pt idx="1">
                  <c:v>356770</c:v>
                </c:pt>
                <c:pt idx="2">
                  <c:v>386054</c:v>
                </c:pt>
                <c:pt idx="3">
                  <c:v>486327</c:v>
                </c:pt>
                <c:pt idx="4">
                  <c:v>549737</c:v>
                </c:pt>
                <c:pt idx="5">
                  <c:v>552570</c:v>
                </c:pt>
                <c:pt idx="6">
                  <c:v>634008</c:v>
                </c:pt>
                <c:pt idx="7">
                  <c:v>675015</c:v>
                </c:pt>
                <c:pt idx="8">
                  <c:v>702422</c:v>
                </c:pt>
                <c:pt idx="9">
                  <c:v>726141</c:v>
                </c:pt>
                <c:pt idx="10">
                  <c:v>723320</c:v>
                </c:pt>
              </c:numCache>
            </c:numRef>
          </c:val>
        </c:ser>
        <c:ser>
          <c:idx val="2"/>
          <c:order val="2"/>
          <c:tx>
            <c:strRef>
              <c:f>'V.1.8 Cotiz. x sexo '!$R$9</c:f>
              <c:strCache>
                <c:ptCount val="1"/>
                <c:pt idx="0">
                  <c:v>Ocupados Femenino</c:v>
                </c:pt>
              </c:strCache>
            </c:strRef>
          </c:tx>
          <c:spPr>
            <a:solidFill>
              <a:schemeClr val="accent2">
                <a:lumMod val="60000"/>
                <a:lumOff val="40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 Cotiz. x sexo '!$O$10:$O$20</c:f>
              <c:strCache>
                <c:ptCount val="11"/>
                <c:pt idx="0">
                  <c:v> Dic-03  </c:v>
                </c:pt>
                <c:pt idx="1">
                  <c:v> Dic-04  </c:v>
                </c:pt>
                <c:pt idx="2">
                  <c:v> Dic-05  </c:v>
                </c:pt>
                <c:pt idx="3">
                  <c:v> Dic-06  </c:v>
                </c:pt>
                <c:pt idx="4">
                  <c:v> Dic-07  </c:v>
                </c:pt>
                <c:pt idx="5">
                  <c:v> Dic-08  </c:v>
                </c:pt>
                <c:pt idx="6">
                  <c:v> Dic-09  </c:v>
                </c:pt>
                <c:pt idx="7">
                  <c:v> Dic-10</c:v>
                </c:pt>
                <c:pt idx="8">
                  <c:v> Dic-11</c:v>
                </c:pt>
                <c:pt idx="9">
                  <c:v> Dic-12</c:v>
                </c:pt>
                <c:pt idx="10">
                  <c:v>Ene.13</c:v>
                </c:pt>
              </c:strCache>
            </c:strRef>
          </c:cat>
          <c:val>
            <c:numRef>
              <c:f>'V.1.8 Cotiz. x sexo '!$R$10:$R$20</c:f>
              <c:numCache>
                <c:formatCode>General</c:formatCode>
                <c:ptCount val="11"/>
                <c:pt idx="0">
                  <c:v>-1028987</c:v>
                </c:pt>
                <c:pt idx="1">
                  <c:v>-1079286</c:v>
                </c:pt>
                <c:pt idx="2">
                  <c:v>-1096254</c:v>
                </c:pt>
                <c:pt idx="3">
                  <c:v>-1197552</c:v>
                </c:pt>
                <c:pt idx="4">
                  <c:v>-1229793</c:v>
                </c:pt>
                <c:pt idx="5">
                  <c:v>-1268702</c:v>
                </c:pt>
                <c:pt idx="6">
                  <c:v>-1232288</c:v>
                </c:pt>
                <c:pt idx="7">
                  <c:v>-1361592</c:v>
                </c:pt>
                <c:pt idx="8">
                  <c:v>-1440514</c:v>
                </c:pt>
                <c:pt idx="9">
                  <c:v>-1434611</c:v>
                </c:pt>
                <c:pt idx="10">
                  <c:v>-1475049</c:v>
                </c:pt>
              </c:numCache>
            </c:numRef>
          </c:val>
        </c:ser>
        <c:ser>
          <c:idx val="3"/>
          <c:order val="3"/>
          <c:tx>
            <c:strRef>
              <c:f>'V.1.8 Cotiz. x sexo '!$T$9</c:f>
              <c:strCache>
                <c:ptCount val="1"/>
                <c:pt idx="0">
                  <c:v>Cotizantes Femenino</c:v>
                </c:pt>
              </c:strCache>
            </c:strRef>
          </c:tx>
          <c:spPr>
            <a:solidFill>
              <a:schemeClr val="accent2">
                <a:lumMod val="50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 Cotiz. x sexo '!$O$10:$O$20</c:f>
              <c:strCache>
                <c:ptCount val="11"/>
                <c:pt idx="0">
                  <c:v> Dic-03  </c:v>
                </c:pt>
                <c:pt idx="1">
                  <c:v> Dic-04  </c:v>
                </c:pt>
                <c:pt idx="2">
                  <c:v> Dic-05  </c:v>
                </c:pt>
                <c:pt idx="3">
                  <c:v> Dic-06  </c:v>
                </c:pt>
                <c:pt idx="4">
                  <c:v> Dic-07  </c:v>
                </c:pt>
                <c:pt idx="5">
                  <c:v> Dic-08  </c:v>
                </c:pt>
                <c:pt idx="6">
                  <c:v> Dic-09  </c:v>
                </c:pt>
                <c:pt idx="7">
                  <c:v> Dic-10</c:v>
                </c:pt>
                <c:pt idx="8">
                  <c:v> Dic-11</c:v>
                </c:pt>
                <c:pt idx="9">
                  <c:v> Dic-12</c:v>
                </c:pt>
                <c:pt idx="10">
                  <c:v>Ene.13</c:v>
                </c:pt>
              </c:strCache>
            </c:strRef>
          </c:cat>
          <c:val>
            <c:numRef>
              <c:f>'V.1.8 Cotiz. x sexo '!$T$10:$T$20</c:f>
              <c:numCache>
                <c:formatCode>General</c:formatCode>
                <c:ptCount val="11"/>
                <c:pt idx="0">
                  <c:v>-226037</c:v>
                </c:pt>
                <c:pt idx="1">
                  <c:v>-236516</c:v>
                </c:pt>
                <c:pt idx="2">
                  <c:v>-240561</c:v>
                </c:pt>
                <c:pt idx="3">
                  <c:v>-322169</c:v>
                </c:pt>
                <c:pt idx="4">
                  <c:v>-363466</c:v>
                </c:pt>
                <c:pt idx="5">
                  <c:v>-377173</c:v>
                </c:pt>
                <c:pt idx="6">
                  <c:v>-484285</c:v>
                </c:pt>
                <c:pt idx="7">
                  <c:v>-514586</c:v>
                </c:pt>
                <c:pt idx="8">
                  <c:v>-540358</c:v>
                </c:pt>
                <c:pt idx="9">
                  <c:v>-564996</c:v>
                </c:pt>
                <c:pt idx="10">
                  <c:v>-561215</c:v>
                </c:pt>
              </c:numCache>
            </c:numRef>
          </c:val>
        </c:ser>
        <c:dLbls>
          <c:showLegendKey val="0"/>
          <c:showVal val="0"/>
          <c:showCatName val="0"/>
          <c:showSerName val="0"/>
          <c:showPercent val="0"/>
          <c:showBubbleSize val="0"/>
        </c:dLbls>
        <c:gapWidth val="4"/>
        <c:overlap val="100"/>
        <c:axId val="280950000"/>
        <c:axId val="280950392"/>
      </c:barChart>
      <c:catAx>
        <c:axId val="280950000"/>
        <c:scaling>
          <c:orientation val="minMax"/>
        </c:scaling>
        <c:delete val="0"/>
        <c:axPos val="l"/>
        <c:numFmt formatCode="General" sourceLinked="0"/>
        <c:majorTickMark val="out"/>
        <c:minorTickMark val="none"/>
        <c:tickLblPos val="low"/>
        <c:crossAx val="280950392"/>
        <c:crosses val="autoZero"/>
        <c:auto val="1"/>
        <c:lblAlgn val="ctr"/>
        <c:lblOffset val="100"/>
        <c:noMultiLvlLbl val="0"/>
      </c:catAx>
      <c:valAx>
        <c:axId val="280950392"/>
        <c:scaling>
          <c:orientation val="minMax"/>
        </c:scaling>
        <c:delete val="0"/>
        <c:axPos val="b"/>
        <c:numFmt formatCode="#,##0" sourceLinked="1"/>
        <c:majorTickMark val="out"/>
        <c:minorTickMark val="none"/>
        <c:tickLblPos val="nextTo"/>
        <c:crossAx val="280950000"/>
        <c:crosses val="autoZero"/>
        <c:crossBetween val="between"/>
      </c:valAx>
    </c:plotArea>
    <c:legend>
      <c:legendPos val="r"/>
      <c:layout>
        <c:manualLayout>
          <c:xMode val="edge"/>
          <c:yMode val="edge"/>
          <c:x val="4.3933228184942726E-2"/>
          <c:y val="5.2739196191834446E-2"/>
          <c:w val="0.89303491943599944"/>
          <c:h val="4.514110069870355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400"/>
              <a:t>Seguro de Vejez, Discapacidad y Sobrevivencia (SVDS)</a:t>
            </a:r>
          </a:p>
          <a:p>
            <a:pPr>
              <a:defRPr/>
            </a:pPr>
            <a:r>
              <a:rPr lang="es-DO" sz="1400"/>
              <a:t>Afiliados y Cotizantes del SVDS por Sexo</a:t>
            </a:r>
          </a:p>
        </c:rich>
      </c:tx>
      <c:overlay val="1"/>
    </c:title>
    <c:autoTitleDeleted val="0"/>
    <c:plotArea>
      <c:layout>
        <c:manualLayout>
          <c:layoutTarget val="inner"/>
          <c:xMode val="edge"/>
          <c:yMode val="edge"/>
          <c:x val="0.15170119585195943"/>
          <c:y val="0.23618927004753776"/>
          <c:w val="0.67189460932768019"/>
          <c:h val="0.69033735293577814"/>
        </c:manualLayout>
      </c:layout>
      <c:barChart>
        <c:barDir val="bar"/>
        <c:grouping val="clustered"/>
        <c:varyColors val="0"/>
        <c:ser>
          <c:idx val="0"/>
          <c:order val="0"/>
          <c:tx>
            <c:strRef>
              <c:f>'V1.8Cot.Afil X Sexo'!$BU$5</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'V1.8Cot.Afil X Sexo'!$BT$6:$BT$17</c:f>
              <c:strCache>
                <c:ptCount val="11"/>
                <c:pt idx="0">
                  <c:v>Dic.04</c:v>
                </c:pt>
                <c:pt idx="1">
                  <c:v>Dic.05</c:v>
                </c:pt>
                <c:pt idx="2">
                  <c:v>Dic.06</c:v>
                </c:pt>
                <c:pt idx="3">
                  <c:v>Dic.07</c:v>
                </c:pt>
                <c:pt idx="4">
                  <c:v>Dic.08</c:v>
                </c:pt>
                <c:pt idx="5">
                  <c:v>Dic.09</c:v>
                </c:pt>
                <c:pt idx="6">
                  <c:v>Dic.10</c:v>
                </c:pt>
                <c:pt idx="7">
                  <c:v>Dic.11</c:v>
                </c:pt>
                <c:pt idx="8">
                  <c:v>Dic.12</c:v>
                </c:pt>
                <c:pt idx="9">
                  <c:v>Dic.13</c:v>
                </c:pt>
                <c:pt idx="10">
                  <c:v>Dec-14</c:v>
                </c:pt>
              </c:strCache>
            </c:strRef>
          </c:cat>
          <c:val>
            <c:numRef>
              <c:f>'V1.8Cot.Afil X Sexo'!$BU$6:$BU$17</c:f>
              <c:numCache>
                <c:formatCode>#,##0</c:formatCode>
                <c:ptCount val="11"/>
                <c:pt idx="0">
                  <c:v>685676</c:v>
                </c:pt>
                <c:pt idx="1">
                  <c:v>828566</c:v>
                </c:pt>
                <c:pt idx="2">
                  <c:v>930043</c:v>
                </c:pt>
                <c:pt idx="3">
                  <c:v>1055907</c:v>
                </c:pt>
                <c:pt idx="4">
                  <c:v>1165631</c:v>
                </c:pt>
                <c:pt idx="5">
                  <c:v>1281904</c:v>
                </c:pt>
                <c:pt idx="6">
                  <c:v>1383536</c:v>
                </c:pt>
                <c:pt idx="7">
                  <c:v>1480731</c:v>
                </c:pt>
                <c:pt idx="8">
                  <c:v>1570504</c:v>
                </c:pt>
                <c:pt idx="9">
                  <c:v>1661097</c:v>
                </c:pt>
                <c:pt idx="10">
                  <c:v>1759926</c:v>
                </c:pt>
              </c:numCache>
            </c:numRef>
          </c:val>
        </c:ser>
        <c:ser>
          <c:idx val="1"/>
          <c:order val="1"/>
          <c:tx>
            <c:strRef>
              <c:f>'V1.8Cot.Afil X Sexo'!$BV$5</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1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'V1.8Cot.Afil X Sexo'!$BT$6:$BT$17</c:f>
              <c:strCache>
                <c:ptCount val="11"/>
                <c:pt idx="0">
                  <c:v>Dic.04</c:v>
                </c:pt>
                <c:pt idx="1">
                  <c:v>Dic.05</c:v>
                </c:pt>
                <c:pt idx="2">
                  <c:v>Dic.06</c:v>
                </c:pt>
                <c:pt idx="3">
                  <c:v>Dic.07</c:v>
                </c:pt>
                <c:pt idx="4">
                  <c:v>Dic.08</c:v>
                </c:pt>
                <c:pt idx="5">
                  <c:v>Dic.09</c:v>
                </c:pt>
                <c:pt idx="6">
                  <c:v>Dic.10</c:v>
                </c:pt>
                <c:pt idx="7">
                  <c:v>Dic.11</c:v>
                </c:pt>
                <c:pt idx="8">
                  <c:v>Dic.12</c:v>
                </c:pt>
                <c:pt idx="9">
                  <c:v>Dic.13</c:v>
                </c:pt>
                <c:pt idx="10">
                  <c:v>Dec-14</c:v>
                </c:pt>
              </c:strCache>
            </c:strRef>
          </c:cat>
          <c:val>
            <c:numRef>
              <c:f>'V1.8Cot.Afil X Sexo'!$BV$6:$BV$17</c:f>
              <c:numCache>
                <c:formatCode>#,##0</c:formatCode>
                <c:ptCount val="11"/>
                <c:pt idx="0">
                  <c:v>356770</c:v>
                </c:pt>
                <c:pt idx="1">
                  <c:v>386054</c:v>
                </c:pt>
                <c:pt idx="2">
                  <c:v>486327</c:v>
                </c:pt>
                <c:pt idx="3">
                  <c:v>549737</c:v>
                </c:pt>
                <c:pt idx="4">
                  <c:v>552570</c:v>
                </c:pt>
                <c:pt idx="5">
                  <c:v>634008</c:v>
                </c:pt>
                <c:pt idx="6">
                  <c:v>675015</c:v>
                </c:pt>
                <c:pt idx="7">
                  <c:v>702422</c:v>
                </c:pt>
                <c:pt idx="8">
                  <c:v>726141</c:v>
                </c:pt>
                <c:pt idx="9">
                  <c:v>770060</c:v>
                </c:pt>
                <c:pt idx="10">
                  <c:v>835620</c:v>
                </c:pt>
              </c:numCache>
            </c:numRef>
          </c:val>
        </c:ser>
        <c:ser>
          <c:idx val="2"/>
          <c:order val="2"/>
          <c:tx>
            <c:strRef>
              <c:f>'V1.8Cot.Afil X Sexo'!$BW$5</c:f>
              <c:strCache>
                <c:ptCount val="1"/>
                <c:pt idx="0">
                  <c:v>Afiliados Femeninos</c:v>
                </c:pt>
              </c:strCache>
            </c:strRef>
          </c:tx>
          <c:spPr>
            <a:solidFill>
              <a:schemeClr val="accent6">
                <a:lumMod val="50000"/>
              </a:schemeClr>
            </a:solidFill>
          </c:spPr>
          <c:invertIfNegative val="0"/>
          <c:dLbls>
            <c:spPr>
              <a:noFill/>
              <a:ln>
                <a:noFill/>
              </a:ln>
              <a:effectLst/>
            </c:spPr>
            <c:txPr>
              <a:bodyPr/>
              <a:lstStyle/>
              <a:p>
                <a:pPr>
                  <a:defRPr sz="105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'V1.8Cot.Afil X Sexo'!$BT$6:$BT$17</c:f>
              <c:strCache>
                <c:ptCount val="11"/>
                <c:pt idx="0">
                  <c:v>Dic.04</c:v>
                </c:pt>
                <c:pt idx="1">
                  <c:v>Dic.05</c:v>
                </c:pt>
                <c:pt idx="2">
                  <c:v>Dic.06</c:v>
                </c:pt>
                <c:pt idx="3">
                  <c:v>Dic.07</c:v>
                </c:pt>
                <c:pt idx="4">
                  <c:v>Dic.08</c:v>
                </c:pt>
                <c:pt idx="5">
                  <c:v>Dic.09</c:v>
                </c:pt>
                <c:pt idx="6">
                  <c:v>Dic.10</c:v>
                </c:pt>
                <c:pt idx="7">
                  <c:v>Dic.11</c:v>
                </c:pt>
                <c:pt idx="8">
                  <c:v>Dic.12</c:v>
                </c:pt>
                <c:pt idx="9">
                  <c:v>Dic.13</c:v>
                </c:pt>
                <c:pt idx="10">
                  <c:v>Dec-14</c:v>
                </c:pt>
              </c:strCache>
            </c:strRef>
          </c:cat>
          <c:val>
            <c:numRef>
              <c:f>'V1.8Cot.Afil X Sexo'!$BW$6:$BW$17</c:f>
              <c:numCache>
                <c:formatCode>General</c:formatCode>
                <c:ptCount val="11"/>
                <c:pt idx="0">
                  <c:v>-504526</c:v>
                </c:pt>
                <c:pt idx="1">
                  <c:v>-600955</c:v>
                </c:pt>
                <c:pt idx="2">
                  <c:v>-658578</c:v>
                </c:pt>
                <c:pt idx="3">
                  <c:v>-741120</c:v>
                </c:pt>
                <c:pt idx="4">
                  <c:v>-818089</c:v>
                </c:pt>
                <c:pt idx="5">
                  <c:v>-911986</c:v>
                </c:pt>
                <c:pt idx="6">
                  <c:v>-991247</c:v>
                </c:pt>
                <c:pt idx="7">
                  <c:v>-1072243</c:v>
                </c:pt>
                <c:pt idx="8">
                  <c:v>-1143945</c:v>
                </c:pt>
                <c:pt idx="9">
                  <c:v>-1220033</c:v>
                </c:pt>
                <c:pt idx="10">
                  <c:v>-1309974</c:v>
                </c:pt>
              </c:numCache>
            </c:numRef>
          </c:val>
        </c:ser>
        <c:ser>
          <c:idx val="3"/>
          <c:order val="3"/>
          <c:tx>
            <c:strRef>
              <c:f>'V1.8Cot.Afil X Sexo'!$BX$5</c:f>
              <c:strCache>
                <c:ptCount val="1"/>
                <c:pt idx="0">
                  <c:v>Cotizantes Femeninos</c:v>
                </c:pt>
              </c:strCache>
            </c:strRef>
          </c:tx>
          <c:spPr>
            <a:solidFill>
              <a:schemeClr val="accent6"/>
            </a:solidFill>
          </c:spPr>
          <c:invertIfNegative val="0"/>
          <c:dLbls>
            <c:dLbl>
              <c:idx val="0"/>
              <c:layout>
                <c:manualLayout>
                  <c:x val="-5.2420862164956651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5.3922691481746603E-2"/>
                  <c:y val="-1.9253254801893417E-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5.3502113541195988E-2"/>
                  <c:y val="-2.455760062573540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'V1.8Cot.Afil X Sexo'!$BT$6:$BT$17</c:f>
              <c:strCache>
                <c:ptCount val="11"/>
                <c:pt idx="0">
                  <c:v>Dic.04</c:v>
                </c:pt>
                <c:pt idx="1">
                  <c:v>Dic.05</c:v>
                </c:pt>
                <c:pt idx="2">
                  <c:v>Dic.06</c:v>
                </c:pt>
                <c:pt idx="3">
                  <c:v>Dic.07</c:v>
                </c:pt>
                <c:pt idx="4">
                  <c:v>Dic.08</c:v>
                </c:pt>
                <c:pt idx="5">
                  <c:v>Dic.09</c:v>
                </c:pt>
                <c:pt idx="6">
                  <c:v>Dic.10</c:v>
                </c:pt>
                <c:pt idx="7">
                  <c:v>Dic.11</c:v>
                </c:pt>
                <c:pt idx="8">
                  <c:v>Dic.12</c:v>
                </c:pt>
                <c:pt idx="9">
                  <c:v>Dic.13</c:v>
                </c:pt>
                <c:pt idx="10">
                  <c:v>Dec-14</c:v>
                </c:pt>
              </c:strCache>
            </c:strRef>
          </c:cat>
          <c:val>
            <c:numRef>
              <c:f>'V1.8Cot.Afil X Sexo'!$BX$6:$BX$17</c:f>
              <c:numCache>
                <c:formatCode>General</c:formatCode>
                <c:ptCount val="11"/>
                <c:pt idx="0">
                  <c:v>-236516</c:v>
                </c:pt>
                <c:pt idx="1">
                  <c:v>-240561</c:v>
                </c:pt>
                <c:pt idx="2">
                  <c:v>-322169</c:v>
                </c:pt>
                <c:pt idx="3">
                  <c:v>-363466</c:v>
                </c:pt>
                <c:pt idx="4">
                  <c:v>-377173</c:v>
                </c:pt>
                <c:pt idx="5">
                  <c:v>-484285</c:v>
                </c:pt>
                <c:pt idx="6">
                  <c:v>-514586</c:v>
                </c:pt>
                <c:pt idx="7">
                  <c:v>-540358</c:v>
                </c:pt>
                <c:pt idx="8">
                  <c:v>-564996</c:v>
                </c:pt>
                <c:pt idx="9">
                  <c:v>-606906</c:v>
                </c:pt>
                <c:pt idx="10">
                  <c:v>-672772</c:v>
                </c:pt>
              </c:numCache>
            </c:numRef>
          </c:val>
        </c:ser>
        <c:dLbls>
          <c:showLegendKey val="0"/>
          <c:showVal val="0"/>
          <c:showCatName val="0"/>
          <c:showSerName val="0"/>
          <c:showPercent val="0"/>
          <c:showBubbleSize val="0"/>
        </c:dLbls>
        <c:gapWidth val="6"/>
        <c:overlap val="97"/>
        <c:axId val="280951176"/>
        <c:axId val="280951568"/>
      </c:barChart>
      <c:catAx>
        <c:axId val="280951176"/>
        <c:scaling>
          <c:orientation val="minMax"/>
        </c:scaling>
        <c:delete val="0"/>
        <c:axPos val="l"/>
        <c:numFmt formatCode="General" sourceLinked="0"/>
        <c:majorTickMark val="out"/>
        <c:minorTickMark val="none"/>
        <c:tickLblPos val="high"/>
        <c:crossAx val="280951568"/>
        <c:crosses val="autoZero"/>
        <c:auto val="1"/>
        <c:lblAlgn val="ctr"/>
        <c:lblOffset val="100"/>
        <c:noMultiLvlLbl val="0"/>
      </c:catAx>
      <c:valAx>
        <c:axId val="280951568"/>
        <c:scaling>
          <c:orientation val="minMax"/>
        </c:scaling>
        <c:delete val="0"/>
        <c:axPos val="b"/>
        <c:numFmt formatCode="#,##0" sourceLinked="1"/>
        <c:majorTickMark val="out"/>
        <c:minorTickMark val="none"/>
        <c:tickLblPos val="nextTo"/>
        <c:crossAx val="280951176"/>
        <c:crosses val="autoZero"/>
        <c:crossBetween val="between"/>
      </c:valAx>
    </c:plotArea>
    <c:legend>
      <c:legendPos val="r"/>
      <c:layout>
        <c:manualLayout>
          <c:xMode val="edge"/>
          <c:yMode val="edge"/>
          <c:x val="8.9662123965273566E-2"/>
          <c:y val="0.10637006038580844"/>
          <c:w val="0.79605435143632741"/>
          <c:h val="6.958730487636415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s-DO" sz="2000"/>
              <a:t>Seguro de Vejez, Discapacidad y Sobrevivencia (SVDS)</a:t>
            </a:r>
          </a:p>
          <a:p>
            <a:pPr>
              <a:defRPr sz="2000"/>
            </a:pPr>
            <a:r>
              <a:rPr lang="es-DO" sz="2000"/>
              <a:t>Dispersión Histórica </a:t>
            </a:r>
          </a:p>
        </c:rich>
      </c:tx>
      <c:layout>
        <c:manualLayout>
          <c:xMode val="edge"/>
          <c:yMode val="edge"/>
          <c:x val="0.33045137702947797"/>
          <c:y val="4.987408925281762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60923339948667E-2"/>
          <c:y val="0.16087433896180647"/>
          <c:w val="0.97774730847682723"/>
          <c:h val="0.69852717738384063"/>
        </c:manualLayout>
      </c:layout>
      <c:bar3DChart>
        <c:barDir val="col"/>
        <c:grouping val="stacked"/>
        <c:varyColors val="0"/>
        <c:ser>
          <c:idx val="0"/>
          <c:order val="0"/>
          <c:spPr>
            <a:solidFill>
              <a:schemeClr val="accent5">
                <a:lumMod val="50000"/>
              </a:schemeClr>
            </a:solidFill>
          </c:spPr>
          <c:invertIfNegative val="0"/>
          <c:dLbls>
            <c:dLbl>
              <c:idx val="0"/>
              <c:layout>
                <c:manualLayout>
                  <c:x val="1.4009052877069203E-2"/>
                  <c:y val="-0.116450784849976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419021689719315E-2"/>
                  <c:y val="-0.1247242232344193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8255190224269E-2"/>
                  <c:y val="-0.1754580751607806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465776777423669E-2"/>
                  <c:y val="-0.1861553428244416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586781128581815E-2"/>
                  <c:y val="-0.2083344843780214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105933241106363E-2"/>
                  <c:y val="-0.2581351776048412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369101180193971E-2"/>
                  <c:y val="-0.2567651635918877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962054526397454E-2"/>
                  <c:y val="-0.2788625132640973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313118754100454E-2"/>
                  <c:y val="-0.30496333177874591"/>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748905111880488E-2"/>
                  <c:y val="-0.3446647589116588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402468341003898E-2"/>
                  <c:y val="-0.3567803844651759"/>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5896388541467747E-2"/>
                  <c:y val="-0.3414307295889985"/>
                </c:manualLayout>
              </c:layout>
              <c:spPr/>
              <c:txPr>
                <a:bodyPr/>
                <a:lstStyle/>
                <a:p>
                  <a:pPr>
                    <a:defRPr sz="18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'V.2.1 Disp. SVDS'!$A$4:$A$15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'V.2.1 Disp. SVDS'!$B$4:$B$15</c:f>
              <c:numCache>
                <c:formatCode>#,##0.00</c:formatCode>
                <c:ptCount val="10"/>
                <c:pt idx="0">
                  <c:v>8393553851.0549603</c:v>
                </c:pt>
                <c:pt idx="1">
                  <c:v>9613650449.1000004</c:v>
                </c:pt>
                <c:pt idx="2">
                  <c:v>14892605258.139999</c:v>
                </c:pt>
                <c:pt idx="3">
                  <c:v>15887792787.9</c:v>
                </c:pt>
                <c:pt idx="4">
                  <c:v>18789773765.599998</c:v>
                </c:pt>
                <c:pt idx="5">
                  <c:v>23938495282.519997</c:v>
                </c:pt>
                <c:pt idx="6">
                  <c:v>23585106301.460003</c:v>
                </c:pt>
                <c:pt idx="7">
                  <c:v>26400473552.25</c:v>
                </c:pt>
                <c:pt idx="8">
                  <c:v>29506184318.75</c:v>
                </c:pt>
                <c:pt idx="9">
                  <c:v>33591892120.470001</c:v>
                </c:pt>
              </c:numCache>
            </c:numRef>
          </c:val>
        </c:ser>
        <c:dLbls>
          <c:showLegendKey val="0"/>
          <c:showVal val="0"/>
          <c:showCatName val="0"/>
          <c:showSerName val="0"/>
          <c:showPercent val="0"/>
          <c:showBubbleSize val="0"/>
        </c:dLbls>
        <c:gapWidth val="30"/>
        <c:shape val="cylinder"/>
        <c:axId val="280952352"/>
        <c:axId val="279691312"/>
        <c:axId val="0"/>
      </c:bar3DChart>
      <c:catAx>
        <c:axId val="280952352"/>
        <c:scaling>
          <c:orientation val="minMax"/>
        </c:scaling>
        <c:delete val="0"/>
        <c:axPos val="b"/>
        <c:numFmt formatCode="General" sourceLinked="1"/>
        <c:majorTickMark val="none"/>
        <c:minorTickMark val="none"/>
        <c:tickLblPos val="nextTo"/>
        <c:txPr>
          <a:bodyPr/>
          <a:lstStyle/>
          <a:p>
            <a:pPr>
              <a:defRPr sz="1800"/>
            </a:pPr>
            <a:endParaRPr lang="es-ES"/>
          </a:p>
        </c:txPr>
        <c:crossAx val="279691312"/>
        <c:crosses val="autoZero"/>
        <c:auto val="1"/>
        <c:lblAlgn val="ctr"/>
        <c:lblOffset val="100"/>
        <c:noMultiLvlLbl val="0"/>
      </c:catAx>
      <c:valAx>
        <c:axId val="279691312"/>
        <c:scaling>
          <c:orientation val="minMax"/>
        </c:scaling>
        <c:delete val="0"/>
        <c:axPos val="l"/>
        <c:numFmt formatCode="#,##0.00" sourceLinked="1"/>
        <c:majorTickMark val="none"/>
        <c:minorTickMark val="none"/>
        <c:tickLblPos val="none"/>
        <c:crossAx val="280952352"/>
        <c:crosses val="autoZero"/>
        <c:crossBetween val="between"/>
        <c:dispUnits>
          <c:builtInUnit val="millions"/>
          <c:dispUnitsLbl>
            <c:layout>
              <c:manualLayout>
                <c:xMode val="edge"/>
                <c:yMode val="edge"/>
                <c:x val="2.1566370625996983E-3"/>
                <c:y val="0.49977505408010653"/>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373498308427979E-2"/>
          <c:y val="0.15822409990412079"/>
          <c:w val="0.94815011164771934"/>
          <c:h val="0.68453413876400493"/>
        </c:manualLayout>
      </c:layout>
      <c:bar3DChart>
        <c:barDir val="col"/>
        <c:grouping val="clustered"/>
        <c:varyColors val="0"/>
        <c:ser>
          <c:idx val="0"/>
          <c:order val="0"/>
          <c:tx>
            <c:strRef>
              <c:f>'V.2.2 Disp. anual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cuentas'!$B$4:$L$4</c:f>
              <c:numCache>
                <c:formatCode>_(* #,##0.00_);_(* \(#,##0.00\);_(* "-"??_);_(@_)</c:formatCode>
                <c:ptCount val="11"/>
                <c:pt idx="0">
                  <c:v>1450970911.5360003</c:v>
                </c:pt>
                <c:pt idx="1">
                  <c:v>4189179686.8000002</c:v>
                </c:pt>
                <c:pt idx="2">
                  <c:v>5761654867.9499998</c:v>
                </c:pt>
                <c:pt idx="3">
                  <c:v>7098103492.750001</c:v>
                </c:pt>
                <c:pt idx="4">
                  <c:v>9157024021.4599991</c:v>
                </c:pt>
                <c:pt idx="5">
                  <c:v>10971688650.739998</c:v>
                </c:pt>
                <c:pt idx="6">
                  <c:v>14102437235.269999</c:v>
                </c:pt>
                <c:pt idx="7">
                  <c:v>18859678263.360001</c:v>
                </c:pt>
                <c:pt idx="8">
                  <c:v>18145611295.329998</c:v>
                </c:pt>
                <c:pt idx="9">
                  <c:v>20525176273.790001</c:v>
                </c:pt>
                <c:pt idx="10">
                  <c:v>1729563084.9100001</c:v>
                </c:pt>
              </c:numCache>
            </c:numRef>
          </c:val>
        </c:ser>
        <c:ser>
          <c:idx val="1"/>
          <c:order val="1"/>
          <c:tx>
            <c:strRef>
              <c:f>'V.2.2 Disp. anual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cuentas'!$B$5:$L$5</c:f>
              <c:numCache>
                <c:formatCode>_(* #,##0.00_);_(* \(#,##0.00\);_(* "-"??_);_(@_)</c:formatCode>
                <c:ptCount val="11"/>
                <c:pt idx="0">
                  <c:v>0</c:v>
                </c:pt>
                <c:pt idx="1">
                  <c:v>778329107.64999998</c:v>
                </c:pt>
                <c:pt idx="2">
                  <c:v>801549025.60000014</c:v>
                </c:pt>
                <c:pt idx="3">
                  <c:v>470524902.12</c:v>
                </c:pt>
                <c:pt idx="4">
                  <c:v>726388233.41900003</c:v>
                </c:pt>
                <c:pt idx="5">
                  <c:v>702593218.49000001</c:v>
                </c:pt>
                <c:pt idx="6">
                  <c:v>791490784.11000001</c:v>
                </c:pt>
                <c:pt idx="7">
                  <c:v>935805888.1400001</c:v>
                </c:pt>
                <c:pt idx="8">
                  <c:v>1045138743.0899999</c:v>
                </c:pt>
                <c:pt idx="9">
                  <c:v>1032095716.16</c:v>
                </c:pt>
                <c:pt idx="10">
                  <c:v>76713542.849999994</c:v>
                </c:pt>
              </c:numCache>
            </c:numRef>
          </c:val>
        </c:ser>
        <c:ser>
          <c:idx val="2"/>
          <c:order val="2"/>
          <c:tx>
            <c:strRef>
              <c:f>'V.2.2 Disp. anual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cuentas'!$B$6:$L$6</c:f>
              <c:numCache>
                <c:formatCode>_(* #,##0.00_);_(* \(#,##0.00\);_(* "-"??_);_(@_)</c:formatCode>
                <c:ptCount val="11"/>
                <c:pt idx="0">
                  <c:v>0</c:v>
                </c:pt>
                <c:pt idx="1">
                  <c:v>0</c:v>
                </c:pt>
                <c:pt idx="2">
                  <c:v>0</c:v>
                </c:pt>
                <c:pt idx="3">
                  <c:v>0</c:v>
                </c:pt>
                <c:pt idx="4">
                  <c:v>2506661252.1800003</c:v>
                </c:pt>
                <c:pt idx="5">
                  <c:v>1248799551.6500001</c:v>
                </c:pt>
                <c:pt idx="6">
                  <c:v>404625934.49000001</c:v>
                </c:pt>
                <c:pt idx="7">
                  <c:v>0</c:v>
                </c:pt>
                <c:pt idx="8">
                  <c:v>0</c:v>
                </c:pt>
                <c:pt idx="9">
                  <c:v>0</c:v>
                </c:pt>
                <c:pt idx="10">
                  <c:v>0</c:v>
                </c:pt>
              </c:numCache>
            </c:numRef>
          </c:val>
        </c:ser>
        <c:ser>
          <c:idx val="3"/>
          <c:order val="3"/>
          <c:tx>
            <c:strRef>
              <c:f>'V.2.2 Disp. anual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cuentas'!$B$7:$L$7</c:f>
              <c:numCache>
                <c:formatCode>_(* #,##0.00_);_(* \(#,##0.00\);_(* "-"??_);_(@_)</c:formatCode>
                <c:ptCount val="11"/>
                <c:pt idx="0">
                  <c:v>181371363.94200003</c:v>
                </c:pt>
                <c:pt idx="1">
                  <c:v>750678112.24000001</c:v>
                </c:pt>
                <c:pt idx="2">
                  <c:v>787020865.17999995</c:v>
                </c:pt>
                <c:pt idx="3">
                  <c:v>905145735.52999997</c:v>
                </c:pt>
                <c:pt idx="4">
                  <c:v>1128937194.7399998</c:v>
                </c:pt>
                <c:pt idx="5">
                  <c:v>1354809029.5900002</c:v>
                </c:pt>
                <c:pt idx="6">
                  <c:v>1598791980.2700002</c:v>
                </c:pt>
                <c:pt idx="7">
                  <c:v>1839177727.8</c:v>
                </c:pt>
                <c:pt idx="8">
                  <c:v>2055053729.2299998</c:v>
                </c:pt>
                <c:pt idx="9">
                  <c:v>2278168828.7800002</c:v>
                </c:pt>
                <c:pt idx="10">
                  <c:v>192191655.02000001</c:v>
                </c:pt>
              </c:numCache>
            </c:numRef>
          </c:val>
        </c:ser>
        <c:ser>
          <c:idx val="4"/>
          <c:order val="4"/>
          <c:tx>
            <c:strRef>
              <c:f>'V.2.2 Disp. anual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cuentas'!$C$8:$L$8</c:f>
              <c:numCache>
                <c:formatCode>_(* #,##0.00_);_(* \(#,##0.00\);_(* "-"??_);_(@_)</c:formatCode>
                <c:ptCount val="10"/>
                <c:pt idx="0">
                  <c:v>0</c:v>
                </c:pt>
                <c:pt idx="1">
                  <c:v>44554249.010000005</c:v>
                </c:pt>
                <c:pt idx="2">
                  <c:v>50116429.870000005</c:v>
                </c:pt>
                <c:pt idx="3">
                  <c:v>66693954.190000013</c:v>
                </c:pt>
                <c:pt idx="4">
                  <c:v>70260729.659999996</c:v>
                </c:pt>
                <c:pt idx="5">
                  <c:v>75325664.870000005</c:v>
                </c:pt>
                <c:pt idx="6">
                  <c:v>87578817.120000005</c:v>
                </c:pt>
                <c:pt idx="7">
                  <c:v>91807218.480000004</c:v>
                </c:pt>
                <c:pt idx="8">
                  <c:v>92110689.790000007</c:v>
                </c:pt>
                <c:pt idx="9">
                  <c:v>1124429.83</c:v>
                </c:pt>
              </c:numCache>
            </c:numRef>
          </c:val>
        </c:ser>
        <c:ser>
          <c:idx val="5"/>
          <c:order val="5"/>
          <c:tx>
            <c:strRef>
              <c:f>'V.2.2 Disp. anual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cuentas'!$B$9:$L$9</c:f>
              <c:numCache>
                <c:formatCode>_(* #,##0.00_);_(* \(#,##0.00\);_(* "-"??_);_(@_)</c:formatCode>
                <c:ptCount val="11"/>
                <c:pt idx="0">
                  <c:v>90685681.971000016</c:v>
                </c:pt>
                <c:pt idx="1">
                  <c:v>416646003.28025001</c:v>
                </c:pt>
                <c:pt idx="2">
                  <c:v>499326061.26086009</c:v>
                </c:pt>
                <c:pt idx="3">
                  <c:v>539813903.23000002</c:v>
                </c:pt>
                <c:pt idx="4">
                  <c:v>653915330.37</c:v>
                </c:pt>
                <c:pt idx="5">
                  <c:v>775828907.30000007</c:v>
                </c:pt>
                <c:pt idx="6">
                  <c:v>933206115.5</c:v>
                </c:pt>
                <c:pt idx="7">
                  <c:v>1197846913.1600001</c:v>
                </c:pt>
                <c:pt idx="8">
                  <c:v>1153613834.1200001</c:v>
                </c:pt>
                <c:pt idx="9">
                  <c:v>1270496588.99</c:v>
                </c:pt>
                <c:pt idx="10">
                  <c:v>106561736.52</c:v>
                </c:pt>
              </c:numCache>
            </c:numRef>
          </c:val>
        </c:ser>
        <c:ser>
          <c:idx val="6"/>
          <c:order val="6"/>
          <c:tx>
            <c:strRef>
              <c:f>'V.2.2 Disp. anual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cuentas'!$B$10:$L$10</c:f>
              <c:numCache>
                <c:formatCode>_(* #,##0.00_);_(* \(#,##0.00\);_(* "-"??_);_(@_)</c:formatCode>
                <c:ptCount val="11"/>
                <c:pt idx="0">
                  <c:v>18137136.394200001</c:v>
                </c:pt>
                <c:pt idx="1">
                  <c:v>82133021.969750002</c:v>
                </c:pt>
                <c:pt idx="2">
                  <c:v>99075487.134100005</c:v>
                </c:pt>
                <c:pt idx="3">
                  <c:v>109989360.61999997</c:v>
                </c:pt>
                <c:pt idx="4">
                  <c:v>130598212.33</c:v>
                </c:pt>
                <c:pt idx="5">
                  <c:v>140113069.22999999</c:v>
                </c:pt>
                <c:pt idx="6">
                  <c:v>132002937.52000001</c:v>
                </c:pt>
                <c:pt idx="7">
                  <c:v>188169177.71000001</c:v>
                </c:pt>
                <c:pt idx="8">
                  <c:v>162448764.51999998</c:v>
                </c:pt>
                <c:pt idx="9">
                  <c:v>179079077.34999999</c:v>
                </c:pt>
                <c:pt idx="10">
                  <c:v>14995011.18</c:v>
                </c:pt>
              </c:numCache>
            </c:numRef>
          </c:val>
        </c:ser>
        <c:ser>
          <c:idx val="7"/>
          <c:order val="7"/>
          <c:tx>
            <c:strRef>
              <c:f>'V.2.2 Disp. anual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'V.2.2 Disp. anual  x cuentas'!$B$3:$L$3</c:f>
              <c:strCache>
                <c:ptCount val="11"/>
                <c:pt idx="0">
                  <c:v>2003</c:v>
                </c:pt>
                <c:pt idx="1">
                  <c:v>2004</c:v>
                </c:pt>
                <c:pt idx="2">
                  <c:v>2005</c:v>
                </c:pt>
                <c:pt idx="3">
                  <c:v>2006</c:v>
                </c:pt>
                <c:pt idx="4">
                  <c:v>2007</c:v>
                </c:pt>
                <c:pt idx="5">
                  <c:v>2008</c:v>
                </c:pt>
                <c:pt idx="6">
                  <c:v>2009</c:v>
                </c:pt>
                <c:pt idx="7">
                  <c:v>2010</c:v>
                </c:pt>
                <c:pt idx="8">
                  <c:v> 2011</c:v>
                </c:pt>
                <c:pt idx="9">
                  <c:v>2012</c:v>
                </c:pt>
                <c:pt idx="10">
                  <c:v>Ene-Feb. 2013</c:v>
                </c:pt>
              </c:strCache>
            </c:strRef>
          </c:cat>
          <c:val>
            <c:numRef>
              <c:f>'V.2.2 Disp. anual  x cuentas'!$B$11:$L$11</c:f>
              <c:numCache>
                <c:formatCode>_(* #,##0.00_);_(* \(#,##0.00\);_(* "-"??_);_(@_)</c:formatCode>
                <c:ptCount val="11"/>
                <c:pt idx="0">
                  <c:v>72548545.576800004</c:v>
                </c:pt>
                <c:pt idx="1">
                  <c:v>330338862.61999995</c:v>
                </c:pt>
                <c:pt idx="2">
                  <c:v>400373294.9199999</c:v>
                </c:pt>
                <c:pt idx="3">
                  <c:v>439956624.98000002</c:v>
                </c:pt>
                <c:pt idx="4">
                  <c:v>522387059.45000005</c:v>
                </c:pt>
                <c:pt idx="5">
                  <c:v>623699631.28999996</c:v>
                </c:pt>
                <c:pt idx="6">
                  <c:v>751893113.57000005</c:v>
                </c:pt>
                <c:pt idx="7">
                  <c:v>830238495.26999998</c:v>
                </c:pt>
                <c:pt idx="8">
                  <c:v>931432716.68999994</c:v>
                </c:pt>
                <c:pt idx="9">
                  <c:v>1023346377.39</c:v>
                </c:pt>
                <c:pt idx="10">
                  <c:v>85688014.829999998</c:v>
                </c:pt>
              </c:numCache>
            </c:numRef>
          </c:val>
        </c:ser>
        <c:dLbls>
          <c:showLegendKey val="0"/>
          <c:showVal val="0"/>
          <c:showCatName val="0"/>
          <c:showSerName val="0"/>
          <c:showPercent val="0"/>
          <c:showBubbleSize val="0"/>
        </c:dLbls>
        <c:gapWidth val="75"/>
        <c:shape val="cylinder"/>
        <c:axId val="279692096"/>
        <c:axId val="279692488"/>
        <c:axId val="0"/>
      </c:bar3DChart>
      <c:catAx>
        <c:axId val="2796920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279692488"/>
        <c:crosses val="autoZero"/>
        <c:auto val="1"/>
        <c:lblAlgn val="ctr"/>
        <c:lblOffset val="100"/>
        <c:noMultiLvlLbl val="0"/>
      </c:catAx>
      <c:valAx>
        <c:axId val="27969248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79692096"/>
        <c:crosses val="autoZero"/>
        <c:crossBetween val="between"/>
        <c:dispUnits>
          <c:builtInUnit val="millions"/>
          <c:dispUnitsLbl>
            <c:layout>
              <c:manualLayout>
                <c:xMode val="edge"/>
                <c:yMode val="edge"/>
                <c:x val="9.4086835352334818E-3"/>
                <c:y val="0.48783146939148875"/>
              </c:manualLayout>
            </c:layout>
            <c:txPr>
              <a:bodyPr/>
              <a:lstStyle/>
              <a:p>
                <a:pPr>
                  <a:defRPr lang="en-US"/>
                </a:pPr>
                <a:endParaRPr lang="es-ES"/>
              </a:p>
            </c:txPr>
          </c:dispUnitsLbl>
        </c:dispUnits>
      </c:valAx>
      <c:spPr>
        <a:noFill/>
        <a:ln w="25400">
          <a:noFill/>
        </a:ln>
      </c:spPr>
    </c:plotArea>
    <c:legend>
      <c:legendPos val="b"/>
      <c:layout>
        <c:manualLayout>
          <c:xMode val="edge"/>
          <c:yMode val="edge"/>
          <c:x val="7.0858021825992767E-2"/>
          <c:y val="5.968357779791874E-2"/>
          <c:w val="0.88058983880803499"/>
          <c:h val="4.6586506757141162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729698063477463E-2"/>
          <c:y val="8.7268050343724646E-2"/>
          <c:w val="0.97442117304034803"/>
          <c:h val="0.72366221292892341"/>
        </c:manualLayout>
      </c:layout>
      <c:bar3DChart>
        <c:barDir val="col"/>
        <c:grouping val="clustered"/>
        <c:varyColors val="0"/>
        <c:ser>
          <c:idx val="0"/>
          <c:order val="0"/>
          <c:tx>
            <c:strRef>
              <c:f>'V.3.1 Traspasos anual'!$B$4</c:f>
              <c:strCache>
                <c:ptCount val="1"/>
                <c:pt idx="0">
                  <c:v>Traspasos</c:v>
                </c:pt>
              </c:strCache>
            </c:strRef>
          </c:tx>
          <c:spPr>
            <a:gradFill flip="none" rotWithShape="1">
              <a:gsLst>
                <a:gs pos="79000">
                  <a:schemeClr val="accent3">
                    <a:lumMod val="50000"/>
                  </a:schemeClr>
                </a:gs>
                <a:gs pos="0">
                  <a:srgbClr val="FFF200"/>
                </a:gs>
                <a:gs pos="45000">
                  <a:srgbClr val="FF7A00"/>
                </a:gs>
                <a:gs pos="70000">
                  <a:schemeClr val="accent6">
                    <a:lumMod val="50000"/>
                  </a:schemeClr>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'V.3.1 Traspasos anual'!$A$5:$A$15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'V.3.1 Traspasos anual'!$B$5:$B$15</c:f>
              <c:numCache>
                <c:formatCode>_(* #,##0_);_(* \(#,##0\);_(* "-"??_);_(@_)</c:formatCode>
                <c:ptCount val="10"/>
                <c:pt idx="0">
                  <c:v>733</c:v>
                </c:pt>
                <c:pt idx="1">
                  <c:v>1859</c:v>
                </c:pt>
                <c:pt idx="2">
                  <c:v>1247</c:v>
                </c:pt>
                <c:pt idx="3">
                  <c:v>1028</c:v>
                </c:pt>
                <c:pt idx="4">
                  <c:v>25287</c:v>
                </c:pt>
                <c:pt idx="5">
                  <c:v>10644</c:v>
                </c:pt>
                <c:pt idx="6">
                  <c:v>6268</c:v>
                </c:pt>
                <c:pt idx="7">
                  <c:v>10046</c:v>
                </c:pt>
                <c:pt idx="8">
                  <c:v>15740</c:v>
                </c:pt>
                <c:pt idx="9">
                  <c:v>32227</c:v>
                </c:pt>
              </c:numCache>
            </c:numRef>
          </c:val>
        </c:ser>
        <c:dLbls>
          <c:showLegendKey val="0"/>
          <c:showVal val="0"/>
          <c:showCatName val="0"/>
          <c:showSerName val="0"/>
          <c:showPercent val="0"/>
          <c:showBubbleSize val="0"/>
        </c:dLbls>
        <c:gapWidth val="23"/>
        <c:shape val="cone"/>
        <c:axId val="279693272"/>
        <c:axId val="279693664"/>
        <c:axId val="0"/>
      </c:bar3DChart>
      <c:catAx>
        <c:axId val="279693272"/>
        <c:scaling>
          <c:orientation val="minMax"/>
        </c:scaling>
        <c:delete val="0"/>
        <c:axPos val="b"/>
        <c:numFmt formatCode="General" sourceLinked="1"/>
        <c:majorTickMark val="none"/>
        <c:minorTickMark val="none"/>
        <c:tickLblPos val="nextTo"/>
        <c:txPr>
          <a:bodyPr/>
          <a:lstStyle/>
          <a:p>
            <a:pPr>
              <a:defRPr sz="2000"/>
            </a:pPr>
            <a:endParaRPr lang="es-ES"/>
          </a:p>
        </c:txPr>
        <c:crossAx val="279693664"/>
        <c:crosses val="autoZero"/>
        <c:auto val="1"/>
        <c:lblAlgn val="ctr"/>
        <c:lblOffset val="100"/>
        <c:noMultiLvlLbl val="0"/>
      </c:catAx>
      <c:valAx>
        <c:axId val="279693664"/>
        <c:scaling>
          <c:orientation val="minMax"/>
        </c:scaling>
        <c:delete val="1"/>
        <c:axPos val="l"/>
        <c:numFmt formatCode="_(* #,##0_);_(* \(#,##0\);_(* &quot;-&quot;??_);_(@_)" sourceLinked="1"/>
        <c:majorTickMark val="out"/>
        <c:minorTickMark val="none"/>
        <c:tickLblPos val="nextTo"/>
        <c:crossAx val="279693272"/>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Reparto</a:t>
            </a:r>
          </a:p>
        </c:rich>
      </c:tx>
      <c:layout>
        <c:manualLayout>
          <c:xMode val="edge"/>
          <c:yMode val="edge"/>
          <c:x val="0.23477067938573443"/>
          <c:y val="7.2500956886346835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'V.3.2 Trasp. recibidos'!$L$4</c:f>
              <c:strCache>
                <c:ptCount val="1"/>
                <c:pt idx="0">
                  <c:v>FPBC</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recibidos'!$L$5:$L$15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'V.3.2 Trasp. recibidos'!$M$4</c:f>
              <c:strCache>
                <c:ptCount val="1"/>
                <c:pt idx="0">
                  <c:v>Bco. Reservas</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recibidos'!$M$5:$M$15</c:f>
              <c:numCache>
                <c:formatCode>#,##0</c:formatCode>
                <c:ptCount val="10"/>
                <c:pt idx="0">
                  <c:v>0</c:v>
                </c:pt>
                <c:pt idx="1">
                  <c:v>0</c:v>
                </c:pt>
                <c:pt idx="2">
                  <c:v>0</c:v>
                </c:pt>
                <c:pt idx="3">
                  <c:v>0</c:v>
                </c:pt>
                <c:pt idx="4">
                  <c:v>0</c:v>
                </c:pt>
                <c:pt idx="5">
                  <c:v>1</c:v>
                </c:pt>
                <c:pt idx="6">
                  <c:v>0</c:v>
                </c:pt>
                <c:pt idx="7">
                  <c:v>513</c:v>
                </c:pt>
                <c:pt idx="8">
                  <c:v>0</c:v>
                </c:pt>
                <c:pt idx="9">
                  <c:v>0</c:v>
                </c:pt>
              </c:numCache>
            </c:numRef>
          </c:val>
        </c:ser>
        <c:ser>
          <c:idx val="2"/>
          <c:order val="2"/>
          <c:tx>
            <c:strRef>
              <c:f>'V.3.2 Trasp. recibidos'!$N$4</c:f>
              <c:strCache>
                <c:ptCount val="1"/>
                <c:pt idx="0">
                  <c:v>INABIMA</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recibidos'!$N$5:$N$15</c:f>
              <c:numCache>
                <c:formatCode>#,##0</c:formatCode>
                <c:ptCount val="10"/>
                <c:pt idx="0">
                  <c:v>0</c:v>
                </c:pt>
                <c:pt idx="1">
                  <c:v>0</c:v>
                </c:pt>
                <c:pt idx="2">
                  <c:v>0</c:v>
                </c:pt>
                <c:pt idx="3">
                  <c:v>0</c:v>
                </c:pt>
                <c:pt idx="4">
                  <c:v>21139</c:v>
                </c:pt>
                <c:pt idx="5">
                  <c:v>3310</c:v>
                </c:pt>
                <c:pt idx="6">
                  <c:v>1778</c:v>
                </c:pt>
                <c:pt idx="7">
                  <c:v>2945</c:v>
                </c:pt>
                <c:pt idx="8">
                  <c:v>2249</c:v>
                </c:pt>
                <c:pt idx="9">
                  <c:v>7035</c:v>
                </c:pt>
              </c:numCache>
            </c:numRef>
          </c:val>
        </c:ser>
        <c:ser>
          <c:idx val="3"/>
          <c:order val="3"/>
          <c:tx>
            <c:strRef>
              <c:f>'V.3.2 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8426415609943412E-3"/>
                  <c:y val="-5.76382269823905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67480056427E-2"/>
                  <c:y val="-6.809099083252266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5373667117435902E-2"/>
                  <c:y val="-9.6947941398252371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50338076933E-2"/>
                  <c:y val="-4.6535011871160915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141414141414142E-2"/>
                  <c:y val="-4.0874318346863503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recibidos'!$O$5:$O$15</c:f>
              <c:numCache>
                <c:formatCode>#,##0</c:formatCode>
                <c:ptCount val="10"/>
                <c:pt idx="0">
                  <c:v>0</c:v>
                </c:pt>
                <c:pt idx="1">
                  <c:v>20</c:v>
                </c:pt>
                <c:pt idx="2">
                  <c:v>0</c:v>
                </c:pt>
                <c:pt idx="3">
                  <c:v>0</c:v>
                </c:pt>
                <c:pt idx="4">
                  <c:v>2582</c:v>
                </c:pt>
                <c:pt idx="5">
                  <c:v>4114</c:v>
                </c:pt>
                <c:pt idx="6">
                  <c:v>199</c:v>
                </c:pt>
                <c:pt idx="7">
                  <c:v>17</c:v>
                </c:pt>
                <c:pt idx="8">
                  <c:v>1532</c:v>
                </c:pt>
                <c:pt idx="9">
                  <c:v>324</c:v>
                </c:pt>
              </c:numCache>
            </c:numRef>
          </c:val>
        </c:ser>
        <c:dLbls>
          <c:showLegendKey val="0"/>
          <c:showVal val="0"/>
          <c:showCatName val="0"/>
          <c:showSerName val="0"/>
          <c:showPercent val="0"/>
          <c:showBubbleSize val="0"/>
        </c:dLbls>
        <c:gapWidth val="17"/>
        <c:shape val="cylinder"/>
        <c:axId val="279694448"/>
        <c:axId val="279694840"/>
        <c:axId val="0"/>
      </c:bar3DChart>
      <c:catAx>
        <c:axId val="279694448"/>
        <c:scaling>
          <c:orientation val="minMax"/>
        </c:scaling>
        <c:delete val="0"/>
        <c:axPos val="b"/>
        <c:numFmt formatCode="General" sourceLinked="1"/>
        <c:majorTickMark val="none"/>
        <c:minorTickMark val="none"/>
        <c:tickLblPos val="nextTo"/>
        <c:txPr>
          <a:bodyPr/>
          <a:lstStyle/>
          <a:p>
            <a:pPr>
              <a:defRPr sz="1200"/>
            </a:pPr>
            <a:endParaRPr lang="es-ES"/>
          </a:p>
        </c:txPr>
        <c:crossAx val="279694840"/>
        <c:crosses val="autoZero"/>
        <c:auto val="1"/>
        <c:lblAlgn val="ctr"/>
        <c:lblOffset val="100"/>
        <c:noMultiLvlLbl val="0"/>
      </c:catAx>
      <c:valAx>
        <c:axId val="279694840"/>
        <c:scaling>
          <c:orientation val="minMax"/>
        </c:scaling>
        <c:delete val="1"/>
        <c:axPos val="l"/>
        <c:numFmt formatCode="#,##0" sourceLinked="1"/>
        <c:majorTickMark val="out"/>
        <c:minorTickMark val="none"/>
        <c:tickLblPos val="nextTo"/>
        <c:crossAx val="279694448"/>
        <c:crosses val="autoZero"/>
        <c:crossBetween val="between"/>
      </c:valAx>
      <c:spPr>
        <a:noFill/>
        <a:ln w="25400">
          <a:noFill/>
        </a:ln>
      </c:spPr>
    </c:plotArea>
    <c:legend>
      <c:legendPos val="b"/>
      <c:layout>
        <c:manualLayout>
          <c:xMode val="edge"/>
          <c:yMode val="edge"/>
          <c:x val="3.5885013747076186E-2"/>
          <c:y val="0.14788394248617925"/>
          <c:w val="0.94033246793406999"/>
          <c:h val="3.975542661127753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6578099434701459"/>
          <c:h val="0.62373207715847756"/>
        </c:manualLayout>
      </c:layout>
      <c:bar3DChart>
        <c:barDir val="col"/>
        <c:grouping val="stacked"/>
        <c:varyColors val="0"/>
        <c:ser>
          <c:idx val="0"/>
          <c:order val="0"/>
          <c:tx>
            <c:strRef>
              <c:f>'V.3.2 Trasp. recibidos'!$B$4</c:f>
              <c:strCache>
                <c:ptCount val="1"/>
                <c:pt idx="0">
                  <c:v>Camino </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recibidos'!$B$5:$B$15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'V.3.2 Trasp. recibidos'!$C$4</c:f>
              <c:strCache>
                <c:ptCount val="1"/>
                <c:pt idx="0">
                  <c:v>Caribalico</c:v>
                </c:pt>
              </c:strCache>
            </c:strRef>
          </c:tx>
          <c:spPr>
            <a:solidFill>
              <a:srgbClr val="FF0000"/>
            </a:solidFill>
          </c:spPr>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recibidos'!$C$5:$C$15</c:f>
              <c:numCache>
                <c:formatCode>#,##0</c:formatCode>
                <c:ptCount val="10"/>
                <c:pt idx="0">
                  <c:v>4</c:v>
                </c:pt>
                <c:pt idx="1">
                  <c:v>19</c:v>
                </c:pt>
                <c:pt idx="2">
                  <c:v>0</c:v>
                </c:pt>
                <c:pt idx="3">
                  <c:v>0</c:v>
                </c:pt>
                <c:pt idx="4">
                  <c:v>0</c:v>
                </c:pt>
                <c:pt idx="5">
                  <c:v>0</c:v>
                </c:pt>
                <c:pt idx="6">
                  <c:v>0</c:v>
                </c:pt>
                <c:pt idx="7">
                  <c:v>0</c:v>
                </c:pt>
                <c:pt idx="8">
                  <c:v>0</c:v>
                </c:pt>
                <c:pt idx="9">
                  <c:v>0</c:v>
                </c:pt>
              </c:numCache>
            </c:numRef>
          </c:val>
        </c:ser>
        <c:ser>
          <c:idx val="2"/>
          <c:order val="2"/>
          <c:tx>
            <c:strRef>
              <c:f>'V.3.2 Trasp. recibidos'!$D$4</c:f>
              <c:strCache>
                <c:ptCount val="1"/>
                <c:pt idx="0">
                  <c:v>León</c:v>
                </c:pt>
              </c:strCache>
            </c:strRef>
          </c:tx>
          <c:spPr>
            <a:solidFill>
              <a:srgbClr val="002060"/>
            </a:solidFill>
          </c:spPr>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recibidos'!$D$5:$D$15</c:f>
              <c:numCache>
                <c:formatCode>#,##0</c:formatCode>
                <c:ptCount val="10"/>
                <c:pt idx="0">
                  <c:v>279</c:v>
                </c:pt>
                <c:pt idx="1">
                  <c:v>349</c:v>
                </c:pt>
                <c:pt idx="2">
                  <c:v>57</c:v>
                </c:pt>
                <c:pt idx="3">
                  <c:v>0</c:v>
                </c:pt>
                <c:pt idx="4">
                  <c:v>0</c:v>
                </c:pt>
                <c:pt idx="5">
                  <c:v>0</c:v>
                </c:pt>
                <c:pt idx="6">
                  <c:v>0</c:v>
                </c:pt>
                <c:pt idx="7">
                  <c:v>0</c:v>
                </c:pt>
                <c:pt idx="8">
                  <c:v>0</c:v>
                </c:pt>
                <c:pt idx="9">
                  <c:v>0</c:v>
                </c:pt>
              </c:numCache>
            </c:numRef>
          </c:val>
        </c:ser>
        <c:ser>
          <c:idx val="3"/>
          <c:order val="3"/>
          <c:tx>
            <c:strRef>
              <c:f>'V.3.2 Trasp. recibidos'!$E$4</c:f>
              <c:strCache>
                <c:ptCount val="1"/>
                <c:pt idx="0">
                  <c:v> Popular</c:v>
                </c:pt>
              </c:strCache>
            </c:strRef>
          </c:tx>
          <c:spPr>
            <a:solidFill>
              <a:schemeClr val="accent3">
                <a:lumMod val="75000"/>
              </a:schemeClr>
            </a:solidFill>
          </c:spPr>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recibidos'!$E$5:$E$15</c:f>
              <c:numCache>
                <c:formatCode>#,##0</c:formatCode>
                <c:ptCount val="10"/>
                <c:pt idx="0">
                  <c:v>115</c:v>
                </c:pt>
                <c:pt idx="1">
                  <c:v>176</c:v>
                </c:pt>
                <c:pt idx="2">
                  <c:v>136</c:v>
                </c:pt>
                <c:pt idx="3">
                  <c:v>217</c:v>
                </c:pt>
                <c:pt idx="4">
                  <c:v>174</c:v>
                </c:pt>
                <c:pt idx="5">
                  <c:v>505</c:v>
                </c:pt>
                <c:pt idx="6">
                  <c:v>572</c:v>
                </c:pt>
                <c:pt idx="7">
                  <c:v>1014</c:v>
                </c:pt>
                <c:pt idx="8">
                  <c:v>1482</c:v>
                </c:pt>
                <c:pt idx="9">
                  <c:v>2468</c:v>
                </c:pt>
              </c:numCache>
            </c:numRef>
          </c:val>
        </c:ser>
        <c:ser>
          <c:idx val="4"/>
          <c:order val="4"/>
          <c:tx>
            <c:strRef>
              <c:f>'V.3.2 Trasp. recibidos'!$F$4</c:f>
              <c:strCache>
                <c:ptCount val="1"/>
                <c:pt idx="0">
                  <c:v>Porvenir </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recibidos'!$F$5:$F$15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5"/>
          <c:tx>
            <c:strRef>
              <c:f>'V.3.2 Trasp. recibidos'!$G$4</c:f>
              <c:strCache>
                <c:ptCount val="1"/>
                <c:pt idx="0">
                  <c:v> Reservas </c:v>
                </c:pt>
              </c:strCache>
            </c:strRef>
          </c:tx>
          <c:spPr>
            <a:solidFill>
              <a:schemeClr val="accent5">
                <a:lumMod val="75000"/>
              </a:schemeClr>
            </a:solidFill>
          </c:spPr>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recibidos'!$G$5:$G$15</c:f>
              <c:numCache>
                <c:formatCode>#,##0</c:formatCode>
                <c:ptCount val="10"/>
                <c:pt idx="0">
                  <c:v>128</c:v>
                </c:pt>
                <c:pt idx="1">
                  <c:v>1070</c:v>
                </c:pt>
                <c:pt idx="2">
                  <c:v>585</c:v>
                </c:pt>
                <c:pt idx="3">
                  <c:v>497</c:v>
                </c:pt>
                <c:pt idx="4">
                  <c:v>1232</c:v>
                </c:pt>
                <c:pt idx="5">
                  <c:v>2471</c:v>
                </c:pt>
                <c:pt idx="6">
                  <c:v>3158</c:v>
                </c:pt>
                <c:pt idx="7">
                  <c:v>3741</c:v>
                </c:pt>
                <c:pt idx="8">
                  <c:v>7614</c:v>
                </c:pt>
                <c:pt idx="9">
                  <c:v>14806</c:v>
                </c:pt>
              </c:numCache>
            </c:numRef>
          </c:val>
        </c:ser>
        <c:ser>
          <c:idx val="6"/>
          <c:order val="6"/>
          <c:tx>
            <c:strRef>
              <c:f>'V.3.2 Trasp. recibidos'!$H$4</c:f>
              <c:strCache>
                <c:ptCount val="1"/>
                <c:pt idx="0">
                  <c:v>Romana</c:v>
                </c:pt>
              </c:strCache>
            </c:strRef>
          </c:tx>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recibidos'!$H$5:$H$15</c:f>
              <c:numCache>
                <c:formatCode>#,##0</c:formatCode>
                <c:ptCount val="10"/>
                <c:pt idx="0">
                  <c:v>3</c:v>
                </c:pt>
                <c:pt idx="1">
                  <c:v>19</c:v>
                </c:pt>
                <c:pt idx="2">
                  <c:v>8</c:v>
                </c:pt>
                <c:pt idx="3">
                  <c:v>3</c:v>
                </c:pt>
                <c:pt idx="4">
                  <c:v>3</c:v>
                </c:pt>
                <c:pt idx="5">
                  <c:v>2</c:v>
                </c:pt>
                <c:pt idx="6">
                  <c:v>8</c:v>
                </c:pt>
                <c:pt idx="7">
                  <c:v>11</c:v>
                </c:pt>
                <c:pt idx="8">
                  <c:v>7</c:v>
                </c:pt>
                <c:pt idx="9">
                  <c:v>768</c:v>
                </c:pt>
              </c:numCache>
            </c:numRef>
          </c:val>
        </c:ser>
        <c:ser>
          <c:idx val="7"/>
          <c:order val="7"/>
          <c:tx>
            <c:strRef>
              <c:f>'V.3.2 Trasp. recibidos'!$I$4</c:f>
              <c:strCache>
                <c:ptCount val="1"/>
                <c:pt idx="0">
                  <c:v>Scotia Crecer</c:v>
                </c:pt>
              </c:strCache>
            </c:strRef>
          </c:tx>
          <c:spPr>
            <a:solidFill>
              <a:srgbClr val="00B050"/>
            </a:solidFill>
          </c:spPr>
          <c:invertIfNegative val="0"/>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recibidos'!$I$5:$I$15</c:f>
              <c:numCache>
                <c:formatCode>#,##0</c:formatCode>
                <c:ptCount val="10"/>
                <c:pt idx="0">
                  <c:v>68</c:v>
                </c:pt>
                <c:pt idx="1">
                  <c:v>94</c:v>
                </c:pt>
                <c:pt idx="2">
                  <c:v>27</c:v>
                </c:pt>
                <c:pt idx="3">
                  <c:v>131</c:v>
                </c:pt>
                <c:pt idx="4">
                  <c:v>52</c:v>
                </c:pt>
                <c:pt idx="5">
                  <c:v>116</c:v>
                </c:pt>
                <c:pt idx="6">
                  <c:v>306</c:v>
                </c:pt>
                <c:pt idx="7">
                  <c:v>1022</c:v>
                </c:pt>
                <c:pt idx="8">
                  <c:v>1578</c:v>
                </c:pt>
                <c:pt idx="9">
                  <c:v>4313</c:v>
                </c:pt>
              </c:numCache>
            </c:numRef>
          </c:val>
        </c:ser>
        <c:ser>
          <c:idx val="8"/>
          <c:order val="8"/>
          <c:tx>
            <c:strRef>
              <c:f>'V.3.2 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Trasp. recibidos'!$A$5:$A$15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'V.3.2 Trasp. recibidos'!$J$5:$J$15</c:f>
              <c:numCache>
                <c:formatCode>#,##0</c:formatCode>
                <c:ptCount val="10"/>
                <c:pt idx="0">
                  <c:v>136</c:v>
                </c:pt>
                <c:pt idx="1">
                  <c:v>112</c:v>
                </c:pt>
                <c:pt idx="2">
                  <c:v>434</c:v>
                </c:pt>
                <c:pt idx="3">
                  <c:v>180</c:v>
                </c:pt>
                <c:pt idx="4">
                  <c:v>105</c:v>
                </c:pt>
                <c:pt idx="5">
                  <c:v>125</c:v>
                </c:pt>
                <c:pt idx="6">
                  <c:v>247</c:v>
                </c:pt>
                <c:pt idx="7">
                  <c:v>783</c:v>
                </c:pt>
                <c:pt idx="8">
                  <c:v>1278</c:v>
                </c:pt>
                <c:pt idx="9">
                  <c:v>2513</c:v>
                </c:pt>
              </c:numCache>
            </c:numRef>
          </c:val>
        </c:ser>
        <c:dLbls>
          <c:showLegendKey val="0"/>
          <c:showVal val="0"/>
          <c:showCatName val="0"/>
          <c:showSerName val="0"/>
          <c:showPercent val="0"/>
          <c:showBubbleSize val="0"/>
        </c:dLbls>
        <c:gapWidth val="29"/>
        <c:shape val="cylinder"/>
        <c:axId val="279695624"/>
        <c:axId val="279696016"/>
        <c:axId val="0"/>
      </c:bar3DChart>
      <c:catAx>
        <c:axId val="279695624"/>
        <c:scaling>
          <c:orientation val="minMax"/>
        </c:scaling>
        <c:delete val="0"/>
        <c:axPos val="b"/>
        <c:numFmt formatCode="General" sourceLinked="1"/>
        <c:majorTickMark val="none"/>
        <c:minorTickMark val="none"/>
        <c:tickLblPos val="nextTo"/>
        <c:txPr>
          <a:bodyPr/>
          <a:lstStyle/>
          <a:p>
            <a:pPr>
              <a:defRPr sz="1200"/>
            </a:pPr>
            <a:endParaRPr lang="es-ES"/>
          </a:p>
        </c:txPr>
        <c:crossAx val="279696016"/>
        <c:crosses val="autoZero"/>
        <c:auto val="1"/>
        <c:lblAlgn val="ctr"/>
        <c:lblOffset val="100"/>
        <c:noMultiLvlLbl val="0"/>
      </c:catAx>
      <c:valAx>
        <c:axId val="279696016"/>
        <c:scaling>
          <c:orientation val="minMax"/>
        </c:scaling>
        <c:delete val="1"/>
        <c:axPos val="l"/>
        <c:numFmt formatCode="#,##0" sourceLinked="1"/>
        <c:majorTickMark val="out"/>
        <c:minorTickMark val="none"/>
        <c:tickLblPos val="nextTo"/>
        <c:crossAx val="27969562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4906644550043106"/>
          <c:y val="3.3201122630540612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'V.3.3 Trasp. cedidos'!$B$4</c:f>
              <c:strCache>
                <c:ptCount val="1"/>
                <c:pt idx="0">
                  <c:v>Camino </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cedidos'!$B$5:$B$15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'V.3.3 Trasp. cedidos'!$C$4</c:f>
              <c:strCache>
                <c:ptCount val="1"/>
                <c:pt idx="0">
                  <c:v>Caribalico</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cedidos'!$C$5:$C$15</c:f>
              <c:numCache>
                <c:formatCode>0</c:formatCode>
                <c:ptCount val="10"/>
                <c:pt idx="0">
                  <c:v>57</c:v>
                </c:pt>
                <c:pt idx="1">
                  <c:v>81</c:v>
                </c:pt>
                <c:pt idx="2">
                  <c:v>363</c:v>
                </c:pt>
                <c:pt idx="3">
                  <c:v>0</c:v>
                </c:pt>
                <c:pt idx="4">
                  <c:v>0</c:v>
                </c:pt>
                <c:pt idx="5">
                  <c:v>0</c:v>
                </c:pt>
                <c:pt idx="6">
                  <c:v>0</c:v>
                </c:pt>
                <c:pt idx="7">
                  <c:v>0</c:v>
                </c:pt>
                <c:pt idx="8">
                  <c:v>0</c:v>
                </c:pt>
                <c:pt idx="9">
                  <c:v>0</c:v>
                </c:pt>
              </c:numCache>
            </c:numRef>
          </c:val>
        </c:ser>
        <c:ser>
          <c:idx val="2"/>
          <c:order val="2"/>
          <c:tx>
            <c:strRef>
              <c:f>'V.3.3 Trasp. cedidos'!$D$4</c:f>
              <c:strCache>
                <c:ptCount val="1"/>
                <c:pt idx="0">
                  <c:v>León</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cedidos'!$D$5:$D$15</c:f>
              <c:numCache>
                <c:formatCode>0</c:formatCode>
                <c:ptCount val="10"/>
                <c:pt idx="0">
                  <c:v>14</c:v>
                </c:pt>
                <c:pt idx="1">
                  <c:v>13</c:v>
                </c:pt>
                <c:pt idx="2">
                  <c:v>10</c:v>
                </c:pt>
                <c:pt idx="3">
                  <c:v>0</c:v>
                </c:pt>
                <c:pt idx="4">
                  <c:v>0</c:v>
                </c:pt>
                <c:pt idx="5">
                  <c:v>0</c:v>
                </c:pt>
                <c:pt idx="6">
                  <c:v>0</c:v>
                </c:pt>
                <c:pt idx="7">
                  <c:v>0</c:v>
                </c:pt>
                <c:pt idx="8">
                  <c:v>0</c:v>
                </c:pt>
                <c:pt idx="9">
                  <c:v>0</c:v>
                </c:pt>
              </c:numCache>
            </c:numRef>
          </c:val>
        </c:ser>
        <c:ser>
          <c:idx val="3"/>
          <c:order val="3"/>
          <c:tx>
            <c:strRef>
              <c:f>'V.3.3 Trasp. cedidos'!$E$4</c:f>
              <c:strCache>
                <c:ptCount val="1"/>
                <c:pt idx="0">
                  <c:v> Popular</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cedidos'!$E$5:$E$15</c:f>
              <c:numCache>
                <c:formatCode>_(* #,##0_);_(* \(#,##0\);_(* "-"??_);_(@_)</c:formatCode>
                <c:ptCount val="10"/>
                <c:pt idx="0">
                  <c:v>135</c:v>
                </c:pt>
                <c:pt idx="1">
                  <c:v>181</c:v>
                </c:pt>
                <c:pt idx="2">
                  <c:v>208</c:v>
                </c:pt>
                <c:pt idx="3">
                  <c:v>288</c:v>
                </c:pt>
                <c:pt idx="4">
                  <c:v>5982</c:v>
                </c:pt>
                <c:pt idx="5">
                  <c:v>2345</c:v>
                </c:pt>
                <c:pt idx="6">
                  <c:v>1603</c:v>
                </c:pt>
                <c:pt idx="7">
                  <c:v>2631</c:v>
                </c:pt>
                <c:pt idx="8">
                  <c:v>3642</c:v>
                </c:pt>
                <c:pt idx="9">
                  <c:v>7741</c:v>
                </c:pt>
              </c:numCache>
            </c:numRef>
          </c:val>
        </c:ser>
        <c:ser>
          <c:idx val="4"/>
          <c:order val="4"/>
          <c:tx>
            <c:strRef>
              <c:f>'V.3.3 Trasp. cedidos'!$F$4</c:f>
              <c:strCache>
                <c:ptCount val="1"/>
                <c:pt idx="0">
                  <c:v>Porvenir </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cedidos'!$F$5:$F$15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5"/>
          <c:tx>
            <c:strRef>
              <c:f>'V.3.3 Trasp. cedidos'!$G$4</c:f>
              <c:strCache>
                <c:ptCount val="1"/>
                <c:pt idx="0">
                  <c:v> Reservas </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cedidos'!$G$5:$G$15</c:f>
              <c:numCache>
                <c:formatCode>_(* #,##0_);_(* \(#,##0\);_(* "-"??_);_(@_)</c:formatCode>
                <c:ptCount val="10"/>
                <c:pt idx="0">
                  <c:v>76</c:v>
                </c:pt>
                <c:pt idx="1">
                  <c:v>81</c:v>
                </c:pt>
                <c:pt idx="2">
                  <c:v>55</c:v>
                </c:pt>
                <c:pt idx="3">
                  <c:v>65</c:v>
                </c:pt>
                <c:pt idx="4">
                  <c:v>5612</c:v>
                </c:pt>
                <c:pt idx="5">
                  <c:v>3608</c:v>
                </c:pt>
                <c:pt idx="6">
                  <c:v>1068</c:v>
                </c:pt>
                <c:pt idx="7">
                  <c:v>1755</c:v>
                </c:pt>
                <c:pt idx="8">
                  <c:v>3099</c:v>
                </c:pt>
                <c:pt idx="9">
                  <c:v>7397</c:v>
                </c:pt>
              </c:numCache>
            </c:numRef>
          </c:val>
        </c:ser>
        <c:ser>
          <c:idx val="6"/>
          <c:order val="6"/>
          <c:tx>
            <c:strRef>
              <c:f>'V.3.3 Trasp. cedidos'!$H$4</c:f>
              <c:strCache>
                <c:ptCount val="1"/>
                <c:pt idx="0">
                  <c:v>Romana</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cedidos'!$H$5:$H$15</c:f>
              <c:numCache>
                <c:formatCode>0</c:formatCode>
                <c:ptCount val="10"/>
                <c:pt idx="0">
                  <c:v>8</c:v>
                </c:pt>
                <c:pt idx="1">
                  <c:v>5</c:v>
                </c:pt>
                <c:pt idx="2">
                  <c:v>8</c:v>
                </c:pt>
                <c:pt idx="3">
                  <c:v>19</c:v>
                </c:pt>
                <c:pt idx="4">
                  <c:v>59</c:v>
                </c:pt>
                <c:pt idx="5">
                  <c:v>22</c:v>
                </c:pt>
                <c:pt idx="6">
                  <c:v>23</c:v>
                </c:pt>
                <c:pt idx="7">
                  <c:v>39</c:v>
                </c:pt>
                <c:pt idx="8">
                  <c:v>33</c:v>
                </c:pt>
                <c:pt idx="9">
                  <c:v>107</c:v>
                </c:pt>
              </c:numCache>
            </c:numRef>
          </c:val>
        </c:ser>
        <c:ser>
          <c:idx val="7"/>
          <c:order val="7"/>
          <c:tx>
            <c:strRef>
              <c:f>'V.3.3 Trasp. cedidos'!$I$4</c:f>
              <c:strCache>
                <c:ptCount val="1"/>
                <c:pt idx="0">
                  <c:v>Scotia Crecer</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cedidos'!$I$5:$I$15</c:f>
              <c:numCache>
                <c:formatCode>_(* #,##0_);_(* \(#,##0\);_(* "-"??_);_(@_)</c:formatCode>
                <c:ptCount val="10"/>
                <c:pt idx="0">
                  <c:v>133</c:v>
                </c:pt>
                <c:pt idx="1">
                  <c:v>230</c:v>
                </c:pt>
                <c:pt idx="2">
                  <c:v>288</c:v>
                </c:pt>
                <c:pt idx="3">
                  <c:v>362</c:v>
                </c:pt>
                <c:pt idx="4">
                  <c:v>9295</c:v>
                </c:pt>
                <c:pt idx="5">
                  <c:v>2869</c:v>
                </c:pt>
                <c:pt idx="6">
                  <c:v>2173</c:v>
                </c:pt>
                <c:pt idx="7">
                  <c:v>3381</c:v>
                </c:pt>
                <c:pt idx="8">
                  <c:v>5417</c:v>
                </c:pt>
                <c:pt idx="9">
                  <c:v>11112</c:v>
                </c:pt>
              </c:numCache>
            </c:numRef>
          </c:val>
        </c:ser>
        <c:ser>
          <c:idx val="8"/>
          <c:order val="8"/>
          <c:tx>
            <c:strRef>
              <c:f>'V.3.3 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3694344802189654E-3"/>
                  <c:y val="-3.86587795218922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4788405715253033E-2"/>
                  <c:y val="-7.118962195153971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cedidos'!$J$5:$J$15</c:f>
              <c:numCache>
                <c:formatCode>_(* #,##0_);_(* \(#,##0\);_(* "-"??_);_(@_)</c:formatCode>
                <c:ptCount val="10"/>
                <c:pt idx="0">
                  <c:v>310</c:v>
                </c:pt>
                <c:pt idx="1">
                  <c:v>290</c:v>
                </c:pt>
                <c:pt idx="2">
                  <c:v>213</c:v>
                </c:pt>
                <c:pt idx="3">
                  <c:v>228</c:v>
                </c:pt>
                <c:pt idx="4">
                  <c:v>4268</c:v>
                </c:pt>
                <c:pt idx="5">
                  <c:v>1752</c:v>
                </c:pt>
                <c:pt idx="6">
                  <c:v>1337</c:v>
                </c:pt>
                <c:pt idx="7">
                  <c:v>2221</c:v>
                </c:pt>
                <c:pt idx="8">
                  <c:v>3510</c:v>
                </c:pt>
                <c:pt idx="9">
                  <c:v>5826</c:v>
                </c:pt>
              </c:numCache>
            </c:numRef>
          </c:val>
        </c:ser>
        <c:dLbls>
          <c:showLegendKey val="0"/>
          <c:showVal val="0"/>
          <c:showCatName val="0"/>
          <c:showSerName val="0"/>
          <c:showPercent val="0"/>
          <c:showBubbleSize val="0"/>
        </c:dLbls>
        <c:gapWidth val="21"/>
        <c:shape val="cylinder"/>
        <c:axId val="279696800"/>
        <c:axId val="279697192"/>
        <c:axId val="0"/>
      </c:bar3DChart>
      <c:catAx>
        <c:axId val="279696800"/>
        <c:scaling>
          <c:orientation val="minMax"/>
        </c:scaling>
        <c:delete val="0"/>
        <c:axPos val="b"/>
        <c:numFmt formatCode="General" sourceLinked="1"/>
        <c:majorTickMark val="none"/>
        <c:minorTickMark val="none"/>
        <c:tickLblPos val="nextTo"/>
        <c:txPr>
          <a:bodyPr/>
          <a:lstStyle/>
          <a:p>
            <a:pPr>
              <a:defRPr sz="1050"/>
            </a:pPr>
            <a:endParaRPr lang="es-ES"/>
          </a:p>
        </c:txPr>
        <c:crossAx val="279697192"/>
        <c:crosses val="autoZero"/>
        <c:auto val="1"/>
        <c:lblAlgn val="ctr"/>
        <c:lblOffset val="100"/>
        <c:noMultiLvlLbl val="0"/>
      </c:catAx>
      <c:valAx>
        <c:axId val="279697192"/>
        <c:scaling>
          <c:orientation val="minMax"/>
        </c:scaling>
        <c:delete val="1"/>
        <c:axPos val="l"/>
        <c:numFmt formatCode="0" sourceLinked="1"/>
        <c:majorTickMark val="out"/>
        <c:minorTickMark val="none"/>
        <c:tickLblPos val="nextTo"/>
        <c:crossAx val="27969680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7026142974284902"/>
          <c:y val="3.1262615441213414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'V.3.3 Trasp. cedidos'!$L$4</c:f>
              <c:strCache>
                <c:ptCount val="1"/>
                <c:pt idx="0">
                  <c:v>FPBC</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cedidos'!$L$5:$L$15</c:f>
              <c:numCache>
                <c:formatCode>0</c:formatCode>
                <c:ptCount val="10"/>
                <c:pt idx="0">
                  <c:v>0</c:v>
                </c:pt>
                <c:pt idx="1">
                  <c:v>259</c:v>
                </c:pt>
                <c:pt idx="2">
                  <c:v>25</c:v>
                </c:pt>
                <c:pt idx="3">
                  <c:v>7</c:v>
                </c:pt>
                <c:pt idx="4">
                  <c:v>7</c:v>
                </c:pt>
                <c:pt idx="5">
                  <c:v>5</c:v>
                </c:pt>
                <c:pt idx="6">
                  <c:v>23</c:v>
                </c:pt>
                <c:pt idx="7">
                  <c:v>3</c:v>
                </c:pt>
                <c:pt idx="8">
                  <c:v>7</c:v>
                </c:pt>
                <c:pt idx="9">
                  <c:v>5</c:v>
                </c:pt>
              </c:numCache>
            </c:numRef>
          </c:val>
        </c:ser>
        <c:ser>
          <c:idx val="1"/>
          <c:order val="1"/>
          <c:tx>
            <c:strRef>
              <c:f>'V.3.3 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122978824083825E-3"/>
                  <c:y val="-4.96063104897889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86085176858869E-2"/>
                  <c:y val="-0.24803155244894448"/>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5.4368936472252334E-3"/>
                  <c:y val="-6.614174731971851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9.0614894120421129E-3"/>
                  <c:y val="-5.8792664284194544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894120421129E-3"/>
                  <c:y val="-5.8792664284194544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915296336775E-3"/>
                  <c:y val="-5.5118122766432076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915296336775E-3"/>
                  <c:y val="-4.593176897202678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071360634094449E-2"/>
                  <c:y val="-4.779725164355525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cedidos'!$M$5:$M$15</c:f>
              <c:numCache>
                <c:formatCode>0</c:formatCode>
                <c:ptCount val="10"/>
                <c:pt idx="0">
                  <c:v>0</c:v>
                </c:pt>
                <c:pt idx="1">
                  <c:v>719</c:v>
                </c:pt>
                <c:pt idx="2">
                  <c:v>77</c:v>
                </c:pt>
                <c:pt idx="3">
                  <c:v>59</c:v>
                </c:pt>
                <c:pt idx="4">
                  <c:v>64</c:v>
                </c:pt>
                <c:pt idx="5">
                  <c:v>43</c:v>
                </c:pt>
                <c:pt idx="6">
                  <c:v>41</c:v>
                </c:pt>
                <c:pt idx="7">
                  <c:v>16</c:v>
                </c:pt>
                <c:pt idx="8">
                  <c:v>32</c:v>
                </c:pt>
                <c:pt idx="9">
                  <c:v>32</c:v>
                </c:pt>
              </c:numCache>
            </c:numRef>
          </c:val>
        </c:ser>
        <c:ser>
          <c:idx val="2"/>
          <c:order val="2"/>
          <c:tx>
            <c:strRef>
              <c:f>'V.3.3 Trasp. cedidos'!$N$4</c:f>
              <c:strCache>
                <c:ptCount val="1"/>
                <c:pt idx="0">
                  <c:v>INABIMA</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cedidos'!$N$5:$N$15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3"/>
          <c:order val="3"/>
          <c:tx>
            <c:strRef>
              <c:f>'V.3.3 Trasp. cedidos'!$O$4</c:f>
              <c:strCache>
                <c:ptCount val="1"/>
                <c:pt idx="0">
                  <c:v>S.E.H.</c:v>
                </c:pt>
              </c:strCache>
            </c:strRef>
          </c:tx>
          <c:invertIfNegative val="0"/>
          <c:cat>
            <c:strRef>
              <c:f>'V.3.3 Trasp. cedidos'!$A$5:$A$15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'V.3.3 Trasp. cedidos'!$O$5:$O$15</c:f>
              <c:numCache>
                <c:formatCode>0</c:formatCode>
                <c:ptCount val="10"/>
                <c:pt idx="0">
                  <c:v>0</c:v>
                </c:pt>
                <c:pt idx="1">
                  <c:v>0</c:v>
                </c:pt>
                <c:pt idx="2">
                  <c:v>0</c:v>
                </c:pt>
                <c:pt idx="3">
                  <c:v>0</c:v>
                </c:pt>
                <c:pt idx="4">
                  <c:v>0</c:v>
                </c:pt>
                <c:pt idx="5">
                  <c:v>0</c:v>
                </c:pt>
                <c:pt idx="6">
                  <c:v>0</c:v>
                </c:pt>
                <c:pt idx="7">
                  <c:v>0</c:v>
                </c:pt>
                <c:pt idx="8">
                  <c:v>0</c:v>
                </c:pt>
                <c:pt idx="9">
                  <c:v>7</c:v>
                </c:pt>
              </c:numCache>
            </c:numRef>
          </c:val>
        </c:ser>
        <c:dLbls>
          <c:showLegendKey val="0"/>
          <c:showVal val="0"/>
          <c:showCatName val="0"/>
          <c:showSerName val="0"/>
          <c:showPercent val="0"/>
          <c:showBubbleSize val="0"/>
        </c:dLbls>
        <c:gapWidth val="13"/>
        <c:shape val="cylinder"/>
        <c:axId val="279697976"/>
        <c:axId val="279698368"/>
        <c:axId val="0"/>
      </c:bar3DChart>
      <c:catAx>
        <c:axId val="279697976"/>
        <c:scaling>
          <c:orientation val="minMax"/>
        </c:scaling>
        <c:delete val="0"/>
        <c:axPos val="b"/>
        <c:numFmt formatCode="General" sourceLinked="1"/>
        <c:majorTickMark val="none"/>
        <c:minorTickMark val="none"/>
        <c:tickLblPos val="nextTo"/>
        <c:txPr>
          <a:bodyPr/>
          <a:lstStyle/>
          <a:p>
            <a:pPr>
              <a:defRPr sz="1050"/>
            </a:pPr>
            <a:endParaRPr lang="es-ES"/>
          </a:p>
        </c:txPr>
        <c:crossAx val="279698368"/>
        <c:crosses val="autoZero"/>
        <c:auto val="1"/>
        <c:lblAlgn val="ctr"/>
        <c:lblOffset val="100"/>
        <c:noMultiLvlLbl val="0"/>
      </c:catAx>
      <c:valAx>
        <c:axId val="279698368"/>
        <c:scaling>
          <c:orientation val="minMax"/>
        </c:scaling>
        <c:delete val="1"/>
        <c:axPos val="l"/>
        <c:numFmt formatCode="0" sourceLinked="1"/>
        <c:majorTickMark val="out"/>
        <c:minorTickMark val="none"/>
        <c:tickLblPos val="nextTo"/>
        <c:crossAx val="27969797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'V.3.4 Trasp. netos'!$B$5</c:f>
              <c:strCache>
                <c:ptCount val="1"/>
                <c:pt idx="0">
                  <c:v>Camino </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netos'!$B$6:$B$16</c:f>
              <c:numCache>
                <c:formatCode>#,##0_);[Red]\(#,##0\)</c:formatCode>
                <c:ptCount val="10"/>
                <c:pt idx="0">
                  <c:v>0</c:v>
                </c:pt>
                <c:pt idx="1">
                  <c:v>0</c:v>
                </c:pt>
                <c:pt idx="2">
                  <c:v>0</c:v>
                </c:pt>
                <c:pt idx="3">
                  <c:v>0</c:v>
                </c:pt>
                <c:pt idx="4">
                  <c:v>0</c:v>
                </c:pt>
                <c:pt idx="5">
                  <c:v>0</c:v>
                </c:pt>
                <c:pt idx="6">
                  <c:v>0</c:v>
                </c:pt>
                <c:pt idx="7" formatCode="General">
                  <c:v>0</c:v>
                </c:pt>
                <c:pt idx="8" formatCode="General">
                  <c:v>0</c:v>
                </c:pt>
                <c:pt idx="9" formatCode="General">
                  <c:v>0</c:v>
                </c:pt>
              </c:numCache>
            </c:numRef>
          </c:val>
        </c:ser>
        <c:ser>
          <c:idx val="1"/>
          <c:order val="1"/>
          <c:tx>
            <c:strRef>
              <c:f>'V.3.4 Trasp. netos'!$C$5</c:f>
              <c:strCache>
                <c:ptCount val="1"/>
                <c:pt idx="0">
                  <c:v>Caribalico</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netos'!$C$6:$C$16</c:f>
              <c:numCache>
                <c:formatCode>#,##0_);[Red]\(#,##0\)</c:formatCode>
                <c:ptCount val="10"/>
                <c:pt idx="0">
                  <c:v>-53</c:v>
                </c:pt>
                <c:pt idx="1">
                  <c:v>-62</c:v>
                </c:pt>
                <c:pt idx="2">
                  <c:v>-363</c:v>
                </c:pt>
                <c:pt idx="3">
                  <c:v>0</c:v>
                </c:pt>
                <c:pt idx="4">
                  <c:v>0</c:v>
                </c:pt>
                <c:pt idx="5">
                  <c:v>0</c:v>
                </c:pt>
                <c:pt idx="6">
                  <c:v>0</c:v>
                </c:pt>
                <c:pt idx="7" formatCode="General">
                  <c:v>0</c:v>
                </c:pt>
                <c:pt idx="8" formatCode="General">
                  <c:v>0</c:v>
                </c:pt>
                <c:pt idx="9" formatCode="General">
                  <c:v>0</c:v>
                </c:pt>
              </c:numCache>
            </c:numRef>
          </c:val>
        </c:ser>
        <c:ser>
          <c:idx val="2"/>
          <c:order val="2"/>
          <c:tx>
            <c:strRef>
              <c:f>'V.3.4 Trasp. netos'!$D$5</c:f>
              <c:strCache>
                <c:ptCount val="1"/>
                <c:pt idx="0">
                  <c:v>León</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netos'!$D$6:$D$16</c:f>
              <c:numCache>
                <c:formatCode>#,##0_);[Red]\(#,##0\)</c:formatCode>
                <c:ptCount val="10"/>
                <c:pt idx="0">
                  <c:v>265</c:v>
                </c:pt>
                <c:pt idx="1">
                  <c:v>336</c:v>
                </c:pt>
                <c:pt idx="2">
                  <c:v>47</c:v>
                </c:pt>
                <c:pt idx="3">
                  <c:v>0</c:v>
                </c:pt>
                <c:pt idx="4">
                  <c:v>0</c:v>
                </c:pt>
                <c:pt idx="5">
                  <c:v>0</c:v>
                </c:pt>
                <c:pt idx="6">
                  <c:v>0</c:v>
                </c:pt>
                <c:pt idx="7" formatCode="General">
                  <c:v>0</c:v>
                </c:pt>
                <c:pt idx="8" formatCode="General">
                  <c:v>0</c:v>
                </c:pt>
                <c:pt idx="9" formatCode="General">
                  <c:v>0</c:v>
                </c:pt>
              </c:numCache>
            </c:numRef>
          </c:val>
        </c:ser>
        <c:ser>
          <c:idx val="3"/>
          <c:order val="3"/>
          <c:tx>
            <c:strRef>
              <c:f>'V.3.4 Trasp. netos'!$E$5</c:f>
              <c:strCache>
                <c:ptCount val="1"/>
                <c:pt idx="0">
                  <c:v> Popular</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netos'!$E$6:$E$16</c:f>
              <c:numCache>
                <c:formatCode>#,##0_);[Red]\(#,##0\)</c:formatCode>
                <c:ptCount val="10"/>
                <c:pt idx="0">
                  <c:v>-20</c:v>
                </c:pt>
                <c:pt idx="1">
                  <c:v>-5</c:v>
                </c:pt>
                <c:pt idx="2">
                  <c:v>-72</c:v>
                </c:pt>
                <c:pt idx="3">
                  <c:v>-71</c:v>
                </c:pt>
                <c:pt idx="4">
                  <c:v>-5808</c:v>
                </c:pt>
                <c:pt idx="5">
                  <c:v>-1840</c:v>
                </c:pt>
                <c:pt idx="6">
                  <c:v>-1031</c:v>
                </c:pt>
                <c:pt idx="7" formatCode="General">
                  <c:v>-1617</c:v>
                </c:pt>
                <c:pt idx="8" formatCode="General">
                  <c:v>-2160</c:v>
                </c:pt>
                <c:pt idx="9" formatCode="General">
                  <c:v>-5273</c:v>
                </c:pt>
              </c:numCache>
            </c:numRef>
          </c:val>
        </c:ser>
        <c:ser>
          <c:idx val="4"/>
          <c:order val="4"/>
          <c:tx>
            <c:strRef>
              <c:f>'V.3.4 Trasp. netos'!$F$5</c:f>
              <c:strCache>
                <c:ptCount val="1"/>
                <c:pt idx="0">
                  <c:v>Porvenir </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netos'!$F$6:$F$16</c:f>
              <c:numCache>
                <c:formatCode>#,##0_);[Red]\(#,##0\)</c:formatCode>
                <c:ptCount val="10"/>
                <c:pt idx="0">
                  <c:v>0</c:v>
                </c:pt>
                <c:pt idx="1">
                  <c:v>0</c:v>
                </c:pt>
                <c:pt idx="2">
                  <c:v>0</c:v>
                </c:pt>
                <c:pt idx="3">
                  <c:v>0</c:v>
                </c:pt>
                <c:pt idx="4">
                  <c:v>0</c:v>
                </c:pt>
                <c:pt idx="5">
                  <c:v>0</c:v>
                </c:pt>
                <c:pt idx="6">
                  <c:v>0</c:v>
                </c:pt>
                <c:pt idx="7" formatCode="General">
                  <c:v>0</c:v>
                </c:pt>
                <c:pt idx="8" formatCode="General">
                  <c:v>0</c:v>
                </c:pt>
                <c:pt idx="9" formatCode="General">
                  <c:v>0</c:v>
                </c:pt>
              </c:numCache>
            </c:numRef>
          </c:val>
        </c:ser>
        <c:ser>
          <c:idx val="5"/>
          <c:order val="5"/>
          <c:tx>
            <c:strRef>
              <c:f>'V.3.4 Trasp. netos'!$G$5</c:f>
              <c:strCache>
                <c:ptCount val="1"/>
                <c:pt idx="0">
                  <c:v> Reservas </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netos'!$G$6:$G$16</c:f>
              <c:numCache>
                <c:formatCode>#,##0_);[Red]\(#,##0\)</c:formatCode>
                <c:ptCount val="10"/>
                <c:pt idx="0">
                  <c:v>52</c:v>
                </c:pt>
                <c:pt idx="1">
                  <c:v>989</c:v>
                </c:pt>
                <c:pt idx="2">
                  <c:v>530</c:v>
                </c:pt>
                <c:pt idx="3">
                  <c:v>432</c:v>
                </c:pt>
                <c:pt idx="4">
                  <c:v>-4380</c:v>
                </c:pt>
                <c:pt idx="5">
                  <c:v>-1137</c:v>
                </c:pt>
                <c:pt idx="6">
                  <c:v>2090</c:v>
                </c:pt>
                <c:pt idx="7" formatCode="General">
                  <c:v>1986</c:v>
                </c:pt>
                <c:pt idx="8" formatCode="General">
                  <c:v>4515</c:v>
                </c:pt>
                <c:pt idx="9" formatCode="General">
                  <c:v>7409</c:v>
                </c:pt>
              </c:numCache>
            </c:numRef>
          </c:val>
        </c:ser>
        <c:ser>
          <c:idx val="6"/>
          <c:order val="6"/>
          <c:tx>
            <c:strRef>
              <c:f>'V.3.4 Trasp. netos'!$H$5</c:f>
              <c:strCache>
                <c:ptCount val="1"/>
                <c:pt idx="0">
                  <c:v>Romana</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netos'!$H$6:$H$16</c:f>
              <c:numCache>
                <c:formatCode>#,##0_);[Red]\(#,##0\)</c:formatCode>
                <c:ptCount val="10"/>
                <c:pt idx="0">
                  <c:v>-5</c:v>
                </c:pt>
                <c:pt idx="1">
                  <c:v>14</c:v>
                </c:pt>
                <c:pt idx="2">
                  <c:v>0</c:v>
                </c:pt>
                <c:pt idx="3">
                  <c:v>-16</c:v>
                </c:pt>
                <c:pt idx="4">
                  <c:v>-56</c:v>
                </c:pt>
                <c:pt idx="5">
                  <c:v>-20</c:v>
                </c:pt>
                <c:pt idx="6">
                  <c:v>-15</c:v>
                </c:pt>
                <c:pt idx="7" formatCode="General">
                  <c:v>-28</c:v>
                </c:pt>
                <c:pt idx="8" formatCode="General">
                  <c:v>-26</c:v>
                </c:pt>
                <c:pt idx="9" formatCode="General">
                  <c:v>661</c:v>
                </c:pt>
              </c:numCache>
            </c:numRef>
          </c:val>
        </c:ser>
        <c:ser>
          <c:idx val="7"/>
          <c:order val="7"/>
          <c:tx>
            <c:strRef>
              <c:f>'V.3.4 Trasp. netos'!$I$5</c:f>
              <c:strCache>
                <c:ptCount val="1"/>
                <c:pt idx="0">
                  <c:v>Scotia Crecer</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netos'!$I$6:$I$16</c:f>
              <c:numCache>
                <c:formatCode>#,##0_);[Red]\(#,##0\)</c:formatCode>
                <c:ptCount val="10"/>
                <c:pt idx="0">
                  <c:v>-65</c:v>
                </c:pt>
                <c:pt idx="1">
                  <c:v>-136</c:v>
                </c:pt>
                <c:pt idx="2">
                  <c:v>-261</c:v>
                </c:pt>
                <c:pt idx="3">
                  <c:v>-231</c:v>
                </c:pt>
                <c:pt idx="4">
                  <c:v>-9243</c:v>
                </c:pt>
                <c:pt idx="5">
                  <c:v>-2753</c:v>
                </c:pt>
                <c:pt idx="6">
                  <c:v>-1867</c:v>
                </c:pt>
                <c:pt idx="7" formatCode="General">
                  <c:v>-2359</c:v>
                </c:pt>
                <c:pt idx="8" formatCode="General">
                  <c:v>-3839</c:v>
                </c:pt>
                <c:pt idx="9" formatCode="General">
                  <c:v>-6799</c:v>
                </c:pt>
              </c:numCache>
            </c:numRef>
          </c:val>
        </c:ser>
        <c:ser>
          <c:idx val="8"/>
          <c:order val="8"/>
          <c:tx>
            <c:strRef>
              <c:f>'V.3.4 Trasp. netos'!$J$5</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netos'!$J$6:$J$16</c:f>
              <c:numCache>
                <c:formatCode>#,##0_);[Red]\(#,##0\)</c:formatCode>
                <c:ptCount val="10"/>
                <c:pt idx="0">
                  <c:v>-174</c:v>
                </c:pt>
                <c:pt idx="1">
                  <c:v>-178</c:v>
                </c:pt>
                <c:pt idx="2">
                  <c:v>221</c:v>
                </c:pt>
                <c:pt idx="3">
                  <c:v>-48</c:v>
                </c:pt>
                <c:pt idx="4">
                  <c:v>-4163</c:v>
                </c:pt>
                <c:pt idx="5">
                  <c:v>-1627</c:v>
                </c:pt>
                <c:pt idx="6">
                  <c:v>-1090</c:v>
                </c:pt>
                <c:pt idx="7" formatCode="General">
                  <c:v>-1438</c:v>
                </c:pt>
                <c:pt idx="8" formatCode="General">
                  <c:v>-2232</c:v>
                </c:pt>
                <c:pt idx="9" formatCode="General">
                  <c:v>-3313</c:v>
                </c:pt>
              </c:numCache>
            </c:numRef>
          </c:val>
        </c:ser>
        <c:dLbls>
          <c:showLegendKey val="0"/>
          <c:showVal val="0"/>
          <c:showCatName val="0"/>
          <c:showSerName val="0"/>
          <c:showPercent val="0"/>
          <c:showBubbleSize val="0"/>
        </c:dLbls>
        <c:gapWidth val="42"/>
        <c:shape val="cylinder"/>
        <c:axId val="279698760"/>
        <c:axId val="279699544"/>
        <c:axId val="0"/>
      </c:bar3DChart>
      <c:catAx>
        <c:axId val="279698760"/>
        <c:scaling>
          <c:orientation val="minMax"/>
        </c:scaling>
        <c:delete val="0"/>
        <c:axPos val="b"/>
        <c:numFmt formatCode="General" sourceLinked="1"/>
        <c:majorTickMark val="none"/>
        <c:minorTickMark val="none"/>
        <c:tickLblPos val="low"/>
        <c:txPr>
          <a:bodyPr/>
          <a:lstStyle/>
          <a:p>
            <a:pPr>
              <a:defRPr lang="en-US" sz="1600"/>
            </a:pPr>
            <a:endParaRPr lang="es-ES"/>
          </a:p>
        </c:txPr>
        <c:crossAx val="279699544"/>
        <c:crosses val="autoZero"/>
        <c:auto val="1"/>
        <c:lblAlgn val="ctr"/>
        <c:lblOffset val="100"/>
        <c:noMultiLvlLbl val="0"/>
      </c:catAx>
      <c:valAx>
        <c:axId val="279699544"/>
        <c:scaling>
          <c:orientation val="minMax"/>
        </c:scaling>
        <c:delete val="1"/>
        <c:axPos val="l"/>
        <c:numFmt formatCode="#,##0_);[Red]\(#,##0\)" sourceLinked="1"/>
        <c:majorTickMark val="out"/>
        <c:minorTickMark val="none"/>
        <c:tickLblPos val="nextTo"/>
        <c:crossAx val="279698760"/>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Cobertura del SDSS a la Población Nacional</a:t>
            </a:r>
          </a:p>
        </c:rich>
      </c:tx>
      <c:layout>
        <c:manualLayout>
          <c:xMode val="edge"/>
          <c:yMode val="edge"/>
          <c:x val="0.33387981696172064"/>
          <c:y val="1.9667943608089787E-2"/>
        </c:manualLayout>
      </c:layout>
      <c:overlay val="1"/>
    </c:title>
    <c:autoTitleDeleted val="0"/>
    <c:plotArea>
      <c:layout>
        <c:manualLayout>
          <c:layoutTarget val="inner"/>
          <c:xMode val="edge"/>
          <c:yMode val="edge"/>
          <c:x val="6.3921573339964205E-2"/>
          <c:y val="0.19493409966780201"/>
          <c:w val="0.86709368830128031"/>
          <c:h val="0.54341123336037211"/>
        </c:manualLayout>
      </c:layout>
      <c:barChart>
        <c:barDir val="col"/>
        <c:grouping val="clustered"/>
        <c:varyColors val="0"/>
        <c:ser>
          <c:idx val="2"/>
          <c:order val="2"/>
          <c:tx>
            <c:strRef>
              <c:f>'I.1.3 Cobertura SDSS '!$H$3</c:f>
              <c:strCache>
                <c:ptCount val="1"/>
                <c:pt idx="0">
                  <c:v>Población Total</c:v>
                </c:pt>
              </c:strCache>
            </c:strRef>
          </c:tx>
          <c:spPr>
            <a:solidFill>
              <a:srgbClr val="249AA6"/>
            </a:solidFill>
          </c:spPr>
          <c:invertIfNegative val="0"/>
          <c:dLbls>
            <c:dLbl>
              <c:idx val="11"/>
              <c:spPr/>
              <c:txPr>
                <a:bodyPr/>
                <a:lstStyle/>
                <a:p>
                  <a:pPr>
                    <a:defRPr sz="2000" b="1"/>
                  </a:pPr>
                  <a:endParaRPr lang="es-ES"/>
                </a:p>
              </c:txPr>
              <c:showLegendKey val="0"/>
              <c:showVal val="1"/>
              <c:showCatName val="0"/>
              <c:showSerName val="0"/>
              <c:showPercent val="0"/>
              <c:showBubbleSize val="0"/>
            </c:dLbl>
            <c:spPr>
              <a:noFill/>
              <a:ln>
                <a:noFill/>
              </a:ln>
              <a:effectLst/>
            </c:spPr>
            <c:txPr>
              <a:bodyPr/>
              <a:lstStyle/>
              <a:p>
                <a:pPr>
                  <a:defRPr sz="20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'I.1.3 Cobertura SDSS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'I.1.3 Cobertura SDSS '!$H$4:$H$15</c:f>
              <c:numCache>
                <c:formatCode>#,##0_);[Red]\(#,##0\)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er>
        <c:dLbls>
          <c:showLegendKey val="0"/>
          <c:showVal val="0"/>
          <c:showCatName val="0"/>
          <c:showSerName val="0"/>
          <c:showPercent val="0"/>
          <c:showBubbleSize val="0"/>
        </c:dLbls>
        <c:gapWidth val="28"/>
        <c:axId val="241672824"/>
        <c:axId val="241673216"/>
      </c:barChart>
      <c:lineChart>
        <c:grouping val="standard"/>
        <c:varyColors val="0"/>
        <c:ser>
          <c:idx val="0"/>
          <c:order val="0"/>
          <c:tx>
            <c:strRef>
              <c:f>'I.1.3 Cobertura SDSS '!$D$3</c:f>
              <c:strCache>
                <c:ptCount val="1"/>
                <c:pt idx="0">
                  <c:v>% Cobertura Afiliación </c:v>
                </c:pt>
              </c:strCache>
            </c:strRef>
          </c:tx>
          <c:spPr>
            <a:ln>
              <a:solidFill>
                <a:srgbClr val="0000FF"/>
              </a:solidFill>
            </a:ln>
          </c:spPr>
          <c:marker>
            <c:spPr>
              <a:solidFill>
                <a:srgbClr val="0000FF"/>
              </a:solidFill>
              <a:ln>
                <a:solidFill>
                  <a:srgbClr val="0000FF"/>
                </a:solidFill>
              </a:ln>
            </c:spPr>
          </c:marker>
          <c:dLbls>
            <c:dLbl>
              <c:idx val="0"/>
              <c:layout>
                <c:manualLayout>
                  <c:x val="-2.7312654013805601E-2"/>
                  <c:y val="7.72494436173264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8118514842909486E-2"/>
                  <c:y val="7.303488427273574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8924375672013374E-2"/>
                  <c:y val="2.24601721376477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'I.1.3 Cobertura SDSS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'I.1.3 Cobertura SDSS '!$D$4:$D$15</c:f>
              <c:numCache>
                <c:formatCode>0.0%</c:formatCode>
                <c:ptCount val="10"/>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numCache>
            </c:numRef>
          </c:val>
          <c:smooth val="0"/>
        </c:ser>
        <c:ser>
          <c:idx val="1"/>
          <c:order val="1"/>
          <c:tx>
            <c:strRef>
              <c:f>'I.1.3 Cobertura SDSS '!$G$3</c:f>
              <c:strCache>
                <c:ptCount val="1"/>
                <c:pt idx="0">
                  <c:v>% Cobertura  de la Población</c:v>
                </c:pt>
              </c:strCache>
            </c:strRef>
          </c:tx>
          <c:spPr>
            <a:ln>
              <a:solidFill>
                <a:schemeClr val="accent3">
                  <a:lumMod val="50000"/>
                </a:schemeClr>
              </a:solidFill>
            </a:ln>
          </c:spPr>
          <c:marker>
            <c:symbol val="circle"/>
            <c:size val="11"/>
            <c:spPr>
              <a:solidFill>
                <a:srgbClr val="FF3399"/>
              </a:solidFill>
              <a:ln>
                <a:solidFill>
                  <a:srgbClr val="FF3399"/>
                </a:solidFill>
              </a:ln>
            </c:spPr>
          </c:marker>
          <c:dLbls>
            <c:dLbl>
              <c:idx val="0"/>
              <c:layout>
                <c:manualLayout>
                  <c:x val="-2.5700932355597828E-2"/>
                  <c:y val="-8.5678451688152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0536097330221144E-2"/>
                  <c:y val="-8.286874545842513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2">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'I.1.3 Cobertura SDSS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'I.1.3 Cobertura SDSS '!$G$4:$G$15</c:f>
              <c:numCache>
                <c:formatCode>0.0%</c:formatCode>
                <c:ptCount val="10"/>
                <c:pt idx="0">
                  <c:v>9.9590952152418602E-2</c:v>
                </c:pt>
                <c:pt idx="1">
                  <c:v>0.14570845698801232</c:v>
                </c:pt>
                <c:pt idx="2">
                  <c:v>0.29224256738088766</c:v>
                </c:pt>
                <c:pt idx="3">
                  <c:v>0.31844953763433093</c:v>
                </c:pt>
                <c:pt idx="4">
                  <c:v>0.36901312636249789</c:v>
                </c:pt>
                <c:pt idx="5">
                  <c:v>0.45291462505269758</c:v>
                </c:pt>
                <c:pt idx="6">
                  <c:v>0.48151713839158172</c:v>
                </c:pt>
                <c:pt idx="7">
                  <c:v>0.52403875653967025</c:v>
                </c:pt>
                <c:pt idx="8">
                  <c:v>0.57679074074433812</c:v>
                </c:pt>
                <c:pt idx="9">
                  <c:v>0.63469053454251578</c:v>
                </c:pt>
              </c:numCache>
            </c:numRef>
          </c:val>
          <c:smooth val="0"/>
        </c:ser>
        <c:dLbls>
          <c:showLegendKey val="0"/>
          <c:showVal val="0"/>
          <c:showCatName val="0"/>
          <c:showSerName val="0"/>
          <c:showPercent val="0"/>
          <c:showBubbleSize val="0"/>
        </c:dLbls>
        <c:marker val="1"/>
        <c:smooth val="0"/>
        <c:axId val="241674000"/>
        <c:axId val="241673608"/>
      </c:lineChart>
      <c:catAx>
        <c:axId val="241672824"/>
        <c:scaling>
          <c:orientation val="minMax"/>
        </c:scaling>
        <c:delete val="0"/>
        <c:axPos val="b"/>
        <c:numFmt formatCode="General" sourceLinked="0"/>
        <c:majorTickMark val="none"/>
        <c:minorTickMark val="none"/>
        <c:tickLblPos val="nextTo"/>
        <c:txPr>
          <a:bodyPr/>
          <a:lstStyle/>
          <a:p>
            <a:pPr>
              <a:defRPr sz="1600"/>
            </a:pPr>
            <a:endParaRPr lang="es-ES"/>
          </a:p>
        </c:txPr>
        <c:crossAx val="241673216"/>
        <c:crosses val="autoZero"/>
        <c:auto val="1"/>
        <c:lblAlgn val="ctr"/>
        <c:lblOffset val="100"/>
        <c:noMultiLvlLbl val="0"/>
      </c:catAx>
      <c:valAx>
        <c:axId val="241673216"/>
        <c:scaling>
          <c:orientation val="minMax"/>
        </c:scaling>
        <c:delete val="0"/>
        <c:axPos val="l"/>
        <c:numFmt formatCode="#,##0_);[Red]\(#,##0\)" sourceLinked="1"/>
        <c:majorTickMark val="none"/>
        <c:minorTickMark val="none"/>
        <c:tickLblPos val="nextTo"/>
        <c:txPr>
          <a:bodyPr/>
          <a:lstStyle/>
          <a:p>
            <a:pPr>
              <a:defRPr sz="1400"/>
            </a:pPr>
            <a:endParaRPr lang="es-ES"/>
          </a:p>
        </c:txPr>
        <c:crossAx val="241672824"/>
        <c:crosses val="autoZero"/>
        <c:crossBetween val="between"/>
      </c:valAx>
      <c:valAx>
        <c:axId val="241673608"/>
        <c:scaling>
          <c:orientation val="minMax"/>
          <c:max val="1"/>
        </c:scaling>
        <c:delete val="0"/>
        <c:axPos val="r"/>
        <c:numFmt formatCode="0.0%" sourceLinked="1"/>
        <c:majorTickMark val="out"/>
        <c:minorTickMark val="none"/>
        <c:tickLblPos val="nextTo"/>
        <c:txPr>
          <a:bodyPr/>
          <a:lstStyle/>
          <a:p>
            <a:pPr>
              <a:defRPr sz="1400"/>
            </a:pPr>
            <a:endParaRPr lang="es-ES"/>
          </a:p>
        </c:txPr>
        <c:crossAx val="241674000"/>
        <c:crosses val="max"/>
        <c:crossBetween val="between"/>
      </c:valAx>
      <c:catAx>
        <c:axId val="241674000"/>
        <c:scaling>
          <c:orientation val="minMax"/>
        </c:scaling>
        <c:delete val="1"/>
        <c:axPos val="b"/>
        <c:numFmt formatCode="General" sourceLinked="1"/>
        <c:majorTickMark val="out"/>
        <c:minorTickMark val="none"/>
        <c:tickLblPos val="nextTo"/>
        <c:crossAx val="241673608"/>
        <c:crosses val="autoZero"/>
        <c:auto val="1"/>
        <c:lblAlgn val="ctr"/>
        <c:lblOffset val="100"/>
        <c:noMultiLvlLbl val="0"/>
      </c:catAx>
    </c:plotArea>
    <c:legend>
      <c:legendPos val="t"/>
      <c:layout>
        <c:manualLayout>
          <c:xMode val="edge"/>
          <c:yMode val="edge"/>
          <c:x val="0.20721334277100009"/>
          <c:y val="7.3244948529832279E-2"/>
          <c:w val="0.6672566333515586"/>
          <c:h val="5.542786575197026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593731547346759"/>
          <c:y val="4.332840965041851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'V.3.4 Trasp. netos'!$L$5</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netos'!$L$6:$L$16</c:f>
              <c:numCache>
                <c:formatCode>#,##0_);[Red]\(#,##0\)</c:formatCode>
                <c:ptCount val="10"/>
                <c:pt idx="0">
                  <c:v>0</c:v>
                </c:pt>
                <c:pt idx="1">
                  <c:v>-259</c:v>
                </c:pt>
                <c:pt idx="2">
                  <c:v>-25</c:v>
                </c:pt>
                <c:pt idx="3">
                  <c:v>-7</c:v>
                </c:pt>
                <c:pt idx="4">
                  <c:v>-7</c:v>
                </c:pt>
                <c:pt idx="5">
                  <c:v>-5</c:v>
                </c:pt>
                <c:pt idx="6">
                  <c:v>199</c:v>
                </c:pt>
                <c:pt idx="7">
                  <c:v>-3</c:v>
                </c:pt>
                <c:pt idx="8">
                  <c:v>-7</c:v>
                </c:pt>
                <c:pt idx="9">
                  <c:v>-5</c:v>
                </c:pt>
              </c:numCache>
            </c:numRef>
          </c:val>
        </c:ser>
        <c:ser>
          <c:idx val="1"/>
          <c:order val="1"/>
          <c:tx>
            <c:strRef>
              <c:f>'V.3.4 Trasp. netos'!$M$5</c:f>
              <c:strCache>
                <c:ptCount val="1"/>
                <c:pt idx="0">
                  <c:v>Bco Reservas</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netos'!$M$6:$M$16</c:f>
              <c:numCache>
                <c:formatCode>#,##0_);[Red]\(#,##0\)</c:formatCode>
                <c:ptCount val="10"/>
                <c:pt idx="0">
                  <c:v>0</c:v>
                </c:pt>
                <c:pt idx="1">
                  <c:v>-719</c:v>
                </c:pt>
                <c:pt idx="2">
                  <c:v>-77</c:v>
                </c:pt>
                <c:pt idx="3">
                  <c:v>-59</c:v>
                </c:pt>
                <c:pt idx="4">
                  <c:v>-64</c:v>
                </c:pt>
                <c:pt idx="5">
                  <c:v>-42</c:v>
                </c:pt>
                <c:pt idx="6">
                  <c:v>-23</c:v>
                </c:pt>
                <c:pt idx="7">
                  <c:v>497</c:v>
                </c:pt>
                <c:pt idx="8">
                  <c:v>-32</c:v>
                </c:pt>
                <c:pt idx="9">
                  <c:v>-32</c:v>
                </c:pt>
              </c:numCache>
            </c:numRef>
          </c:val>
        </c:ser>
        <c:ser>
          <c:idx val="2"/>
          <c:order val="2"/>
          <c:tx>
            <c:strRef>
              <c:f>'V.3.4 Trasp. netos'!$N$5</c:f>
              <c:strCache>
                <c:ptCount val="1"/>
                <c:pt idx="0">
                  <c:v>INABIMA</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netos'!$N$6:$N$16</c:f>
              <c:numCache>
                <c:formatCode>#,##0_);[Red]\(#,##0\)</c:formatCode>
                <c:ptCount val="10"/>
                <c:pt idx="0">
                  <c:v>0</c:v>
                </c:pt>
                <c:pt idx="1">
                  <c:v>0</c:v>
                </c:pt>
                <c:pt idx="2">
                  <c:v>0</c:v>
                </c:pt>
                <c:pt idx="3">
                  <c:v>0</c:v>
                </c:pt>
                <c:pt idx="4">
                  <c:v>21139</c:v>
                </c:pt>
                <c:pt idx="5">
                  <c:v>3310</c:v>
                </c:pt>
                <c:pt idx="6">
                  <c:v>-41</c:v>
                </c:pt>
                <c:pt idx="7">
                  <c:v>2945</c:v>
                </c:pt>
                <c:pt idx="8">
                  <c:v>2249</c:v>
                </c:pt>
                <c:pt idx="9">
                  <c:v>7035</c:v>
                </c:pt>
              </c:numCache>
            </c:numRef>
          </c:val>
        </c:ser>
        <c:ser>
          <c:idx val="3"/>
          <c:order val="3"/>
          <c:tx>
            <c:strRef>
              <c:f>'V.3.4 Trasp. netos'!$O$5</c:f>
              <c:strCache>
                <c:ptCount val="1"/>
                <c:pt idx="0">
                  <c:v>M.H.</c:v>
                </c:pt>
              </c:strCache>
            </c:strRef>
          </c:tx>
          <c:invertIfNegative val="0"/>
          <c:cat>
            <c:strRef>
              <c:f>'V.3.4 Trasp. netos'!$A$6:$A$16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'V.3.4 Trasp. netos'!$O$6:$O$16</c:f>
              <c:numCache>
                <c:formatCode>#,##0_);[Red]\(#,##0\)</c:formatCode>
                <c:ptCount val="10"/>
                <c:pt idx="0">
                  <c:v>0</c:v>
                </c:pt>
                <c:pt idx="1">
                  <c:v>20</c:v>
                </c:pt>
                <c:pt idx="2">
                  <c:v>0</c:v>
                </c:pt>
                <c:pt idx="3">
                  <c:v>0</c:v>
                </c:pt>
                <c:pt idx="4">
                  <c:v>2582</c:v>
                </c:pt>
                <c:pt idx="5">
                  <c:v>4114</c:v>
                </c:pt>
                <c:pt idx="6">
                  <c:v>1778</c:v>
                </c:pt>
                <c:pt idx="7">
                  <c:v>17</c:v>
                </c:pt>
                <c:pt idx="8">
                  <c:v>1532</c:v>
                </c:pt>
                <c:pt idx="9">
                  <c:v>317</c:v>
                </c:pt>
              </c:numCache>
            </c:numRef>
          </c:val>
        </c:ser>
        <c:dLbls>
          <c:showLegendKey val="0"/>
          <c:showVal val="0"/>
          <c:showCatName val="0"/>
          <c:showSerName val="0"/>
          <c:showPercent val="0"/>
          <c:showBubbleSize val="0"/>
        </c:dLbls>
        <c:gapWidth val="41"/>
        <c:shape val="cylinder"/>
        <c:axId val="279700328"/>
        <c:axId val="279700720"/>
        <c:axId val="0"/>
      </c:bar3DChart>
      <c:catAx>
        <c:axId val="279700328"/>
        <c:scaling>
          <c:orientation val="minMax"/>
        </c:scaling>
        <c:delete val="0"/>
        <c:axPos val="b"/>
        <c:numFmt formatCode="General" sourceLinked="1"/>
        <c:majorTickMark val="none"/>
        <c:minorTickMark val="none"/>
        <c:tickLblPos val="low"/>
        <c:txPr>
          <a:bodyPr/>
          <a:lstStyle/>
          <a:p>
            <a:pPr>
              <a:defRPr lang="en-US" sz="1600"/>
            </a:pPr>
            <a:endParaRPr lang="es-ES"/>
          </a:p>
        </c:txPr>
        <c:crossAx val="279700720"/>
        <c:crosses val="autoZero"/>
        <c:auto val="1"/>
        <c:lblAlgn val="ctr"/>
        <c:lblOffset val="100"/>
        <c:noMultiLvlLbl val="0"/>
      </c:catAx>
      <c:valAx>
        <c:axId val="279700720"/>
        <c:scaling>
          <c:orientation val="minMax"/>
        </c:scaling>
        <c:delete val="1"/>
        <c:axPos val="l"/>
        <c:numFmt formatCode="#,##0_);[Red]\(#,##0\)" sourceLinked="1"/>
        <c:majorTickMark val="out"/>
        <c:minorTickMark val="none"/>
        <c:tickLblPos val="nextTo"/>
        <c:crossAx val="279700328"/>
        <c:crosses val="autoZero"/>
        <c:crossBetween val="between"/>
      </c:valAx>
      <c:spPr>
        <a:noFill/>
        <a:ln w="25400">
          <a:noFill/>
        </a:ln>
      </c:spPr>
    </c:plotArea>
    <c:legend>
      <c:legendPos val="b"/>
      <c:layout>
        <c:manualLayout>
          <c:xMode val="edge"/>
          <c:yMode val="edge"/>
          <c:x val="1.4698289845194709E-2"/>
          <c:y val="0.13343832020997376"/>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Vejez, Discapacidad y Sobrevivencia (SVDS)</a:t>
            </a:r>
          </a:p>
          <a:p>
            <a:pPr>
              <a:defRPr/>
            </a:pPr>
            <a:r>
              <a:rPr lang="es-DO"/>
              <a:t>Pensiones Otorgadas por Año</a:t>
            </a:r>
          </a:p>
        </c:rich>
      </c:tx>
      <c:layout>
        <c:manualLayout>
          <c:xMode val="edge"/>
          <c:yMode val="edge"/>
          <c:x val="0.30917542556475752"/>
          <c:y val="2.7255130691168385E-2"/>
        </c:manualLayout>
      </c:layout>
      <c:overlay val="1"/>
    </c:title>
    <c:autoTitleDeleted val="0"/>
    <c:plotArea>
      <c:layout>
        <c:manualLayout>
          <c:layoutTarget val="inner"/>
          <c:xMode val="edge"/>
          <c:yMode val="edge"/>
          <c:x val="5.437828631038974E-2"/>
          <c:y val="0.15079410747293567"/>
          <c:w val="0.91842541524175725"/>
          <c:h val="0.66240711358911042"/>
        </c:manualLayout>
      </c:layout>
      <c:barChart>
        <c:barDir val="col"/>
        <c:grouping val="clustered"/>
        <c:varyColors val="0"/>
        <c:ser>
          <c:idx val="0"/>
          <c:order val="0"/>
          <c:tx>
            <c:strRef>
              <c:f>'V.4.1 Pensiones por año'!$B$4</c:f>
              <c:strCache>
                <c:ptCount val="1"/>
                <c:pt idx="0">
                  <c:v>Pensiones Sobrevivencia</c:v>
                </c:pt>
              </c:strCache>
            </c:strRef>
          </c:tx>
          <c:spPr>
            <a:solidFill>
              <a:schemeClr val="accent3">
                <a:lumMod val="50000"/>
              </a:schemeClr>
            </a:solidFill>
          </c:spPr>
          <c:invertIfNegative val="0"/>
          <c:dLbls>
            <c:dLbl>
              <c:idx val="5"/>
              <c:layout>
                <c:manualLayout>
                  <c:x val="-4.4728121148982475E-2"/>
                  <c:y val="-2.76085621349244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099397449823883E-3"/>
                  <c:y val="-5.110337004594134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 Pensiones por año'!$A$5:$A$16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'V.4.1 Pensiones por año'!$B$5:$B$16</c:f>
              <c:numCache>
                <c:formatCode>#,##0</c:formatCode>
                <c:ptCount val="10"/>
                <c:pt idx="0">
                  <c:v>181</c:v>
                </c:pt>
                <c:pt idx="1">
                  <c:v>278</c:v>
                </c:pt>
                <c:pt idx="2">
                  <c:v>252</c:v>
                </c:pt>
                <c:pt idx="3">
                  <c:v>362</c:v>
                </c:pt>
                <c:pt idx="4">
                  <c:v>581</c:v>
                </c:pt>
                <c:pt idx="5">
                  <c:v>415</c:v>
                </c:pt>
                <c:pt idx="6">
                  <c:v>506</c:v>
                </c:pt>
                <c:pt idx="7">
                  <c:v>603</c:v>
                </c:pt>
                <c:pt idx="8">
                  <c:v>659</c:v>
                </c:pt>
                <c:pt idx="9">
                  <c:v>722</c:v>
                </c:pt>
              </c:numCache>
            </c:numRef>
          </c:val>
        </c:ser>
        <c:ser>
          <c:idx val="2"/>
          <c:order val="1"/>
          <c:tx>
            <c:strRef>
              <c:f>'V.4.1 Pensiones por año'!$D$4</c:f>
              <c:strCache>
                <c:ptCount val="1"/>
                <c:pt idx="0">
                  <c:v>Pensiones Discapacidad</c:v>
                </c:pt>
              </c:strCache>
            </c:strRef>
          </c:tx>
          <c:spPr>
            <a:solidFill>
              <a:schemeClr val="accent5">
                <a:lumMod val="75000"/>
              </a:schemeClr>
            </a:solidFill>
          </c:spPr>
          <c:invertIfNegative val="0"/>
          <c:dLbls>
            <c:dLbl>
              <c:idx val="9"/>
              <c:layout>
                <c:manualLayout>
                  <c:x val="4.8872139541324871E-4"/>
                  <c:y val="3.385698862728702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 Pensiones por año'!$A$5:$A$16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'V.4.1 Pensiones por año'!$D$5:$D$16</c:f>
              <c:numCache>
                <c:formatCode>#,##0</c:formatCode>
                <c:ptCount val="10"/>
                <c:pt idx="0">
                  <c:v>34</c:v>
                </c:pt>
                <c:pt idx="1">
                  <c:v>99</c:v>
                </c:pt>
                <c:pt idx="2">
                  <c:v>154</c:v>
                </c:pt>
                <c:pt idx="3">
                  <c:v>246</c:v>
                </c:pt>
                <c:pt idx="4">
                  <c:v>258</c:v>
                </c:pt>
                <c:pt idx="5">
                  <c:v>255</c:v>
                </c:pt>
                <c:pt idx="6">
                  <c:v>369</c:v>
                </c:pt>
                <c:pt idx="7">
                  <c:v>628</c:v>
                </c:pt>
                <c:pt idx="8">
                  <c:v>1205</c:v>
                </c:pt>
                <c:pt idx="9">
                  <c:v>1005</c:v>
                </c:pt>
              </c:numCache>
            </c:numRef>
          </c:val>
        </c:ser>
        <c:ser>
          <c:idx val="1"/>
          <c:order val="2"/>
          <c:tx>
            <c:strRef>
              <c:f>'V.4.1 Pensiones por año'!$F$4</c:f>
              <c:strCache>
                <c:ptCount val="1"/>
                <c:pt idx="0">
                  <c:v>Total de Beneficiarios</c:v>
                </c:pt>
              </c:strCache>
            </c:strRef>
          </c:tx>
          <c:invertIfNegative val="0"/>
          <c:dLbls>
            <c:dLbl>
              <c:idx val="6"/>
              <c:layout>
                <c:manualLayout>
                  <c:x val="-5.7556187260948584E-3"/>
                  <c:y val="-4.6506416532490734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7998877252763776E-2"/>
                  <c:y val="-3.77345701571979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sz="1800" b="1">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 Pensiones por año'!$A$5:$A$16</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'V.4.1 Pensiones por año'!$F$5:$F$15</c:f>
            </c:numRef>
          </c:val>
        </c:ser>
        <c:dLbls>
          <c:showLegendKey val="0"/>
          <c:showVal val="0"/>
          <c:showCatName val="0"/>
          <c:showSerName val="0"/>
          <c:showPercent val="0"/>
          <c:showBubbleSize val="0"/>
        </c:dLbls>
        <c:gapWidth val="31"/>
        <c:axId val="279701504"/>
        <c:axId val="279701896"/>
      </c:barChart>
      <c:catAx>
        <c:axId val="27970150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279701896"/>
        <c:crosses val="autoZero"/>
        <c:auto val="1"/>
        <c:lblAlgn val="ctr"/>
        <c:lblOffset val="100"/>
        <c:noMultiLvlLbl val="0"/>
      </c:catAx>
      <c:valAx>
        <c:axId val="279701896"/>
        <c:scaling>
          <c:orientation val="minMax"/>
        </c:scaling>
        <c:delete val="0"/>
        <c:axPos val="l"/>
        <c:numFmt formatCode="#,##0" sourceLinked="1"/>
        <c:majorTickMark val="out"/>
        <c:minorTickMark val="none"/>
        <c:tickLblPos val="nextTo"/>
        <c:crossAx val="279701504"/>
        <c:crosses val="autoZero"/>
        <c:crossBetween val="between"/>
      </c:valAx>
    </c:plotArea>
    <c:legend>
      <c:legendPos val="r"/>
      <c:layout>
        <c:manualLayout>
          <c:xMode val="edge"/>
          <c:yMode val="edge"/>
          <c:x val="0.15794548293082575"/>
          <c:y val="0.11976389974779615"/>
          <c:w val="0.65056941826634362"/>
          <c:h val="6.701623517851372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n-US" sz="1050"/>
              <a:t>Cobertura en Pensiones por Género en la PEA</a:t>
            </a:r>
          </a:p>
        </c:rich>
      </c:tx>
      <c:overlay val="0"/>
    </c:title>
    <c:autoTitleDeleted val="0"/>
    <c:plotArea>
      <c:layout>
        <c:manualLayout>
          <c:layoutTarget val="inner"/>
          <c:xMode val="edge"/>
          <c:yMode val="edge"/>
          <c:x val="4.276333438357021E-2"/>
          <c:y val="0.26311185569888873"/>
          <c:w val="0.88783758370990151"/>
          <c:h val="0.55109800636622541"/>
        </c:manualLayout>
      </c:layout>
      <c:lineChart>
        <c:grouping val="standard"/>
        <c:varyColors val="0"/>
        <c:ser>
          <c:idx val="0"/>
          <c:order val="0"/>
          <c:tx>
            <c:strRef>
              <c:f>'V.4.2 PEA_Pensiones_Género'!$E$3</c:f>
              <c:strCache>
                <c:ptCount val="1"/>
                <c:pt idx="0">
                  <c:v>% Hombres /PEA</c:v>
                </c:pt>
              </c:strCache>
            </c:strRef>
          </c:tx>
          <c:dLbls>
            <c:dLbl>
              <c:idx val="0"/>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84447304025440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954802259887006E-2"/>
                  <c:y val="-5.591960785824599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5781544256120526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6365348399246636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898305084745763E-2"/>
                  <c:y val="-4.892965687596521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19774011299435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7080979284369114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986577489714772E-2"/>
                  <c:y val="-4.276216541986387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8415366146458699E-2"/>
                  <c:y val="-4.4839359125787299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'V.4.2 PEA_Pensiones_Género'!$A$4:$A$15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'V.4.2 PEA_Pensiones_Género'!$E$4:$E$15</c:f>
              <c:numCache>
                <c:formatCode>0.0%</c:formatCode>
                <c:ptCount val="10"/>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numCache>
            </c:numRef>
          </c:val>
          <c:smooth val="0"/>
        </c:ser>
        <c:ser>
          <c:idx val="1"/>
          <c:order val="1"/>
          <c:tx>
            <c:strRef>
              <c:f>'V.4.2 PEA_Pensiones_Género'!$F$3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811524609844055E-2"/>
                  <c:y val="4.1390177654572959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'V.4.2 PEA_Pensiones_Género'!$A$4:$A$15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'V.4.2 PEA_Pensiones_Género'!$F$4:$F$15</c:f>
              <c:numCache>
                <c:formatCode>0.0%</c:formatCode>
                <c:ptCount val="10"/>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numCache>
            </c:numRef>
          </c:val>
          <c:smooth val="0"/>
        </c:ser>
        <c:ser>
          <c:idx val="2"/>
          <c:order val="2"/>
          <c:tx>
            <c:strRef>
              <c:f>'V.4.2 PEA_Pensiones_Género'!$J$3</c:f>
              <c:strCache>
                <c:ptCount val="1"/>
                <c:pt idx="0">
                  <c:v>% Hombres Cotizantes</c:v>
                </c:pt>
              </c:strCache>
            </c:strRef>
          </c:tx>
          <c:dLbls>
            <c:dLbl>
              <c:idx val="0"/>
              <c:layout>
                <c:manualLayout>
                  <c:x val="-4.519774011299435E-2"/>
                  <c:y val="4.193970589368449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964218455743877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382086975619E-2"/>
                  <c:y val="3.6533192484237594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10884353741614E-2"/>
                  <c:y val="4.139017765457283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'V.4.2 PEA_Pensiones_Género'!$A$4:$A$15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'V.4.2 PEA_Pensiones_Género'!$J$4:$J$15</c:f>
              <c:numCache>
                <c:formatCode>0.0%</c:formatCode>
                <c:ptCount val="10"/>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numCache>
            </c:numRef>
          </c:val>
          <c:smooth val="0"/>
        </c:ser>
        <c:ser>
          <c:idx val="3"/>
          <c:order val="3"/>
          <c:tx>
            <c:strRef>
              <c:f>'V.4.2 PEA_Pensiones_Género'!$K$3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610244097639172E-2"/>
                  <c:y val="-3.4491814712144082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'V.4.2 PEA_Pensiones_Género'!$A$4:$A$15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'V.4.2 PEA_Pensiones_Género'!$K$4:$K$15</c:f>
              <c:numCache>
                <c:formatCode>0.0%</c:formatCode>
                <c:ptCount val="10"/>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numCache>
            </c:numRef>
          </c:val>
          <c:smooth val="0"/>
        </c:ser>
        <c:dLbls>
          <c:showLegendKey val="0"/>
          <c:showVal val="0"/>
          <c:showCatName val="0"/>
          <c:showSerName val="0"/>
          <c:showPercent val="0"/>
          <c:showBubbleSize val="0"/>
        </c:dLbls>
        <c:marker val="1"/>
        <c:smooth val="0"/>
        <c:axId val="279702680"/>
        <c:axId val="279703072"/>
      </c:lineChart>
      <c:catAx>
        <c:axId val="279702680"/>
        <c:scaling>
          <c:orientation val="minMax"/>
        </c:scaling>
        <c:delete val="0"/>
        <c:axPos val="b"/>
        <c:numFmt formatCode="General" sourceLinked="1"/>
        <c:majorTickMark val="none"/>
        <c:minorTickMark val="none"/>
        <c:tickLblPos val="nextTo"/>
        <c:txPr>
          <a:bodyPr/>
          <a:lstStyle/>
          <a:p>
            <a:pPr>
              <a:defRPr sz="900"/>
            </a:pPr>
            <a:endParaRPr lang="es-ES"/>
          </a:p>
        </c:txPr>
        <c:crossAx val="279703072"/>
        <c:crosses val="autoZero"/>
        <c:auto val="1"/>
        <c:lblAlgn val="ctr"/>
        <c:lblOffset val="100"/>
        <c:noMultiLvlLbl val="0"/>
      </c:catAx>
      <c:valAx>
        <c:axId val="279703072"/>
        <c:scaling>
          <c:orientation val="minMax"/>
        </c:scaling>
        <c:delete val="1"/>
        <c:axPos val="l"/>
        <c:numFmt formatCode="0.0%" sourceLinked="1"/>
        <c:majorTickMark val="none"/>
        <c:minorTickMark val="none"/>
        <c:tickLblPos val="nextTo"/>
        <c:crossAx val="279702680"/>
        <c:crosses val="autoZero"/>
        <c:crossBetween val="between"/>
      </c:valAx>
    </c:plotArea>
    <c:legend>
      <c:legendPos val="b"/>
      <c:layout>
        <c:manualLayout>
          <c:xMode val="edge"/>
          <c:yMode val="edge"/>
          <c:x val="4.8840147795460809E-2"/>
          <c:y val="0.12381080024571393"/>
          <c:w val="0.9"/>
          <c:h val="6.0051178153946567E-2"/>
        </c:manualLayout>
      </c:layout>
      <c:overlay val="0"/>
      <c:txPr>
        <a:bodyPr/>
        <a:lstStyle/>
        <a:p>
          <a:pPr>
            <a:defRPr sz="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DO" sz="1200"/>
              <a:t>Seguro de Vejez, Discapacidad y Sobrevivencia (SVDS)</a:t>
            </a:r>
          </a:p>
          <a:p>
            <a:pPr>
              <a:defRPr sz="1200"/>
            </a:pPr>
            <a:r>
              <a:rPr lang="es-DO" sz="1200"/>
              <a:t>Pensión Promedio de Sobrevivencia  y Discapacidad (RD$)</a:t>
            </a:r>
          </a:p>
        </c:rich>
      </c:tx>
      <c:layout>
        <c:manualLayout>
          <c:xMode val="edge"/>
          <c:yMode val="edge"/>
          <c:x val="0.31514454489064325"/>
          <c:y val="2.9871011541072641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6054615545576177E-2"/>
          <c:y val="0.33621416467544407"/>
          <c:w val="0.88659086558168487"/>
          <c:h val="0.45473750608057906"/>
        </c:manualLayout>
      </c:layout>
      <c:bar3DChart>
        <c:barDir val="col"/>
        <c:grouping val="clustered"/>
        <c:varyColors val="0"/>
        <c:ser>
          <c:idx val="0"/>
          <c:order val="0"/>
          <c:tx>
            <c:strRef>
              <c:f>'V.4.3 Pensiones Sob.Disc'!$B$3</c:f>
              <c:strCache>
                <c:ptCount val="1"/>
                <c:pt idx="0">
                  <c:v>Sobrevivencia</c:v>
                </c:pt>
              </c:strCache>
            </c:strRef>
          </c:tx>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'V.4.3 Pensiones Sob.Disc'!$B$4:$B$11</c:f>
              <c:numCache>
                <c:formatCode>_(* #,##0.00_);_(* \(#,##0.00\);_(* "-"??_);_(@_)</c:formatCode>
                <c:ptCount val="8"/>
                <c:pt idx="0">
                  <c:v>11826.02</c:v>
                </c:pt>
                <c:pt idx="1">
                  <c:v>12437.31</c:v>
                </c:pt>
                <c:pt idx="2">
                  <c:v>8795.7900000000009</c:v>
                </c:pt>
                <c:pt idx="3">
                  <c:v>9023.11</c:v>
                </c:pt>
                <c:pt idx="4">
                  <c:v>10717.72</c:v>
                </c:pt>
                <c:pt idx="5">
                  <c:v>29465.35</c:v>
                </c:pt>
                <c:pt idx="6">
                  <c:v>11684.62</c:v>
                </c:pt>
                <c:pt idx="7">
                  <c:v>9215.2800000000007</c:v>
                </c:pt>
              </c:numCache>
            </c:numRef>
          </c:val>
        </c:ser>
        <c:ser>
          <c:idx val="1"/>
          <c:order val="1"/>
          <c:tx>
            <c:strRef>
              <c:f>'V.4.3 Pensiones Sob.Disc'!$C$3</c:f>
              <c:strCache>
                <c:ptCount val="1"/>
                <c:pt idx="0">
                  <c:v>Discapacidad</c:v>
                </c:pt>
              </c:strCache>
            </c:strRef>
          </c:tx>
          <c:spPr>
            <a:solidFill>
              <a:schemeClr val="accent3">
                <a:lumMod val="50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'V.4.3 Pensiones Sob.Disc'!$C$4:$C$11</c:f>
              <c:numCache>
                <c:formatCode>_(* #,##0.00_);_(* \(#,##0.00\);_(* "-"??_);_(@_)</c:formatCode>
                <c:ptCount val="8"/>
                <c:pt idx="0">
                  <c:v>7456.15</c:v>
                </c:pt>
                <c:pt idx="1">
                  <c:v>7907.53</c:v>
                </c:pt>
                <c:pt idx="2">
                  <c:v>5829.72</c:v>
                </c:pt>
                <c:pt idx="3">
                  <c:v>4795.13</c:v>
                </c:pt>
                <c:pt idx="4">
                  <c:v>7319.95</c:v>
                </c:pt>
                <c:pt idx="5">
                  <c:v>25257</c:v>
                </c:pt>
                <c:pt idx="6">
                  <c:v>17917.89</c:v>
                </c:pt>
                <c:pt idx="7">
                  <c:v>11034.83</c:v>
                </c:pt>
              </c:numCache>
            </c:numRef>
          </c:val>
        </c:ser>
        <c:dLbls>
          <c:showLegendKey val="0"/>
          <c:showVal val="0"/>
          <c:showCatName val="0"/>
          <c:showSerName val="0"/>
          <c:showPercent val="0"/>
          <c:showBubbleSize val="0"/>
        </c:dLbls>
        <c:gapWidth val="60"/>
        <c:shape val="cylinder"/>
        <c:axId val="279703856"/>
        <c:axId val="279704248"/>
        <c:axId val="0"/>
      </c:bar3DChart>
      <c:catAx>
        <c:axId val="279703856"/>
        <c:scaling>
          <c:orientation val="minMax"/>
        </c:scaling>
        <c:delete val="0"/>
        <c:axPos val="b"/>
        <c:numFmt formatCode="General" sourceLinked="0"/>
        <c:majorTickMark val="out"/>
        <c:minorTickMark val="none"/>
        <c:tickLblPos val="nextTo"/>
        <c:txPr>
          <a:bodyPr/>
          <a:lstStyle/>
          <a:p>
            <a:pPr>
              <a:defRPr sz="1050" b="1"/>
            </a:pPr>
            <a:endParaRPr lang="es-ES"/>
          </a:p>
        </c:txPr>
        <c:crossAx val="279704248"/>
        <c:crosses val="autoZero"/>
        <c:auto val="1"/>
        <c:lblAlgn val="ctr"/>
        <c:lblOffset val="100"/>
        <c:noMultiLvlLbl val="0"/>
      </c:catAx>
      <c:valAx>
        <c:axId val="279704248"/>
        <c:scaling>
          <c:orientation val="minMax"/>
        </c:scaling>
        <c:delete val="0"/>
        <c:axPos val="l"/>
        <c:numFmt formatCode="_(* #,##0.00_);_(* \(#,##0.00\);_(* &quot;-&quot;??_);_(@_)" sourceLinked="1"/>
        <c:majorTickMark val="out"/>
        <c:minorTickMark val="none"/>
        <c:tickLblPos val="nextTo"/>
        <c:crossAx val="279703856"/>
        <c:crosses val="autoZero"/>
        <c:crossBetween val="between"/>
      </c:valAx>
    </c:plotArea>
    <c:legend>
      <c:legendPos val="r"/>
      <c:layout>
        <c:manualLayout>
          <c:xMode val="edge"/>
          <c:yMode val="edge"/>
          <c:x val="0.21127586091577349"/>
          <c:y val="0.12043662566619094"/>
          <c:w val="0.56995413163447084"/>
          <c:h val="6.2027914831208342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Seguro de Vejez, Discapacidad y Sobrevivencia (SVDS)</a:t>
            </a:r>
          </a:p>
          <a:p>
            <a:pPr>
              <a:defRPr sz="1800"/>
            </a:pPr>
            <a:r>
              <a:rPr lang="es-DO" sz="1800"/>
              <a:t>Pensión Promedio por  Tipo de Discapacidad Según AFP</a:t>
            </a:r>
          </a:p>
        </c:rich>
      </c:tx>
      <c:layout>
        <c:manualLayout>
          <c:xMode val="edge"/>
          <c:yMode val="edge"/>
          <c:x val="0.3202366298356295"/>
          <c:y val="1.5458937198067632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5.9776503171890122E-2"/>
          <c:y val="0.35387789569782035"/>
          <c:w val="0.91399005609666584"/>
          <c:h val="0.38135996043972764"/>
        </c:manualLayout>
      </c:layout>
      <c:bar3DChart>
        <c:barDir val="col"/>
        <c:grouping val="clustered"/>
        <c:varyColors val="0"/>
        <c:ser>
          <c:idx val="0"/>
          <c:order val="0"/>
          <c:tx>
            <c:strRef>
              <c:f>'V.4.4. Pens.Disc. AFP'!$B$3</c:f>
              <c:strCache>
                <c:ptCount val="1"/>
                <c:pt idx="0">
                  <c:v>Discapacidad Parcial</c:v>
                </c:pt>
              </c:strCache>
            </c:strRef>
          </c:tx>
          <c:spPr>
            <a:solidFill>
              <a:schemeClr val="accent3">
                <a:lumMod val="50000"/>
              </a:schemeClr>
            </a:solidFill>
          </c:spPr>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 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'V.4.4. Pens.Disc. AFP'!$B$4:$B$11</c:f>
              <c:numCache>
                <c:formatCode>_(* #,##0.00_);_(* \(#,##0.00\);_(* "-"??_);_(@_)</c:formatCode>
                <c:ptCount val="8"/>
                <c:pt idx="0">
                  <c:v>4171.1099999999997</c:v>
                </c:pt>
                <c:pt idx="1">
                  <c:v>4564.91</c:v>
                </c:pt>
                <c:pt idx="2">
                  <c:v>3317.63</c:v>
                </c:pt>
                <c:pt idx="3">
                  <c:v>2700.55</c:v>
                </c:pt>
                <c:pt idx="4">
                  <c:v>4232.01</c:v>
                </c:pt>
                <c:pt idx="5">
                  <c:v>9823.9699999999993</c:v>
                </c:pt>
                <c:pt idx="6">
                  <c:v>10385.299999999999</c:v>
                </c:pt>
                <c:pt idx="7">
                  <c:v>6049.07</c:v>
                </c:pt>
              </c:numCache>
            </c:numRef>
          </c:val>
        </c:ser>
        <c:ser>
          <c:idx val="1"/>
          <c:order val="1"/>
          <c:tx>
            <c:strRef>
              <c:f>'V.4.4. 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pPr/>
              <c:txPr>
                <a:bodyPr rot="-5400000" vert="horz"/>
                <a:lstStyle/>
                <a:p>
                  <a:pPr>
                    <a:defRPr sz="1800" b="1">
                      <a:solidFill>
                        <a:srgbClr val="C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 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'V.4.4. Pens.Disc. AFP'!$C$4:$C$11</c:f>
              <c:numCache>
                <c:formatCode>_(* #,##0.00_);_(* \(#,##0.00\);_(* "-"??_);_(@_)</c:formatCode>
                <c:ptCount val="8"/>
                <c:pt idx="0">
                  <c:v>9498.33</c:v>
                </c:pt>
                <c:pt idx="1">
                  <c:v>10701.52</c:v>
                </c:pt>
                <c:pt idx="2">
                  <c:v>6850.25</c:v>
                </c:pt>
                <c:pt idx="3">
                  <c:v>6499.07</c:v>
                </c:pt>
                <c:pt idx="4">
                  <c:v>8947.9</c:v>
                </c:pt>
                <c:pt idx="5">
                  <c:v>29796.13</c:v>
                </c:pt>
                <c:pt idx="6">
                  <c:v>22987.9</c:v>
                </c:pt>
                <c:pt idx="7">
                  <c:v>15245.14</c:v>
                </c:pt>
              </c:numCache>
            </c:numRef>
          </c:val>
        </c:ser>
        <c:dLbls>
          <c:showLegendKey val="0"/>
          <c:showVal val="0"/>
          <c:showCatName val="0"/>
          <c:showSerName val="0"/>
          <c:showPercent val="0"/>
          <c:showBubbleSize val="0"/>
        </c:dLbls>
        <c:gapWidth val="64"/>
        <c:shape val="cylinder"/>
        <c:axId val="279705032"/>
        <c:axId val="279705424"/>
        <c:axId val="0"/>
      </c:bar3DChart>
      <c:catAx>
        <c:axId val="279705032"/>
        <c:scaling>
          <c:orientation val="minMax"/>
        </c:scaling>
        <c:delete val="0"/>
        <c:axPos val="b"/>
        <c:numFmt formatCode="General" sourceLinked="0"/>
        <c:majorTickMark val="out"/>
        <c:minorTickMark val="none"/>
        <c:tickLblPos val="nextTo"/>
        <c:txPr>
          <a:bodyPr/>
          <a:lstStyle/>
          <a:p>
            <a:pPr>
              <a:defRPr sz="1400" b="1"/>
            </a:pPr>
            <a:endParaRPr lang="es-ES"/>
          </a:p>
        </c:txPr>
        <c:crossAx val="279705424"/>
        <c:crosses val="autoZero"/>
        <c:auto val="1"/>
        <c:lblAlgn val="ctr"/>
        <c:lblOffset val="100"/>
        <c:noMultiLvlLbl val="0"/>
      </c:catAx>
      <c:valAx>
        <c:axId val="279705424"/>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279705032"/>
        <c:crosses val="autoZero"/>
        <c:crossBetween val="between"/>
      </c:valAx>
    </c:plotArea>
    <c:legend>
      <c:legendPos val="r"/>
      <c:layout>
        <c:manualLayout>
          <c:xMode val="edge"/>
          <c:yMode val="edge"/>
          <c:x val="0.19279269604569091"/>
          <c:y val="0.11140294419719274"/>
          <c:w val="0.5862745434817187"/>
          <c:h val="5.837272879725622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a:t>Seguro de Vejez, Discapacidad y Sobrevivencia (SVDS)</a:t>
            </a:r>
          </a:p>
          <a:p>
            <a:pPr>
              <a:defRPr sz="1400"/>
            </a:pPr>
            <a:r>
              <a:rPr lang="es-DO" sz="1400"/>
              <a:t>Patrimonio de los Fondos de Pensiones por año</a:t>
            </a:r>
          </a:p>
        </c:rich>
      </c:tx>
      <c:layout>
        <c:manualLayout>
          <c:xMode val="edge"/>
          <c:yMode val="edge"/>
          <c:x val="0.33453277016721594"/>
          <c:y val="2.6295433125123197E-2"/>
        </c:manualLayout>
      </c:layout>
      <c:overlay val="1"/>
    </c:title>
    <c:autoTitleDeleted val="0"/>
    <c:plotArea>
      <c:layout>
        <c:manualLayout>
          <c:layoutTarget val="inner"/>
          <c:xMode val="edge"/>
          <c:yMode val="edge"/>
          <c:x val="8.5416760684146401E-2"/>
          <c:y val="0.13635548609696269"/>
          <c:w val="0.83118761759893256"/>
          <c:h val="0.68830651378831254"/>
        </c:manualLayout>
      </c:layout>
      <c:barChart>
        <c:barDir val="col"/>
        <c:grouping val="clustered"/>
        <c:varyColors val="0"/>
        <c:ser>
          <c:idx val="0"/>
          <c:order val="0"/>
          <c:tx>
            <c:strRef>
              <c:f>'V.5.1 Patrim. fp anual'!$B$3</c:f>
              <c:strCache>
                <c:ptCount val="1"/>
                <c:pt idx="0">
                  <c:v>Patrimonio Fondos de Pensiones </c:v>
                </c:pt>
              </c:strCache>
            </c:strRef>
          </c:tx>
          <c:invertIfNegative val="0"/>
          <c:dLbls>
            <c:dLbl>
              <c:idx val="10"/>
              <c:layout>
                <c:manualLayout>
                  <c:x val="-1.3734198750120922E-2"/>
                  <c:y val="2.6565256780281738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9.7595987959573499E-3"/>
                  <c:y val="-1.11989469109953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'V.5.1 Patrim. fp anual'!$A$4:$A$15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'V.5.1 Patrim. fp anual'!$B$4:$B$15</c:f>
              <c:numCache>
                <c:formatCode>_(* #,##0.00_);_(* \(#,##0.00\);_(* "-"??_);_(@_)</c:formatCode>
                <c:ptCount val="10"/>
                <c:pt idx="0">
                  <c:v>23031.69</c:v>
                </c:pt>
                <c:pt idx="1">
                  <c:v>33521.17</c:v>
                </c:pt>
                <c:pt idx="2">
                  <c:v>48918.54</c:v>
                </c:pt>
                <c:pt idx="3">
                  <c:v>68371.91</c:v>
                </c:pt>
                <c:pt idx="4">
                  <c:v>94318.74</c:v>
                </c:pt>
                <c:pt idx="5">
                  <c:v>120339.19</c:v>
                </c:pt>
                <c:pt idx="6">
                  <c:v>154672.16</c:v>
                </c:pt>
                <c:pt idx="7">
                  <c:v>198249.65</c:v>
                </c:pt>
                <c:pt idx="8">
                  <c:v>248516.38566900001</c:v>
                </c:pt>
                <c:pt idx="9">
                  <c:v>305297.32352799998</c:v>
                </c:pt>
              </c:numCache>
            </c:numRef>
          </c:val>
        </c:ser>
        <c:dLbls>
          <c:showLegendKey val="0"/>
          <c:showVal val="0"/>
          <c:showCatName val="0"/>
          <c:showSerName val="0"/>
          <c:showPercent val="0"/>
          <c:showBubbleSize val="0"/>
        </c:dLbls>
        <c:gapWidth val="36"/>
        <c:axId val="279706208"/>
        <c:axId val="279706600"/>
      </c:barChart>
      <c:lineChart>
        <c:grouping val="standard"/>
        <c:varyColors val="0"/>
        <c:ser>
          <c:idx val="1"/>
          <c:order val="1"/>
          <c:tx>
            <c:strRef>
              <c:f>'V.5.1 Patrim. fp anual'!$E$3</c:f>
              <c:strCache>
                <c:ptCount val="1"/>
                <c:pt idx="0">
                  <c:v>% Patrimonio/ PIB</c:v>
                </c:pt>
              </c:strCache>
            </c:strRef>
          </c:tx>
          <c:spPr>
            <a:ln w="41275">
              <a:gradFill>
                <a:gsLst>
                  <a:gs pos="0">
                    <a:srgbClr val="FFF200"/>
                  </a:gs>
                  <a:gs pos="45000">
                    <a:srgbClr val="FF7A00"/>
                  </a:gs>
                  <a:gs pos="70000">
                    <a:srgbClr val="FF0300"/>
                  </a:gs>
                  <a:gs pos="100000">
                    <a:srgbClr val="4D0808"/>
                  </a:gs>
                </a:gsLst>
                <a:lin ang="5400000" scaled="0"/>
              </a:gradFill>
            </a:ln>
          </c:spPr>
          <c:marker>
            <c:symbol val="circle"/>
            <c:size val="8"/>
          </c:marker>
          <c:dLbls>
            <c:dLbl>
              <c:idx val="0"/>
              <c:layout>
                <c:manualLayout>
                  <c:x val="-4.0540069991251093E-2"/>
                  <c:y val="-4.1541888510791035E-3"/>
                </c:manualLayout>
              </c:layout>
              <c:spPr/>
              <c:txPr>
                <a:bodyPr/>
                <a:lstStyle/>
                <a:p>
                  <a:pPr>
                    <a:defRPr sz="1400" b="1">
                      <a:solidFill>
                        <a:schemeClr val="bg1"/>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017603901071023E-2"/>
                  <c:y val="-2.44684618512348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230350751610592E-2"/>
                  <c:y val="-2.904657627855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2130688479948807E-2"/>
                  <c:y val="-2.58147194752998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spPr/>
              <c:txPr>
                <a:bodyPr/>
                <a:lstStyle/>
                <a:p>
                  <a:pPr>
                    <a:defRPr sz="1400" b="1">
                      <a:solidFill>
                        <a:schemeClr val="bg1"/>
                      </a:solidFill>
                    </a:defRPr>
                  </a:pPr>
                  <a:endParaRPr lang="es-ES"/>
                </a:p>
              </c:txPr>
              <c:dLblPos val="t"/>
              <c:showLegendKey val="0"/>
              <c:showVal val="1"/>
              <c:showCatName val="0"/>
              <c:showSerName val="0"/>
              <c:showPercent val="0"/>
              <c:showBubbleSize val="0"/>
            </c:dLbl>
            <c:spPr>
              <a:noFill/>
              <a:ln>
                <a:noFill/>
              </a:ln>
              <a:effectLst/>
            </c:spPr>
            <c:txPr>
              <a:bodyPr/>
              <a:lstStyle/>
              <a:p>
                <a:pPr>
                  <a:defRPr sz="14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'V.5.1 Patrim. fp anual'!$A$4:$A$15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'V.5.1 Patrim. fp anual'!$E$4:$E$15</c:f>
              <c:numCache>
                <c:formatCode>0.00%</c:formatCode>
                <c:ptCount val="10"/>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0.12047717252395536</c:v>
                </c:pt>
              </c:numCache>
            </c:numRef>
          </c:val>
          <c:smooth val="0"/>
        </c:ser>
        <c:dLbls>
          <c:showLegendKey val="0"/>
          <c:showVal val="0"/>
          <c:showCatName val="0"/>
          <c:showSerName val="0"/>
          <c:showPercent val="0"/>
          <c:showBubbleSize val="0"/>
        </c:dLbls>
        <c:marker val="1"/>
        <c:smooth val="0"/>
        <c:axId val="286246400"/>
        <c:axId val="279706992"/>
      </c:lineChart>
      <c:catAx>
        <c:axId val="279706208"/>
        <c:scaling>
          <c:orientation val="minMax"/>
        </c:scaling>
        <c:delete val="0"/>
        <c:axPos val="b"/>
        <c:numFmt formatCode="General" sourceLinked="1"/>
        <c:majorTickMark val="out"/>
        <c:minorTickMark val="none"/>
        <c:tickLblPos val="nextTo"/>
        <c:txPr>
          <a:bodyPr rot="-2700000" vert="horz"/>
          <a:lstStyle/>
          <a:p>
            <a:pPr>
              <a:defRPr sz="1100"/>
            </a:pPr>
            <a:endParaRPr lang="es-ES"/>
          </a:p>
        </c:txPr>
        <c:crossAx val="279706600"/>
        <c:crosses val="autoZero"/>
        <c:auto val="1"/>
        <c:lblAlgn val="ctr"/>
        <c:lblOffset val="100"/>
        <c:noMultiLvlLbl val="0"/>
      </c:catAx>
      <c:valAx>
        <c:axId val="279706600"/>
        <c:scaling>
          <c:orientation val="minMax"/>
        </c:scaling>
        <c:delete val="0"/>
        <c:axPos val="l"/>
        <c:numFmt formatCode="_(* #,##0.00_);_(* \(#,##0.00\);_(* &quot;-&quot;??_);_(@_)" sourceLinked="1"/>
        <c:majorTickMark val="out"/>
        <c:minorTickMark val="none"/>
        <c:tickLblPos val="nextTo"/>
        <c:crossAx val="279706208"/>
        <c:crosses val="autoZero"/>
        <c:crossBetween val="between"/>
      </c:valAx>
      <c:valAx>
        <c:axId val="279706992"/>
        <c:scaling>
          <c:orientation val="minMax"/>
          <c:max val="1"/>
        </c:scaling>
        <c:delete val="0"/>
        <c:axPos val="r"/>
        <c:numFmt formatCode="0.00%" sourceLinked="1"/>
        <c:majorTickMark val="out"/>
        <c:minorTickMark val="none"/>
        <c:tickLblPos val="nextTo"/>
        <c:crossAx val="286246400"/>
        <c:crosses val="max"/>
        <c:crossBetween val="between"/>
      </c:valAx>
      <c:catAx>
        <c:axId val="286246400"/>
        <c:scaling>
          <c:orientation val="minMax"/>
        </c:scaling>
        <c:delete val="1"/>
        <c:axPos val="b"/>
        <c:numFmt formatCode="General" sourceLinked="1"/>
        <c:majorTickMark val="out"/>
        <c:minorTickMark val="none"/>
        <c:tickLblPos val="nextTo"/>
        <c:crossAx val="279706992"/>
        <c:crosses val="autoZero"/>
        <c:auto val="1"/>
        <c:lblAlgn val="ctr"/>
        <c:lblOffset val="100"/>
        <c:noMultiLvlLbl val="0"/>
      </c:catAx>
    </c:plotArea>
    <c:legend>
      <c:legendPos val="r"/>
      <c:layout>
        <c:manualLayout>
          <c:xMode val="edge"/>
          <c:yMode val="edge"/>
          <c:x val="0.1760255766000135"/>
          <c:y val="0.13682590518405144"/>
          <c:w val="0.61880199241965572"/>
          <c:h val="5.93721892873647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Vejez, Discapacidad y Sobrevivencia (SVDS)</a:t>
            </a:r>
          </a:p>
          <a:p>
            <a:pPr>
              <a:defRPr sz="1400"/>
            </a:pPr>
            <a:r>
              <a:rPr lang="es-DO" sz="1400"/>
              <a:t>Composición de la Cartera Total de Inversión de los Fondos de Pensiones por Tipo de Emisor</a:t>
            </a:r>
          </a:p>
        </c:rich>
      </c:tx>
      <c:layout>
        <c:manualLayout>
          <c:xMode val="edge"/>
          <c:yMode val="edge"/>
          <c:x val="0.18198642696163331"/>
          <c:y val="2.5712621969480941E-2"/>
        </c:manualLayout>
      </c:layout>
      <c:overlay val="1"/>
    </c:title>
    <c:autoTitleDeleted val="0"/>
    <c:view3D>
      <c:rotX val="60"/>
      <c:rotY val="210"/>
      <c:rAngAx val="0"/>
      <c:perspective val="0"/>
    </c:view3D>
    <c:floor>
      <c:thickness val="0"/>
    </c:floor>
    <c:sideWall>
      <c:thickness val="0"/>
    </c:sideWall>
    <c:backWall>
      <c:thickness val="0"/>
    </c:backWall>
    <c:plotArea>
      <c:layout>
        <c:manualLayout>
          <c:layoutTarget val="inner"/>
          <c:xMode val="edge"/>
          <c:yMode val="edge"/>
          <c:x val="0.1545898552328446"/>
          <c:y val="0.25019595945846818"/>
          <c:w val="0.63431059616078522"/>
          <c:h val="0.57117249088961775"/>
        </c:manualLayout>
      </c:layout>
      <c:pie3DChart>
        <c:varyColors val="1"/>
        <c:ser>
          <c:idx val="0"/>
          <c:order val="0"/>
          <c:tx>
            <c:strRef>
              <c:f>'V.5.2 Cartera de inv fp'!$B$3</c:f>
              <c:strCache>
                <c:ptCount val="1"/>
                <c:pt idx="0">
                  <c:v>Inversión </c:v>
                </c:pt>
              </c:strCache>
            </c:strRef>
          </c:tx>
          <c:explosion val="25"/>
          <c:dLbls>
            <c:dLbl>
              <c:idx val="0"/>
              <c:layout>
                <c:manualLayout>
                  <c:x val="-1.674361285141502E-2"/>
                  <c:y val="-4.7948716496606605E-2"/>
                </c:manualLayout>
              </c:layout>
              <c:tx>
                <c:rich>
                  <a:bodyPr/>
                  <a:lstStyle/>
                  <a:p>
                    <a:r>
                      <a:rPr lang="en-US" sz="1200"/>
                      <a:t>Banco Central de la República Dominicana </a:t>
                    </a:r>
                  </a:p>
                  <a:p>
                    <a:r>
                      <a:rPr lang="en-US" sz="1200"/>
                      <a:t>RD$130,880,062,454.75 </a:t>
                    </a:r>
                  </a:p>
                  <a:p>
                    <a:r>
                      <a:rPr lang="en-US" sz="1200"/>
                      <a:t>49%</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7790088654628458E-2"/>
                  <c:y val="-2.1794871134821186E-3"/>
                </c:manualLayout>
              </c:layout>
              <c:tx>
                <c:rich>
                  <a:bodyPr/>
                  <a:lstStyle/>
                  <a:p>
                    <a:r>
                      <a:rPr lang="en-US" sz="1200"/>
                      <a:t>Asociación de Ahorros y Préstamos RD$7,417,138,189.81 </a:t>
                    </a:r>
                  </a:p>
                  <a:p>
                    <a:r>
                      <a:rPr lang="en-US" sz="1200"/>
                      <a:t>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2.9301322489976134E-2"/>
                  <c:y val="-1.9615384021339066E-2"/>
                </c:manualLayout>
              </c:layout>
              <c:tx>
                <c:rich>
                  <a:bodyPr/>
                  <a:lstStyle/>
                  <a:p>
                    <a:r>
                      <a:rPr lang="en-US" sz="1200"/>
                      <a:t>Bancos Múltiples </a:t>
                    </a:r>
                  </a:p>
                  <a:p>
                    <a:r>
                      <a:rPr lang="en-US" sz="1200"/>
                      <a:t>RD$74,535,641,729.42 </a:t>
                    </a:r>
                  </a:p>
                  <a:p>
                    <a:r>
                      <a:rPr lang="en-US" sz="1200"/>
                      <a:t>28%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9.8368725502063173E-2"/>
                  <c:y val="-0.10679486856062373"/>
                </c:manualLayout>
              </c:layout>
              <c:tx>
                <c:rich>
                  <a:bodyPr/>
                  <a:lstStyle/>
                  <a:p>
                    <a:r>
                      <a:rPr lang="en-US" sz="1200"/>
                      <a:t>Bancos de Ahorro y Crédito RD$1,057,831,956.69 </a:t>
                    </a:r>
                  </a:p>
                  <a:p>
                    <a:r>
                      <a:rPr lang="en-US" sz="1200"/>
                      <a:t>0.4%</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6.6974369005990533E-2"/>
                  <c:y val="5.2307690723570846E-2"/>
                </c:manualLayout>
              </c:layout>
              <c:tx>
                <c:rich>
                  <a:bodyPr/>
                  <a:lstStyle/>
                  <a:p>
                    <a:r>
                      <a:rPr lang="en-US" sz="1200"/>
                      <a:t>Banco Nacional de la Vivienda (BNV) RD$1,055,661,659.33 </a:t>
                    </a:r>
                  </a:p>
                  <a:p>
                    <a:r>
                      <a:rPr lang="en-US" sz="1200"/>
                      <a:t>0.4%</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2.9301322489976286E-2"/>
                  <c:y val="0.14820512371678407"/>
                </c:manualLayout>
              </c:layout>
              <c:tx>
                <c:rich>
                  <a:bodyPr/>
                  <a:lstStyle/>
                  <a:p>
                    <a:r>
                      <a:rPr lang="en-US" sz="1200"/>
                      <a:t>Empresas Privadas </a:t>
                    </a:r>
                  </a:p>
                  <a:p>
                    <a:r>
                      <a:rPr lang="en-US" sz="1200"/>
                      <a:t>RD$3,932,231,535.72 </a:t>
                    </a:r>
                  </a:p>
                  <a:p>
                    <a:r>
                      <a:rPr lang="en-US" sz="1200"/>
                      <a:t>1.5%</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1.2557709638561265E-2"/>
                  <c:y val="8.7179484539284743E-2"/>
                </c:manualLayout>
              </c:layout>
              <c:tx>
                <c:rich>
                  <a:bodyPr/>
                  <a:lstStyle/>
                  <a:p>
                    <a:r>
                      <a:rPr lang="en-US" sz="1200"/>
                      <a:t>Cartera Ministerio de Hacienda RD$49,871,269,884.68 </a:t>
                    </a:r>
                  </a:p>
                  <a:p>
                    <a:r>
                      <a:rPr lang="en-US" sz="1200"/>
                      <a:t>19%</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2.3022467670695691E-2"/>
                  <c:y val="3.4871793815713897E-2"/>
                </c:manualLayout>
              </c:layout>
              <c:tx>
                <c:rich>
                  <a:bodyPr/>
                  <a:lstStyle/>
                  <a:p>
                    <a:r>
                      <a:rPr lang="en-US" sz="1200"/>
                      <a:t>Organismos Multilarerales RD$351,991,817.00 </a:t>
                    </a:r>
                  </a:p>
                  <a:p>
                    <a:r>
                      <a:rPr lang="en-US" sz="1200"/>
                      <a:t>0.13%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'V.5.2 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'V.5.2 Cartera de inv fp'!$B$4:$B$11</c:f>
              <c:numCache>
                <c:formatCode>"RD$"#,##0.00</c:formatCode>
                <c:ptCount val="8"/>
                <c:pt idx="0">
                  <c:v>130880062454.75</c:v>
                </c:pt>
                <c:pt idx="1">
                  <c:v>7417138189.8100004</c:v>
                </c:pt>
                <c:pt idx="2">
                  <c:v>74535641729.419998</c:v>
                </c:pt>
                <c:pt idx="3">
                  <c:v>1057831956.6900001</c:v>
                </c:pt>
                <c:pt idx="4">
                  <c:v>1055661659.33</c:v>
                </c:pt>
                <c:pt idx="5">
                  <c:v>3932231535.7199998</c:v>
                </c:pt>
                <c:pt idx="6">
                  <c:v>49871269884.68</c:v>
                </c:pt>
                <c:pt idx="7">
                  <c:v>351991817</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Seguro de Vejez, Discapacidad y Sobrevivencia (SVDS)</a:t>
            </a:r>
          </a:p>
          <a:p>
            <a:pPr>
              <a:defRPr sz="1200"/>
            </a:pPr>
            <a:r>
              <a:rPr lang="es-DO" sz="1200"/>
              <a:t>Composición de la Cartera total de Inversiones de los Fondos de Pensiones por Instrumentos</a:t>
            </a:r>
          </a:p>
        </c:rich>
      </c:tx>
      <c:overlay val="1"/>
    </c:title>
    <c:autoTitleDeleted val="0"/>
    <c:view3D>
      <c:rotX val="60"/>
      <c:rotY val="70"/>
      <c:rAngAx val="0"/>
      <c:perspective val="0"/>
    </c:view3D>
    <c:floor>
      <c:thickness val="0"/>
    </c:floor>
    <c:sideWall>
      <c:thickness val="0"/>
    </c:sideWall>
    <c:backWall>
      <c:thickness val="0"/>
    </c:backWall>
    <c:plotArea>
      <c:layout>
        <c:manualLayout>
          <c:layoutTarget val="inner"/>
          <c:xMode val="edge"/>
          <c:yMode val="edge"/>
          <c:x val="0.16418141768579703"/>
          <c:y val="0.30840418143608334"/>
          <c:w val="0.58684860157389573"/>
          <c:h val="0.56475291104075898"/>
        </c:manualLayout>
      </c:layout>
      <c:pie3DChart>
        <c:varyColors val="1"/>
        <c:ser>
          <c:idx val="0"/>
          <c:order val="0"/>
          <c:tx>
            <c:strRef>
              <c:f>'V.5.4 Comp. Cartera'!$B$3</c:f>
              <c:strCache>
                <c:ptCount val="1"/>
                <c:pt idx="0">
                  <c:v>Inversión </c:v>
                </c:pt>
              </c:strCache>
            </c:strRef>
          </c:tx>
          <c:explosion val="25"/>
          <c:dLbls>
            <c:dLbl>
              <c:idx val="0"/>
              <c:layout>
                <c:manualLayout>
                  <c:x val="1.8156028368794326E-2"/>
                  <c:y val="1.26984152377783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2.7234042553191489E-2"/>
                  <c:y val="-1.7777781332889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0567465237058128E-2"/>
                  <c:y val="9.1428389736960644E-2"/>
                </c:manualLayout>
              </c:layout>
              <c:tx>
                <c:rich>
                  <a:bodyPr/>
                  <a:lstStyle/>
                  <a:p>
                    <a:r>
                      <a:rPr lang="en-US" sz="1100"/>
                      <a:t>Letras Hipotecarias  </a:t>
                    </a:r>
                  </a:p>
                  <a:p>
                    <a:r>
                      <a:rPr lang="en-US" sz="1100"/>
                      <a:t>880,963,223.45</a:t>
                    </a:r>
                  </a:p>
                  <a:p>
                    <a:r>
                      <a:rPr lang="en-US" sz="1100"/>
                      <a:t>0.33%</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5886524822695036E-2"/>
                  <c:y val="3.0476196570667982E-2"/>
                </c:manualLayout>
              </c:layout>
              <c:tx>
                <c:rich>
                  <a:bodyPr/>
                  <a:lstStyle/>
                  <a:p>
                    <a:r>
                      <a:rPr lang="en-US" sz="1100"/>
                      <a:t>Certificados de Ventanillas   111,114,918,785.68 </a:t>
                    </a:r>
                  </a:p>
                  <a:p>
                    <a:r>
                      <a:rPr lang="en-US" sz="1100"/>
                      <a:t>41%</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6.8085106382978306E-3"/>
                  <c:y val="-4.0634928760890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3.404246384095605E-2"/>
                  <c:y val="-0.11428573714000492"/>
                </c:manualLayout>
              </c:layout>
              <c:tx>
                <c:rich>
                  <a:bodyPr/>
                  <a:lstStyle/>
                  <a:p>
                    <a:r>
                      <a:rPr lang="en-US" sz="1100"/>
                      <a:t>Bonos Subordinados </a:t>
                    </a:r>
                  </a:p>
                  <a:p>
                    <a:r>
                      <a:rPr lang="en-US" sz="1100"/>
                      <a:t>11,014,198,556.24</a:t>
                    </a:r>
                  </a:p>
                  <a:p>
                    <a:r>
                      <a:rPr lang="en-US" sz="1100"/>
                      <a:t>4%</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5.2198581560283605E-2"/>
                  <c:y val="-6.3492076188891633E-2"/>
                </c:manualLayout>
              </c:layout>
              <c:tx>
                <c:rich>
                  <a:bodyPr/>
                  <a:lstStyle/>
                  <a:p>
                    <a:r>
                      <a:rPr lang="en-US" sz="1100"/>
                      <a:t>Bonos Corporativos</a:t>
                    </a:r>
                  </a:p>
                  <a:p>
                    <a:r>
                      <a:rPr lang="en-US" sz="1100"/>
                      <a:t> 5,952,997,864.98 </a:t>
                    </a:r>
                  </a:p>
                  <a:p>
                    <a:r>
                      <a:rPr lang="en-US" sz="1100"/>
                      <a:t>2%</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7.0354520578544785E-2"/>
                  <c:y val="2.5396830475556183E-3"/>
                </c:manualLayout>
              </c:layout>
              <c:tx>
                <c:rich>
                  <a:bodyPr/>
                  <a:lstStyle/>
                  <a:p>
                    <a:r>
                      <a:rPr lang="en-US" sz="1100"/>
                      <a:t>Bonos Ordinarios</a:t>
                    </a:r>
                  </a:p>
                  <a:p>
                    <a:r>
                      <a:rPr lang="en-US" sz="1100"/>
                      <a:t>351,991,817.00 </a:t>
                    </a:r>
                  </a:p>
                  <a:p>
                    <a:r>
                      <a:rPr lang="en-US" sz="1100"/>
                      <a:t>0.13%</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4.9929078014184398E-2"/>
                  <c:y val="0.10920617106985044"/>
                </c:manualLayout>
              </c:layout>
              <c:tx>
                <c:rich>
                  <a:bodyPr/>
                  <a:lstStyle/>
                  <a:p>
                    <a:r>
                      <a:rPr lang="en-US" sz="1100"/>
                      <a:t>Otras Inversiones </a:t>
                    </a:r>
                  </a:p>
                  <a:p>
                    <a:r>
                      <a:rPr lang="en-US" sz="1100"/>
                      <a:t>1,480,939,697.26 </a:t>
                    </a:r>
                  </a:p>
                  <a:p>
                    <a:r>
                      <a:rPr lang="en-US" sz="1100"/>
                      <a:t>0.55%</a:t>
                    </a:r>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'V.5.4 Comp. Cartera'!$A$4:$A$12</c:f>
              <c:strCache>
                <c:ptCount val="9"/>
                <c:pt idx="0">
                  <c:v>Bonos del Gobierno Central</c:v>
                </c:pt>
                <c:pt idx="1">
                  <c:v>Nota de Renta Fija </c:v>
                </c:pt>
                <c:pt idx="2">
                  <c:v>Letras Hipotecarias </c:v>
                </c:pt>
                <c:pt idx="3">
                  <c:v>Certificados de Ventanillas </c:v>
                </c:pt>
                <c:pt idx="4">
                  <c:v>Certificados de Depósitos</c:v>
                </c:pt>
                <c:pt idx="5">
                  <c:v>Bonos Subordinados</c:v>
                </c:pt>
                <c:pt idx="6">
                  <c:v>Bonos Corporativos</c:v>
                </c:pt>
                <c:pt idx="7">
                  <c:v>Bonos Ordinarios</c:v>
                </c:pt>
                <c:pt idx="8">
                  <c:v>Otras Inversiones</c:v>
                </c:pt>
              </c:strCache>
            </c:strRef>
          </c:cat>
          <c:val>
            <c:numRef>
              <c:f>'V.5.4 Comp. Cartera'!$B$4:$B$12</c:f>
              <c:numCache>
                <c:formatCode>_(* #,##0.00_);_(* \(#,##0.00\);_(* "-"??_);_(@_)</c:formatCode>
                <c:ptCount val="9"/>
                <c:pt idx="0">
                  <c:v>49871269884.68</c:v>
                </c:pt>
                <c:pt idx="1">
                  <c:v>18284203971.57</c:v>
                </c:pt>
                <c:pt idx="2">
                  <c:v>880963223.45000005</c:v>
                </c:pt>
                <c:pt idx="3">
                  <c:v>111114918785.67999</c:v>
                </c:pt>
                <c:pt idx="4">
                  <c:v>70150345426.300003</c:v>
                </c:pt>
                <c:pt idx="5">
                  <c:v>11014198556.240002</c:v>
                </c:pt>
                <c:pt idx="6">
                  <c:v>5952997864.9799995</c:v>
                </c:pt>
                <c:pt idx="7">
                  <c:v>351991817</c:v>
                </c:pt>
                <c:pt idx="8">
                  <c:v>1480939697.2600098</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a:solidFill>
        <a:schemeClr val="bg1"/>
      </a:solidFill>
    </a:ln>
  </c:spPr>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30627197970417774"/>
          <c:w val="0.93170990681131827"/>
          <c:h val="0.48854700896927866"/>
        </c:manualLayout>
      </c:layout>
      <c:lineChart>
        <c:grouping val="standard"/>
        <c:varyColors val="0"/>
        <c:ser>
          <c:idx val="0"/>
          <c:order val="0"/>
          <c:tx>
            <c:strRef>
              <c:f>'V.5.3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'V.5.3 Rent. nom. de los FP'!$A$7:$A$56</c:f>
              <c:numCache>
                <c:formatCode>mmm\-yy</c:formatCode>
                <c:ptCount val="21"/>
                <c:pt idx="0">
                  <c:v>38687</c:v>
                </c:pt>
                <c:pt idx="1">
                  <c:v>39052</c:v>
                </c:pt>
                <c:pt idx="2">
                  <c:v>39600</c:v>
                </c:pt>
                <c:pt idx="3">
                  <c:v>39783</c:v>
                </c:pt>
                <c:pt idx="4">
                  <c:v>39965</c:v>
                </c:pt>
                <c:pt idx="5">
                  <c:v>40148</c:v>
                </c:pt>
                <c:pt idx="6">
                  <c:v>40330</c:v>
                </c:pt>
                <c:pt idx="7">
                  <c:v>40513</c:v>
                </c:pt>
                <c:pt idx="8">
                  <c:v>40695</c:v>
                </c:pt>
                <c:pt idx="9">
                  <c:v>40878</c:v>
                </c:pt>
                <c:pt idx="10">
                  <c:v>41061</c:v>
                </c:pt>
                <c:pt idx="11">
                  <c:v>41244</c:v>
                </c:pt>
                <c:pt idx="12">
                  <c:v>41426</c:v>
                </c:pt>
                <c:pt idx="13">
                  <c:v>41609</c:v>
                </c:pt>
                <c:pt idx="14">
                  <c:v>41791</c:v>
                </c:pt>
                <c:pt idx="15">
                  <c:v>41821</c:v>
                </c:pt>
                <c:pt idx="16">
                  <c:v>41852</c:v>
                </c:pt>
                <c:pt idx="17">
                  <c:v>41883</c:v>
                </c:pt>
                <c:pt idx="18">
                  <c:v>41913</c:v>
                </c:pt>
                <c:pt idx="19">
                  <c:v>41944</c:v>
                </c:pt>
                <c:pt idx="20">
                  <c:v>41974</c:v>
                </c:pt>
              </c:numCache>
            </c:numRef>
          </c:cat>
          <c:val>
            <c:numRef>
              <c:f>'V.5.3 Rent. nom. de los FP'!$B$7:$B$56</c:f>
              <c:numCache>
                <c:formatCode>0.00%</c:formatCode>
                <c:ptCount val="21"/>
                <c:pt idx="0">
                  <c:v>0.1709</c:v>
                </c:pt>
                <c:pt idx="1">
                  <c:v>0.1147</c:v>
                </c:pt>
                <c:pt idx="2">
                  <c:v>8.6699999999999999E-2</c:v>
                </c:pt>
                <c:pt idx="3">
                  <c:v>0.1208</c:v>
                </c:pt>
                <c:pt idx="4">
                  <c:v>0.15529999999999999</c:v>
                </c:pt>
                <c:pt idx="5">
                  <c:v>0.1404</c:v>
                </c:pt>
                <c:pt idx="6">
                  <c:v>0.11609999999999999</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0.122677017308136</c:v>
                </c:pt>
                <c:pt idx="18">
                  <c:v>0.123037759368956</c:v>
                </c:pt>
                <c:pt idx="19">
                  <c:v>0.1196</c:v>
                </c:pt>
                <c:pt idx="20">
                  <c:v>0.1202</c:v>
                </c:pt>
              </c:numCache>
            </c:numRef>
          </c:val>
          <c:smooth val="0"/>
        </c:ser>
        <c:ser>
          <c:idx val="1"/>
          <c:order val="1"/>
          <c:tx>
            <c:strRef>
              <c:f>'V.5.3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'V.5.3 Rent. nom. de los FP'!$A$7:$A$56</c:f>
              <c:numCache>
                <c:formatCode>mmm\-yy</c:formatCode>
                <c:ptCount val="21"/>
                <c:pt idx="0">
                  <c:v>38687</c:v>
                </c:pt>
                <c:pt idx="1">
                  <c:v>39052</c:v>
                </c:pt>
                <c:pt idx="2">
                  <c:v>39600</c:v>
                </c:pt>
                <c:pt idx="3">
                  <c:v>39783</c:v>
                </c:pt>
                <c:pt idx="4">
                  <c:v>39965</c:v>
                </c:pt>
                <c:pt idx="5">
                  <c:v>40148</c:v>
                </c:pt>
                <c:pt idx="6">
                  <c:v>40330</c:v>
                </c:pt>
                <c:pt idx="7">
                  <c:v>40513</c:v>
                </c:pt>
                <c:pt idx="8">
                  <c:v>40695</c:v>
                </c:pt>
                <c:pt idx="9">
                  <c:v>40878</c:v>
                </c:pt>
                <c:pt idx="10">
                  <c:v>41061</c:v>
                </c:pt>
                <c:pt idx="11">
                  <c:v>41244</c:v>
                </c:pt>
                <c:pt idx="12">
                  <c:v>41426</c:v>
                </c:pt>
                <c:pt idx="13">
                  <c:v>41609</c:v>
                </c:pt>
                <c:pt idx="14">
                  <c:v>41791</c:v>
                </c:pt>
                <c:pt idx="15">
                  <c:v>41821</c:v>
                </c:pt>
                <c:pt idx="16">
                  <c:v>41852</c:v>
                </c:pt>
                <c:pt idx="17">
                  <c:v>41883</c:v>
                </c:pt>
                <c:pt idx="18">
                  <c:v>41913</c:v>
                </c:pt>
                <c:pt idx="19">
                  <c:v>41944</c:v>
                </c:pt>
                <c:pt idx="20">
                  <c:v>41974</c:v>
                </c:pt>
              </c:numCache>
            </c:numRef>
          </c:cat>
          <c:val>
            <c:numRef>
              <c:f>'V.5.3 Rent. nom. de los FP'!$C$7:$C$56</c:f>
              <c:numCache>
                <c:formatCode>0.00%</c:formatCode>
                <c:ptCount val="21"/>
                <c:pt idx="0">
                  <c:v>0.1696</c:v>
                </c:pt>
                <c:pt idx="1">
                  <c:v>0.1148</c:v>
                </c:pt>
                <c:pt idx="2">
                  <c:v>9.06E-2</c:v>
                </c:pt>
                <c:pt idx="3">
                  <c:v>0.13009999999999999</c:v>
                </c:pt>
                <c:pt idx="4">
                  <c:v>0.161</c:v>
                </c:pt>
                <c:pt idx="5">
                  <c:v>0.14330000000000001</c:v>
                </c:pt>
                <c:pt idx="6">
                  <c:v>0.1183</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0.124578929225971</c:v>
                </c:pt>
                <c:pt idx="18">
                  <c:v>0.125103490001607</c:v>
                </c:pt>
                <c:pt idx="19">
                  <c:v>0.12239999999999999</c:v>
                </c:pt>
                <c:pt idx="20">
                  <c:v>0.12479999999999999</c:v>
                </c:pt>
              </c:numCache>
            </c:numRef>
          </c:val>
          <c:smooth val="0"/>
        </c:ser>
        <c:dLbls>
          <c:showLegendKey val="0"/>
          <c:showVal val="0"/>
          <c:showCatName val="0"/>
          <c:showSerName val="0"/>
          <c:showPercent val="0"/>
          <c:showBubbleSize val="0"/>
        </c:dLbls>
        <c:marker val="1"/>
        <c:smooth val="0"/>
        <c:axId val="286247576"/>
        <c:axId val="286247968"/>
      </c:lineChart>
      <c:catAx>
        <c:axId val="286247576"/>
        <c:scaling>
          <c:orientation val="minMax"/>
        </c:scaling>
        <c:delete val="0"/>
        <c:axPos val="b"/>
        <c:numFmt formatCode="mmm\-yy" sourceLinked="1"/>
        <c:majorTickMark val="none"/>
        <c:minorTickMark val="none"/>
        <c:tickLblPos val="nextTo"/>
        <c:txPr>
          <a:bodyPr rot="-2700000" vert="horz"/>
          <a:lstStyle/>
          <a:p>
            <a:pPr>
              <a:defRPr lang="en-US" sz="1200"/>
            </a:pPr>
            <a:endParaRPr lang="es-ES"/>
          </a:p>
        </c:txPr>
        <c:crossAx val="286247968"/>
        <c:crosses val="autoZero"/>
        <c:auto val="0"/>
        <c:lblAlgn val="ctr"/>
        <c:lblOffset val="100"/>
        <c:noMultiLvlLbl val="0"/>
      </c:catAx>
      <c:valAx>
        <c:axId val="286247968"/>
        <c:scaling>
          <c:orientation val="minMax"/>
        </c:scaling>
        <c:delete val="1"/>
        <c:axPos val="l"/>
        <c:numFmt formatCode="0.00%" sourceLinked="1"/>
        <c:majorTickMark val="out"/>
        <c:minorTickMark val="none"/>
        <c:tickLblPos val="nextTo"/>
        <c:crossAx val="286247576"/>
        <c:crosses val="autoZero"/>
        <c:crossBetween val="between"/>
      </c:valAx>
    </c:plotArea>
    <c:legend>
      <c:legendPos val="b"/>
      <c:layout>
        <c:manualLayout>
          <c:xMode val="edge"/>
          <c:yMode val="edge"/>
          <c:x val="0.22240764889746323"/>
          <c:y val="0.13675795484266015"/>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6484816176177541E-2"/>
          <c:y val="0.19895116942980687"/>
          <c:w val="0.9356763789817536"/>
          <c:h val="0.6741138135463961"/>
        </c:manualLayout>
      </c:layout>
      <c:lineChart>
        <c:grouping val="standard"/>
        <c:varyColors val="0"/>
        <c:ser>
          <c:idx val="1"/>
          <c:order val="0"/>
          <c:tx>
            <c:strRef>
              <c:f>'23.Rentab.Real'!$B$4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4113592013489725E-2"/>
                  <c:y val="-2.65339110172712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6540283369769626E-2"/>
                  <c:y val="-2.755905739633020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11690280814135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'23.Rentab.Real'!$A$5:$A$16</c:f>
              <c:numCache>
                <c:formatCode>mmm\-yy</c:formatCode>
                <c:ptCount val="10"/>
                <c:pt idx="0">
                  <c:v>38687</c:v>
                </c:pt>
                <c:pt idx="1">
                  <c:v>39052</c:v>
                </c:pt>
                <c:pt idx="2">
                  <c:v>39417</c:v>
                </c:pt>
                <c:pt idx="3">
                  <c:v>39783</c:v>
                </c:pt>
                <c:pt idx="4">
                  <c:v>40148</c:v>
                </c:pt>
                <c:pt idx="5">
                  <c:v>40513</c:v>
                </c:pt>
                <c:pt idx="6">
                  <c:v>40878</c:v>
                </c:pt>
                <c:pt idx="7">
                  <c:v>41244</c:v>
                </c:pt>
                <c:pt idx="8">
                  <c:v>41609</c:v>
                </c:pt>
                <c:pt idx="9">
                  <c:v>41974</c:v>
                </c:pt>
              </c:numCache>
            </c:numRef>
          </c:cat>
          <c:val>
            <c:numRef>
              <c:f>'23.Rentab.Real'!$B$5:$B$16</c:f>
              <c:numCache>
                <c:formatCode>0.00%</c:formatCode>
                <c:ptCount val="10"/>
                <c:pt idx="0">
                  <c:v>0.1696</c:v>
                </c:pt>
                <c:pt idx="1">
                  <c:v>0.1148</c:v>
                </c:pt>
                <c:pt idx="2">
                  <c:v>8.4400000000000003E-2</c:v>
                </c:pt>
                <c:pt idx="3">
                  <c:v>0.13009999999999999</c:v>
                </c:pt>
                <c:pt idx="4">
                  <c:v>0.14330000000000001</c:v>
                </c:pt>
                <c:pt idx="5">
                  <c:v>0.11057333531076501</c:v>
                </c:pt>
                <c:pt idx="6">
                  <c:v>0.12659999999999999</c:v>
                </c:pt>
                <c:pt idx="7">
                  <c:v>0.14269999999999999</c:v>
                </c:pt>
                <c:pt idx="8">
                  <c:v>0.132289709655253</c:v>
                </c:pt>
                <c:pt idx="9">
                  <c:v>0.1202</c:v>
                </c:pt>
              </c:numCache>
            </c:numRef>
          </c:val>
          <c:smooth val="0"/>
        </c:ser>
        <c:ser>
          <c:idx val="2"/>
          <c:order val="1"/>
          <c:tx>
            <c:strRef>
              <c:f>'23.Rentab.Real'!$D$4</c:f>
              <c:strCache>
                <c:ptCount val="1"/>
                <c:pt idx="0">
                  <c:v>Rentabilidad Real</c:v>
                </c:pt>
              </c:strCache>
            </c:strRef>
          </c:tx>
          <c:dLbls>
            <c:dLbl>
              <c:idx val="0"/>
              <c:layout>
                <c:manualLayout>
                  <c:x val="-2.1011057667734288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014168488481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'23.Rentab.Real'!$A$5:$A$16</c:f>
              <c:numCache>
                <c:formatCode>mmm\-yy</c:formatCode>
                <c:ptCount val="10"/>
                <c:pt idx="0">
                  <c:v>38687</c:v>
                </c:pt>
                <c:pt idx="1">
                  <c:v>39052</c:v>
                </c:pt>
                <c:pt idx="2">
                  <c:v>39417</c:v>
                </c:pt>
                <c:pt idx="3">
                  <c:v>39783</c:v>
                </c:pt>
                <c:pt idx="4">
                  <c:v>40148</c:v>
                </c:pt>
                <c:pt idx="5">
                  <c:v>40513</c:v>
                </c:pt>
                <c:pt idx="6">
                  <c:v>40878</c:v>
                </c:pt>
                <c:pt idx="7">
                  <c:v>41244</c:v>
                </c:pt>
                <c:pt idx="8">
                  <c:v>41609</c:v>
                </c:pt>
                <c:pt idx="9">
                  <c:v>41974</c:v>
                </c:pt>
              </c:numCache>
            </c:numRef>
          </c:cat>
          <c:val>
            <c:numRef>
              <c:f>'23.Rentab.Real'!$D$5:$D$16</c:f>
              <c:numCache>
                <c:formatCode>0.00%</c:formatCode>
                <c:ptCount val="10"/>
                <c:pt idx="0">
                  <c:v>9.522694640222909E-2</c:v>
                </c:pt>
                <c:pt idx="1">
                  <c:v>6.4798092986002573E-2</c:v>
                </c:pt>
                <c:pt idx="2">
                  <c:v>-4.3758808572467445E-3</c:v>
                </c:pt>
                <c:pt idx="3">
                  <c:v>8.4927517181557444E-2</c:v>
                </c:pt>
                <c:pt idx="4">
                  <c:v>8.5651889683350496E-2</c:v>
                </c:pt>
                <c:pt idx="5">
                  <c:v>4.8190284667920788E-2</c:v>
                </c:pt>
                <c:pt idx="6">
                  <c:v>4.8999999999999988E-2</c:v>
                </c:pt>
                <c:pt idx="7">
                  <c:v>0.1036</c:v>
                </c:pt>
                <c:pt idx="8">
                  <c:v>9.3489709655252995E-2</c:v>
                </c:pt>
                <c:pt idx="9">
                  <c:v>0.10439999999999999</c:v>
                </c:pt>
              </c:numCache>
            </c:numRef>
          </c:val>
          <c:smooth val="0"/>
        </c:ser>
        <c:ser>
          <c:idx val="0"/>
          <c:order val="2"/>
          <c:tx>
            <c:strRef>
              <c:f>'23.Rentab.Real'!$C$4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80410289103801E-2"/>
                  <c:y val="4.186203758742084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145043184077519E-2"/>
                  <c:y val="1.380160250732728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2.081784914736291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'23.Rentab.Real'!$A$5:$A$16</c:f>
              <c:numCache>
                <c:formatCode>mmm\-yy</c:formatCode>
                <c:ptCount val="10"/>
                <c:pt idx="0">
                  <c:v>38687</c:v>
                </c:pt>
                <c:pt idx="1">
                  <c:v>39052</c:v>
                </c:pt>
                <c:pt idx="2">
                  <c:v>39417</c:v>
                </c:pt>
                <c:pt idx="3">
                  <c:v>39783</c:v>
                </c:pt>
                <c:pt idx="4">
                  <c:v>40148</c:v>
                </c:pt>
                <c:pt idx="5">
                  <c:v>40513</c:v>
                </c:pt>
                <c:pt idx="6">
                  <c:v>40878</c:v>
                </c:pt>
                <c:pt idx="7">
                  <c:v>41244</c:v>
                </c:pt>
                <c:pt idx="8">
                  <c:v>41609</c:v>
                </c:pt>
                <c:pt idx="9">
                  <c:v>41974</c:v>
                </c:pt>
              </c:numCache>
            </c:numRef>
          </c:cat>
          <c:val>
            <c:numRef>
              <c:f>'23.Rentab.Real'!$C$5:$C$16</c:f>
              <c:numCache>
                <c:formatCode>0.00%</c:formatCode>
                <c:ptCount val="10"/>
                <c:pt idx="0">
                  <c:v>7.4373053597770911E-2</c:v>
                </c:pt>
                <c:pt idx="1">
                  <c:v>5.0001907013997426E-2</c:v>
                </c:pt>
                <c:pt idx="2">
                  <c:v>8.8775880857246747E-2</c:v>
                </c:pt>
                <c:pt idx="3">
                  <c:v>4.517248281844255E-2</c:v>
                </c:pt>
                <c:pt idx="4">
                  <c:v>5.7648110316649515E-2</c:v>
                </c:pt>
                <c:pt idx="5">
                  <c:v>6.2383050642844218E-2</c:v>
                </c:pt>
                <c:pt idx="6">
                  <c:v>7.7600000000000002E-2</c:v>
                </c:pt>
                <c:pt idx="7">
                  <c:v>3.9100000000000003E-2</c:v>
                </c:pt>
                <c:pt idx="8">
                  <c:v>3.8800000000000001E-2</c:v>
                </c:pt>
                <c:pt idx="9">
                  <c:v>1.5800000000000002E-2</c:v>
                </c:pt>
              </c:numCache>
            </c:numRef>
          </c:val>
          <c:smooth val="0"/>
        </c:ser>
        <c:dLbls>
          <c:showLegendKey val="0"/>
          <c:showVal val="0"/>
          <c:showCatName val="0"/>
          <c:showSerName val="0"/>
          <c:showPercent val="0"/>
          <c:showBubbleSize val="0"/>
        </c:dLbls>
        <c:marker val="1"/>
        <c:smooth val="0"/>
        <c:axId val="286248752"/>
        <c:axId val="286249144"/>
      </c:lineChart>
      <c:catAx>
        <c:axId val="286248752"/>
        <c:scaling>
          <c:orientation val="minMax"/>
        </c:scaling>
        <c:delete val="0"/>
        <c:axPos val="b"/>
        <c:numFmt formatCode="mmm\-yy" sourceLinked="1"/>
        <c:majorTickMark val="none"/>
        <c:minorTickMark val="none"/>
        <c:tickLblPos val="nextTo"/>
        <c:txPr>
          <a:bodyPr/>
          <a:lstStyle/>
          <a:p>
            <a:pPr>
              <a:defRPr lang="en-US" sz="1400"/>
            </a:pPr>
            <a:endParaRPr lang="es-ES"/>
          </a:p>
        </c:txPr>
        <c:crossAx val="286249144"/>
        <c:crosses val="autoZero"/>
        <c:auto val="0"/>
        <c:lblAlgn val="ctr"/>
        <c:lblOffset val="100"/>
        <c:noMultiLvlLbl val="0"/>
      </c:catAx>
      <c:valAx>
        <c:axId val="286249144"/>
        <c:scaling>
          <c:orientation val="minMax"/>
        </c:scaling>
        <c:delete val="1"/>
        <c:axPos val="l"/>
        <c:numFmt formatCode="0.00%" sourceLinked="1"/>
        <c:majorTickMark val="out"/>
        <c:minorTickMark val="none"/>
        <c:tickLblPos val="nextTo"/>
        <c:crossAx val="286248752"/>
        <c:crosses val="autoZero"/>
        <c:crossBetween val="between"/>
      </c:valAx>
    </c:plotArea>
    <c:legend>
      <c:legendPos val="b"/>
      <c:layout>
        <c:manualLayout>
          <c:xMode val="edge"/>
          <c:yMode val="edge"/>
          <c:x val="0.1122800987716516"/>
          <c:y val="0.10792331146028351"/>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2223582942493104E-2"/>
          <c:y val="0.15784210367981319"/>
          <c:w val="0.86853183241945819"/>
          <c:h val="0.59031847459433207"/>
        </c:manualLayout>
      </c:layout>
      <c:barChart>
        <c:barDir val="col"/>
        <c:grouping val="clustered"/>
        <c:varyColors val="0"/>
        <c:ser>
          <c:idx val="0"/>
          <c:order val="0"/>
          <c:tx>
            <c:strRef>
              <c:f>'I.1.4 Afil. SDSS Anual'!$E$3</c:f>
              <c:strCache>
                <c:ptCount val="1"/>
                <c:pt idx="0">
                  <c:v>Afiliación Total al SDSS</c:v>
                </c:pt>
              </c:strCache>
            </c:strRef>
          </c:tx>
          <c:invertIfNegative val="0"/>
          <c:dLbls>
            <c:spPr>
              <a:noFill/>
              <a:ln>
                <a:noFill/>
              </a:ln>
              <a:effectLst/>
            </c:spPr>
            <c:txPr>
              <a:bodyPr rot="-5400000" vert="horz"/>
              <a:lstStyle/>
              <a:p>
                <a:pPr>
                  <a:defRPr sz="24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'I.1.4 Afil. SDSS Anual'!$A$4:$A$15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'I.1.4 Afil. SDSS Anual'!$E$4:$E$15</c:f>
              <c:numCache>
                <c:formatCode>#,##0</c:formatCode>
                <c:ptCount val="10"/>
                <c:pt idx="0">
                  <c:v>1687712</c:v>
                </c:pt>
                <c:pt idx="1">
                  <c:v>2102527</c:v>
                </c:pt>
                <c:pt idx="2">
                  <c:v>2449608</c:v>
                </c:pt>
                <c:pt idx="3">
                  <c:v>2934940</c:v>
                </c:pt>
                <c:pt idx="4">
                  <c:v>3521433</c:v>
                </c:pt>
                <c:pt idx="5">
                  <c:v>4414548</c:v>
                </c:pt>
                <c:pt idx="6">
                  <c:v>4564572</c:v>
                </c:pt>
                <c:pt idx="7">
                  <c:v>5054406</c:v>
                </c:pt>
                <c:pt idx="8">
                  <c:v>5638332</c:v>
                </c:pt>
                <c:pt idx="9">
                  <c:v>6187615</c:v>
                </c:pt>
              </c:numCache>
            </c:numRef>
          </c:val>
        </c:ser>
        <c:ser>
          <c:idx val="1"/>
          <c:order val="1"/>
          <c:tx>
            <c:strRef>
              <c:f>'I.1.4 Afil. SDSS Anual'!$L$3</c:f>
              <c:strCache>
                <c:ptCount val="1"/>
                <c:pt idx="0">
                  <c:v>No. de Cápitas Pagadas por Afiliado Total al SDSS </c:v>
                </c:pt>
              </c:strCache>
            </c:strRef>
          </c:tx>
          <c:spPr>
            <a:solidFill>
              <a:schemeClr val="accent3">
                <a:lumMod val="50000"/>
              </a:schemeClr>
            </a:solidFill>
          </c:spPr>
          <c:invertIfNegative val="0"/>
          <c:dLbls>
            <c:spPr>
              <a:noFill/>
              <a:ln>
                <a:noFill/>
              </a:ln>
              <a:effectLst/>
            </c:spPr>
            <c:txPr>
              <a:bodyPr rot="-5400000" vert="horz"/>
              <a:lstStyle/>
              <a:p>
                <a:pPr>
                  <a:defRPr sz="24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'I.1.4 Afil. SDSS Anual'!$A$4:$A$15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'I.1.4 Afil. SDSS Anual'!$L$4:$L$15</c:f>
              <c:numCache>
                <c:formatCode>#,##0</c:formatCode>
                <c:ptCount val="10"/>
                <c:pt idx="0">
                  <c:v>893146</c:v>
                </c:pt>
                <c:pt idx="1">
                  <c:v>1321912</c:v>
                </c:pt>
                <c:pt idx="2">
                  <c:v>2681403</c:v>
                </c:pt>
                <c:pt idx="3">
                  <c:v>2954314</c:v>
                </c:pt>
                <c:pt idx="4">
                  <c:v>3460773</c:v>
                </c:pt>
                <c:pt idx="5">
                  <c:v>4293002</c:v>
                </c:pt>
                <c:pt idx="6">
                  <c:v>4612926</c:v>
                </c:pt>
                <c:pt idx="7">
                  <c:v>5072975</c:v>
                </c:pt>
                <c:pt idx="8">
                  <c:v>5641442</c:v>
                </c:pt>
                <c:pt idx="9">
                  <c:v>6271063</c:v>
                </c:pt>
              </c:numCache>
            </c:numRef>
          </c:val>
        </c:ser>
        <c:dLbls>
          <c:showLegendKey val="0"/>
          <c:showVal val="0"/>
          <c:showCatName val="0"/>
          <c:showSerName val="0"/>
          <c:showPercent val="0"/>
          <c:showBubbleSize val="0"/>
        </c:dLbls>
        <c:gapWidth val="47"/>
        <c:overlap val="-8"/>
        <c:axId val="241674784"/>
        <c:axId val="241675176"/>
      </c:barChart>
      <c:lineChart>
        <c:grouping val="standard"/>
        <c:varyColors val="0"/>
        <c:ser>
          <c:idx val="2"/>
          <c:order val="2"/>
          <c:tx>
            <c:strRef>
              <c:f>'I.1.4 Afil. SDSS Anual'!$P$3</c:f>
              <c:strCache>
                <c:ptCount val="1"/>
                <c:pt idx="0">
                  <c:v>Total No. de Cápitas Pagadas Total Afiliación Definitiva</c:v>
                </c:pt>
              </c:strCache>
            </c:strRef>
          </c:tx>
          <c:marker>
            <c:symbol val="circle"/>
            <c:size val="11"/>
            <c:spPr>
              <a:gradFill>
                <a:gsLst>
                  <a:gs pos="0">
                    <a:srgbClr val="FFF200"/>
                  </a:gs>
                  <a:gs pos="45000">
                    <a:srgbClr val="FF7A00"/>
                  </a:gs>
                  <a:gs pos="70000">
                    <a:srgbClr val="FF0300"/>
                  </a:gs>
                  <a:gs pos="100000">
                    <a:srgbClr val="4D0808"/>
                  </a:gs>
                </a:gsLst>
                <a:lin ang="5400000" scaled="0"/>
              </a:gradFill>
            </c:spPr>
          </c:marker>
          <c:dLbls>
            <c:dLbl>
              <c:idx val="4"/>
              <c:layout>
                <c:manualLayout>
                  <c:x val="-3.0060971693930575E-2"/>
                  <c:y val="-2.205099126348585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2081355411580027E-2"/>
                  <c:y val="-2.2099018607932702E-2"/>
                </c:manualLayout>
              </c:layout>
              <c:spPr/>
              <c:txPr>
                <a:bodyPr/>
                <a:lstStyle/>
                <a:p>
                  <a:pPr>
                    <a:defRPr sz="20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1"/>
              <c:spPr/>
              <c:txPr>
                <a:bodyPr/>
                <a:lstStyle/>
                <a:p>
                  <a:pPr>
                    <a:defRPr sz="2000" b="1"/>
                  </a:pPr>
                  <a:endParaRPr lang="es-ES"/>
                </a:p>
              </c:txPr>
              <c:dLblPos val="t"/>
              <c:showLegendKey val="0"/>
              <c:showVal val="1"/>
              <c:showCatName val="0"/>
              <c:showSerName val="0"/>
              <c:showPercent val="0"/>
              <c:showBubbleSize val="0"/>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'I.1.4 Afil. SDSS Anual'!$A$4:$A$15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'I.1.4 Afil. SDSS Anual'!$P$4:$P$15</c:f>
              <c:numCache>
                <c:formatCode>0.0%</c:formatCode>
                <c:ptCount val="10"/>
                <c:pt idx="0">
                  <c:v>0.52920521984793611</c:v>
                </c:pt>
                <c:pt idx="1">
                  <c:v>0.62872533860445079</c:v>
                </c:pt>
                <c:pt idx="2">
                  <c:v>1.0946253441366944</c:v>
                </c:pt>
                <c:pt idx="3">
                  <c:v>1.006601157093501</c:v>
                </c:pt>
                <c:pt idx="4">
                  <c:v>0.98277405817461239</c:v>
                </c:pt>
                <c:pt idx="5">
                  <c:v>0.9724669433880887</c:v>
                </c:pt>
                <c:pt idx="6">
                  <c:v>1.0105933261650819</c:v>
                </c:pt>
                <c:pt idx="7">
                  <c:v>1.003673824382133</c:v>
                </c:pt>
                <c:pt idx="8">
                  <c:v>1.0005515815670307</c:v>
                </c:pt>
                <c:pt idx="9">
                  <c:v>1.0134862948001775</c:v>
                </c:pt>
              </c:numCache>
            </c:numRef>
          </c:val>
          <c:smooth val="0"/>
        </c:ser>
        <c:dLbls>
          <c:showLegendKey val="0"/>
          <c:showVal val="0"/>
          <c:showCatName val="0"/>
          <c:showSerName val="0"/>
          <c:showPercent val="0"/>
          <c:showBubbleSize val="0"/>
        </c:dLbls>
        <c:marker val="1"/>
        <c:smooth val="0"/>
        <c:axId val="242516144"/>
        <c:axId val="242515752"/>
      </c:lineChart>
      <c:catAx>
        <c:axId val="241674784"/>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241675176"/>
        <c:crosses val="autoZero"/>
        <c:auto val="1"/>
        <c:lblAlgn val="ctr"/>
        <c:lblOffset val="100"/>
        <c:noMultiLvlLbl val="0"/>
      </c:catAx>
      <c:valAx>
        <c:axId val="241675176"/>
        <c:scaling>
          <c:orientation val="minMax"/>
        </c:scaling>
        <c:delete val="0"/>
        <c:axPos val="l"/>
        <c:numFmt formatCode="#,##0" sourceLinked="1"/>
        <c:majorTickMark val="none"/>
        <c:minorTickMark val="none"/>
        <c:tickLblPos val="nextTo"/>
        <c:txPr>
          <a:bodyPr/>
          <a:lstStyle/>
          <a:p>
            <a:pPr>
              <a:defRPr sz="1400"/>
            </a:pPr>
            <a:endParaRPr lang="es-ES"/>
          </a:p>
        </c:txPr>
        <c:crossAx val="241674784"/>
        <c:crosses val="autoZero"/>
        <c:crossBetween val="between"/>
        <c:dispUnits>
          <c:builtInUnit val="thousands"/>
          <c:dispUnitsLbl>
            <c:layout>
              <c:manualLayout>
                <c:xMode val="edge"/>
                <c:yMode val="edge"/>
                <c:x val="8.6522244969275998E-3"/>
                <c:y val="0.40151563600845874"/>
              </c:manualLayout>
            </c:layout>
            <c:txPr>
              <a:bodyPr rot="-5400000" vert="horz"/>
              <a:lstStyle/>
              <a:p>
                <a:pPr>
                  <a:defRPr sz="1800" b="1"/>
                </a:pPr>
                <a:endParaRPr lang="es-ES"/>
              </a:p>
            </c:txPr>
          </c:dispUnitsLbl>
        </c:dispUnits>
      </c:valAx>
      <c:valAx>
        <c:axId val="242515752"/>
        <c:scaling>
          <c:orientation val="minMax"/>
          <c:max val="2"/>
        </c:scaling>
        <c:delete val="0"/>
        <c:axPos val="r"/>
        <c:numFmt formatCode="0.0%" sourceLinked="1"/>
        <c:majorTickMark val="out"/>
        <c:minorTickMark val="none"/>
        <c:tickLblPos val="nextTo"/>
        <c:txPr>
          <a:bodyPr/>
          <a:lstStyle/>
          <a:p>
            <a:pPr>
              <a:defRPr sz="1400"/>
            </a:pPr>
            <a:endParaRPr lang="es-ES"/>
          </a:p>
        </c:txPr>
        <c:crossAx val="242516144"/>
        <c:crosses val="max"/>
        <c:crossBetween val="between"/>
      </c:valAx>
      <c:catAx>
        <c:axId val="242516144"/>
        <c:scaling>
          <c:orientation val="minMax"/>
        </c:scaling>
        <c:delete val="1"/>
        <c:axPos val="b"/>
        <c:numFmt formatCode="General" sourceLinked="1"/>
        <c:majorTickMark val="out"/>
        <c:minorTickMark val="none"/>
        <c:tickLblPos val="nextTo"/>
        <c:crossAx val="242515752"/>
        <c:crosses val="autoZero"/>
        <c:auto val="1"/>
        <c:lblAlgn val="ctr"/>
        <c:lblOffset val="100"/>
        <c:noMultiLvlLbl val="0"/>
      </c:catAx>
    </c:plotArea>
    <c:legend>
      <c:legendPos val="t"/>
      <c:layout>
        <c:manualLayout>
          <c:xMode val="edge"/>
          <c:yMode val="edge"/>
          <c:x val="8.6074629315923495E-2"/>
          <c:y val="7.2783015951884827E-2"/>
          <c:w val="0.82959994277777116"/>
          <c:h val="5.484616178027595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Comparativo Afiliación al SRL en relación a la Población Ocupada en el Sector Formal </a:t>
            </a:r>
          </a:p>
        </c:rich>
      </c:tx>
      <c:layout>
        <c:manualLayout>
          <c:xMode val="edge"/>
          <c:yMode val="edge"/>
          <c:x val="0.22862023471317258"/>
          <c:y val="2.2427604074406939E-2"/>
        </c:manualLayout>
      </c:layout>
      <c:overlay val="1"/>
    </c:title>
    <c:autoTitleDeleted val="0"/>
    <c:plotArea>
      <c:layout>
        <c:manualLayout>
          <c:layoutTarget val="inner"/>
          <c:xMode val="edge"/>
          <c:yMode val="edge"/>
          <c:x val="9.7731807957647729E-2"/>
          <c:y val="0.26583462202627084"/>
          <c:w val="0.83290730411453084"/>
          <c:h val="0.56251922172002744"/>
        </c:manualLayout>
      </c:layout>
      <c:barChart>
        <c:barDir val="col"/>
        <c:grouping val="clustered"/>
        <c:varyColors val="0"/>
        <c:ser>
          <c:idx val="0"/>
          <c:order val="0"/>
          <c:tx>
            <c:strRef>
              <c:f>'VI.1.1 Afil. SRL'!$B$3</c:f>
              <c:strCache>
                <c:ptCount val="1"/>
                <c:pt idx="0">
                  <c:v>Ocupada Sector Formal</c:v>
                </c:pt>
              </c:strCache>
            </c:strRef>
          </c:tx>
          <c:invertIfNegative val="0"/>
          <c:dLbls>
            <c:dLbl>
              <c:idx val="4"/>
              <c:spPr/>
              <c:txPr>
                <a:bodyPr/>
                <a:lstStyle/>
                <a:p>
                  <a:pPr>
                    <a:defRPr sz="1400" b="0"/>
                  </a:pPr>
                  <a:endParaRPr lang="es-ES"/>
                </a:p>
              </c:txPr>
              <c:dLblPos val="outEnd"/>
              <c:showLegendKey val="0"/>
              <c:showVal val="1"/>
              <c:showCatName val="0"/>
              <c:showSerName val="0"/>
              <c:showPercent val="0"/>
              <c:showBubbleSize val="0"/>
            </c:dLbl>
            <c:dLbl>
              <c:idx val="5"/>
              <c:spPr/>
              <c:txPr>
                <a:bodyPr/>
                <a:lstStyle/>
                <a:p>
                  <a:pPr>
                    <a:defRPr sz="1400" b="1"/>
                  </a:pPr>
                  <a:endParaRPr lang="es-ES"/>
                </a:p>
              </c:txPr>
              <c:dLblPos val="outEnd"/>
              <c:showLegendKey val="0"/>
              <c:showVal val="1"/>
              <c:showCatName val="0"/>
              <c:showSerName val="0"/>
              <c:showPercent val="0"/>
              <c:showBubbleSize val="0"/>
            </c:dLbl>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'VI.1.1 Afil. SRL'!$A$4:$A$10</c:f>
              <c:strCache>
                <c:ptCount val="7"/>
                <c:pt idx="0">
                  <c:v> 2008</c:v>
                </c:pt>
                <c:pt idx="1">
                  <c:v> 2009</c:v>
                </c:pt>
                <c:pt idx="2">
                  <c:v> 2010</c:v>
                </c:pt>
                <c:pt idx="3">
                  <c:v> 2011</c:v>
                </c:pt>
                <c:pt idx="4">
                  <c:v> 2012</c:v>
                </c:pt>
                <c:pt idx="5">
                  <c:v>2013</c:v>
                </c:pt>
                <c:pt idx="6">
                  <c:v>2014</c:v>
                </c:pt>
              </c:strCache>
            </c:strRef>
          </c:cat>
          <c:val>
            <c:numRef>
              <c:f>'VI.1.1 Afil. SRL'!$B$4:$B$10</c:f>
              <c:numCache>
                <c:formatCode>#,##0_);[Red]\(#,##0\)</c:formatCode>
                <c:ptCount val="7"/>
                <c:pt idx="0">
                  <c:v>1566047</c:v>
                </c:pt>
                <c:pt idx="1">
                  <c:v>1560994</c:v>
                </c:pt>
                <c:pt idx="2">
                  <c:v>1631129</c:v>
                </c:pt>
                <c:pt idx="3">
                  <c:v>1686216</c:v>
                </c:pt>
                <c:pt idx="4">
                  <c:v>1716228</c:v>
                </c:pt>
                <c:pt idx="5">
                  <c:v>1769801</c:v>
                </c:pt>
                <c:pt idx="6">
                  <c:v>1865496</c:v>
                </c:pt>
              </c:numCache>
            </c:numRef>
          </c:val>
        </c:ser>
        <c:ser>
          <c:idx val="1"/>
          <c:order val="1"/>
          <c:tx>
            <c:strRef>
              <c:f>'VI.1.1 Afil. SRL'!$D$3</c:f>
              <c:strCache>
                <c:ptCount val="1"/>
                <c:pt idx="0">
                  <c:v>Afiliados  SRL</c:v>
                </c:pt>
              </c:strCache>
            </c:strRef>
          </c:tx>
          <c:spPr>
            <a:solidFill>
              <a:schemeClr val="accent5">
                <a:lumMod val="50000"/>
              </a:schemeClr>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'VI.1.1 Afil. SRL'!$A$4:$A$10</c:f>
              <c:strCache>
                <c:ptCount val="7"/>
                <c:pt idx="0">
                  <c:v> 2008</c:v>
                </c:pt>
                <c:pt idx="1">
                  <c:v> 2009</c:v>
                </c:pt>
                <c:pt idx="2">
                  <c:v> 2010</c:v>
                </c:pt>
                <c:pt idx="3">
                  <c:v> 2011</c:v>
                </c:pt>
                <c:pt idx="4">
                  <c:v> 2012</c:v>
                </c:pt>
                <c:pt idx="5">
                  <c:v>2013</c:v>
                </c:pt>
                <c:pt idx="6">
                  <c:v>2014</c:v>
                </c:pt>
              </c:strCache>
            </c:strRef>
          </c:cat>
          <c:val>
            <c:numRef>
              <c:f>'VI.1.1 Afil. SRL'!$D$4:$D$10</c:f>
              <c:numCache>
                <c:formatCode>#,##0_);[Red]\(#,##0\)</c:formatCode>
                <c:ptCount val="7"/>
                <c:pt idx="0">
                  <c:v>1188229</c:v>
                </c:pt>
                <c:pt idx="1">
                  <c:v>1227725</c:v>
                </c:pt>
                <c:pt idx="2">
                  <c:v>1299087</c:v>
                </c:pt>
                <c:pt idx="3">
                  <c:v>1367790</c:v>
                </c:pt>
                <c:pt idx="4">
                  <c:v>1430273</c:v>
                </c:pt>
                <c:pt idx="5">
                  <c:v>1530322</c:v>
                </c:pt>
                <c:pt idx="6">
                  <c:v>1651202</c:v>
                </c:pt>
              </c:numCache>
            </c:numRef>
          </c:val>
        </c:ser>
        <c:dLbls>
          <c:showLegendKey val="0"/>
          <c:showVal val="0"/>
          <c:showCatName val="0"/>
          <c:showSerName val="0"/>
          <c:showPercent val="0"/>
          <c:showBubbleSize val="0"/>
        </c:dLbls>
        <c:gapWidth val="65"/>
        <c:axId val="286249928"/>
        <c:axId val="286250320"/>
      </c:barChart>
      <c:lineChart>
        <c:grouping val="standard"/>
        <c:varyColors val="0"/>
        <c:ser>
          <c:idx val="2"/>
          <c:order val="2"/>
          <c:tx>
            <c:strRef>
              <c:f>'VI.1.1 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21528560906699E-3"/>
                  <c:y val="-4.4124055432471192E-4"/>
                </c:manualLayout>
              </c:layout>
              <c:spPr/>
              <c:txPr>
                <a:bodyPr/>
                <a:lstStyle/>
                <a:p>
                  <a:pPr>
                    <a:defRPr sz="16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'VI.1.1 Afil. SRL'!$A$4:$A$10</c:f>
              <c:strCache>
                <c:ptCount val="7"/>
                <c:pt idx="0">
                  <c:v> 2008</c:v>
                </c:pt>
                <c:pt idx="1">
                  <c:v> 2009</c:v>
                </c:pt>
                <c:pt idx="2">
                  <c:v> 2010</c:v>
                </c:pt>
                <c:pt idx="3">
                  <c:v> 2011</c:v>
                </c:pt>
                <c:pt idx="4">
                  <c:v> 2012</c:v>
                </c:pt>
                <c:pt idx="5">
                  <c:v>2013</c:v>
                </c:pt>
                <c:pt idx="6">
                  <c:v>2014</c:v>
                </c:pt>
              </c:strCache>
            </c:strRef>
          </c:cat>
          <c:val>
            <c:numRef>
              <c:f>'VI.1.1 Afil. SRL'!$F$4:$F$10</c:f>
              <c:numCache>
                <c:formatCode>0.0%</c:formatCode>
                <c:ptCount val="7"/>
                <c:pt idx="0">
                  <c:v>0.75874415007978691</c:v>
                </c:pt>
                <c:pt idx="1">
                  <c:v>0.78650206214758034</c:v>
                </c:pt>
                <c:pt idx="2">
                  <c:v>0.79643424891593495</c:v>
                </c:pt>
                <c:pt idx="3">
                  <c:v>0.81115942441537736</c:v>
                </c:pt>
                <c:pt idx="4">
                  <c:v>0.83338169520599825</c:v>
                </c:pt>
                <c:pt idx="5">
                  <c:v>0.864685916665207</c:v>
                </c:pt>
                <c:pt idx="6">
                  <c:v>0.88512760145291114</c:v>
                </c:pt>
              </c:numCache>
            </c:numRef>
          </c:val>
          <c:smooth val="0"/>
        </c:ser>
        <c:dLbls>
          <c:showLegendKey val="0"/>
          <c:showVal val="0"/>
          <c:showCatName val="0"/>
          <c:showSerName val="0"/>
          <c:showPercent val="0"/>
          <c:showBubbleSize val="0"/>
        </c:dLbls>
        <c:marker val="1"/>
        <c:smooth val="0"/>
        <c:axId val="286251104"/>
        <c:axId val="286250712"/>
      </c:lineChart>
      <c:catAx>
        <c:axId val="286249928"/>
        <c:scaling>
          <c:orientation val="minMax"/>
        </c:scaling>
        <c:delete val="0"/>
        <c:axPos val="b"/>
        <c:numFmt formatCode="General" sourceLinked="1"/>
        <c:majorTickMark val="none"/>
        <c:minorTickMark val="none"/>
        <c:tickLblPos val="nextTo"/>
        <c:txPr>
          <a:bodyPr/>
          <a:lstStyle/>
          <a:p>
            <a:pPr>
              <a:defRPr sz="1600"/>
            </a:pPr>
            <a:endParaRPr lang="es-ES"/>
          </a:p>
        </c:txPr>
        <c:crossAx val="286250320"/>
        <c:crosses val="autoZero"/>
        <c:auto val="1"/>
        <c:lblAlgn val="ctr"/>
        <c:lblOffset val="100"/>
        <c:noMultiLvlLbl val="0"/>
      </c:catAx>
      <c:valAx>
        <c:axId val="28625032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286249928"/>
        <c:crosses val="autoZero"/>
        <c:crossBetween val="between"/>
        <c:majorUnit val="200000"/>
        <c:minorUnit val="40000"/>
        <c:dispUnits>
          <c:builtInUnit val="thousands"/>
          <c:dispUnitsLbl>
            <c:layout>
              <c:manualLayout>
                <c:xMode val="edge"/>
                <c:yMode val="edge"/>
                <c:x val="1.5328544572216475E-2"/>
                <c:y val="0.42319594934009097"/>
              </c:manualLayout>
            </c:layout>
            <c:txPr>
              <a:bodyPr/>
              <a:lstStyle/>
              <a:p>
                <a:pPr>
                  <a:defRPr sz="1800" b="0"/>
                </a:pPr>
                <a:endParaRPr lang="es-ES"/>
              </a:p>
            </c:txPr>
          </c:dispUnitsLbl>
        </c:dispUnits>
      </c:valAx>
      <c:valAx>
        <c:axId val="28625071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286251104"/>
        <c:crosses val="max"/>
        <c:crossBetween val="between"/>
      </c:valAx>
      <c:catAx>
        <c:axId val="286251104"/>
        <c:scaling>
          <c:orientation val="minMax"/>
        </c:scaling>
        <c:delete val="1"/>
        <c:axPos val="b"/>
        <c:numFmt formatCode="General" sourceLinked="1"/>
        <c:majorTickMark val="out"/>
        <c:minorTickMark val="none"/>
        <c:tickLblPos val="nextTo"/>
        <c:crossAx val="286250712"/>
        <c:crosses val="autoZero"/>
        <c:auto val="1"/>
        <c:lblAlgn val="ctr"/>
        <c:lblOffset val="100"/>
        <c:noMultiLvlLbl val="0"/>
      </c:catAx>
    </c:plotArea>
    <c:legend>
      <c:legendPos val="b"/>
      <c:layout>
        <c:manualLayout>
          <c:xMode val="edge"/>
          <c:yMode val="edge"/>
          <c:x val="0.20583547275163272"/>
          <c:y val="0.15311560309199362"/>
          <c:w val="0.64828017393348214"/>
          <c:h val="5.229927961041249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7.16234957149611E-2"/>
          <c:y val="0.22230578548184121"/>
          <c:w val="0.86970929032322986"/>
          <c:h val="0.70226497712611569"/>
        </c:manualLayout>
      </c:layout>
      <c:barChart>
        <c:barDir val="bar"/>
        <c:grouping val="stacked"/>
        <c:varyColors val="0"/>
        <c:ser>
          <c:idx val="0"/>
          <c:order val="0"/>
          <c:tx>
            <c:strRef>
              <c:f>'VI.1.2 Afil. SRL x sexoy edad'!$BN$5</c:f>
              <c:strCache>
                <c:ptCount val="1"/>
                <c:pt idx="0">
                  <c:v>Hombres</c:v>
                </c:pt>
              </c:strCache>
            </c:strRef>
          </c:tx>
          <c:spPr>
            <a:solidFill>
              <a:schemeClr val="accent5">
                <a:lumMod val="50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6096750697347018"/>
                  <c:y val="-1.63905534754930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363219351622634"/>
                  <c:y val="-3.860857933278450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248044187632809"/>
                  <c:y val="-1.916360723200231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18951026181303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6000000000000009"/>
                  <c:y val="-3.832991432509692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545454545454545"/>
                  <c:y val="-3.83299143250962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636363636363636"/>
                  <c:y val="-7.6659828650193149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333333333333324E-2"/>
                  <c:y val="-7.66598286501917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7.3939393939393944E-2"/>
                  <c:y val="-9.582478581274056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5757575757575756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0.04"/>
                  <c:y val="-5.749487148764434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6363636363636362E-2"/>
                  <c:y val="-7.665982865019244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0303030303030304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9090909090909091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'VI.1.2 Afil. SRL x sexoy edad'!$BL$6:$BL$20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'VI.1.2 Afil. SRL x sexoy edad'!$BN$6:$BN$20</c:f>
              <c:numCache>
                <c:formatCode>#,##0</c:formatCode>
                <c:ptCount val="15"/>
                <c:pt idx="0">
                  <c:v>12403</c:v>
                </c:pt>
                <c:pt idx="1">
                  <c:v>117780</c:v>
                </c:pt>
                <c:pt idx="2">
                  <c:v>143221</c:v>
                </c:pt>
                <c:pt idx="3">
                  <c:v>134561</c:v>
                </c:pt>
                <c:pt idx="4">
                  <c:v>119986</c:v>
                </c:pt>
                <c:pt idx="5">
                  <c:v>102056</c:v>
                </c:pt>
                <c:pt idx="6">
                  <c:v>88228</c:v>
                </c:pt>
                <c:pt idx="7">
                  <c:v>71224</c:v>
                </c:pt>
                <c:pt idx="8">
                  <c:v>54042</c:v>
                </c:pt>
                <c:pt idx="9">
                  <c:v>35146</c:v>
                </c:pt>
                <c:pt idx="10">
                  <c:v>20585</c:v>
                </c:pt>
                <c:pt idx="11">
                  <c:v>10817</c:v>
                </c:pt>
                <c:pt idx="12">
                  <c:v>5770</c:v>
                </c:pt>
                <c:pt idx="13">
                  <c:v>2818</c:v>
                </c:pt>
                <c:pt idx="14">
                  <c:v>1730</c:v>
                </c:pt>
              </c:numCache>
            </c:numRef>
          </c:val>
        </c:ser>
        <c:ser>
          <c:idx val="1"/>
          <c:order val="1"/>
          <c:tx>
            <c:strRef>
              <c:f>'VI.1.2 Afil. SRL x sexoy edad'!$BM$5</c:f>
              <c:strCache>
                <c:ptCount val="1"/>
                <c:pt idx="0">
                  <c:v>Mujeres</c:v>
                </c:pt>
              </c:strCache>
            </c:strRef>
          </c:tx>
          <c:spPr>
            <a:solidFill>
              <a:srgbClr val="B81271"/>
            </a:solidFill>
          </c:spPr>
          <c:invertIfNegative val="0"/>
          <c:dLbls>
            <c:dLbl>
              <c:idx val="0"/>
              <c:layout>
                <c:manualLayout>
                  <c:x val="-3.7575757575757575E-2"/>
                  <c:y val="-3.83299143250962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2231052161571826"/>
                  <c:y val="-1.638915365027522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4225360071630927"/>
                  <c:y val="-7.38841748219317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5167169731453728"/>
                  <c:y val="-2.055083402286390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2986212944795567"/>
                  <c:y val="-3.971584108008274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1961590777325198"/>
                  <c:y val="1.390026441298539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2363636363636364"/>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006060606060606"/>
                  <c:y val="1.916646621429319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7.0303030303030298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4.9696969696969698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2.9090909090909091E-2"/>
                  <c:y val="-5.749487148764434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2.7878787878787878E-2"/>
                  <c:y val="3.83299143250962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3030303030303029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4242424242424242E-2"/>
                  <c:y val="1.91649571625477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1.818181818181818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'VI.1.2 Afil. SRL x sexoy edad'!$BL$6:$BL$20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'VI.1.2 Afil. SRL x sexoy edad'!$BM$6:$BM$20</c:f>
              <c:numCache>
                <c:formatCode>General</c:formatCode>
                <c:ptCount val="15"/>
                <c:pt idx="0">
                  <c:v>-8636</c:v>
                </c:pt>
                <c:pt idx="1">
                  <c:v>-86256</c:v>
                </c:pt>
                <c:pt idx="2">
                  <c:v>-112439</c:v>
                </c:pt>
                <c:pt idx="3">
                  <c:v>-113563</c:v>
                </c:pt>
                <c:pt idx="4">
                  <c:v>-104937</c:v>
                </c:pt>
                <c:pt idx="5">
                  <c:v>-89419</c:v>
                </c:pt>
                <c:pt idx="6">
                  <c:v>-76400</c:v>
                </c:pt>
                <c:pt idx="7">
                  <c:v>-57411</c:v>
                </c:pt>
                <c:pt idx="8">
                  <c:v>-38609</c:v>
                </c:pt>
                <c:pt idx="9">
                  <c:v>-22235</c:v>
                </c:pt>
                <c:pt idx="10">
                  <c:v>-11023</c:v>
                </c:pt>
                <c:pt idx="11">
                  <c:v>-5109</c:v>
                </c:pt>
                <c:pt idx="12">
                  <c:v>-2688</c:v>
                </c:pt>
                <c:pt idx="13">
                  <c:v>-1294</c:v>
                </c:pt>
                <c:pt idx="14">
                  <c:v>-816</c:v>
                </c:pt>
              </c:numCache>
            </c:numRef>
          </c:val>
        </c:ser>
        <c:dLbls>
          <c:showLegendKey val="0"/>
          <c:showVal val="0"/>
          <c:showCatName val="0"/>
          <c:showSerName val="0"/>
          <c:showPercent val="0"/>
          <c:showBubbleSize val="0"/>
        </c:dLbls>
        <c:gapWidth val="9"/>
        <c:overlap val="100"/>
        <c:axId val="286251888"/>
        <c:axId val="286252280"/>
      </c:barChart>
      <c:catAx>
        <c:axId val="286251888"/>
        <c:scaling>
          <c:orientation val="minMax"/>
        </c:scaling>
        <c:delete val="0"/>
        <c:axPos val="l"/>
        <c:numFmt formatCode="General" sourceLinked="1"/>
        <c:majorTickMark val="none"/>
        <c:minorTickMark val="none"/>
        <c:tickLblPos val="low"/>
        <c:crossAx val="286252280"/>
        <c:crosses val="autoZero"/>
        <c:auto val="1"/>
        <c:lblAlgn val="ctr"/>
        <c:lblOffset val="100"/>
        <c:noMultiLvlLbl val="0"/>
      </c:catAx>
      <c:valAx>
        <c:axId val="286252280"/>
        <c:scaling>
          <c:orientation val="minMax"/>
        </c:scaling>
        <c:delete val="0"/>
        <c:axPos val="b"/>
        <c:numFmt formatCode="#,##0" sourceLinked="1"/>
        <c:majorTickMark val="none"/>
        <c:minorTickMark val="none"/>
        <c:tickLblPos val="nextTo"/>
        <c:txPr>
          <a:bodyPr/>
          <a:lstStyle/>
          <a:p>
            <a:pPr>
              <a:defRPr sz="1100"/>
            </a:pPr>
            <a:endParaRPr lang="es-ES"/>
          </a:p>
        </c:txPr>
        <c:crossAx val="286251888"/>
        <c:crosses val="autoZero"/>
        <c:crossBetween val="between"/>
      </c:valAx>
    </c:plotArea>
    <c:legend>
      <c:legendPos val="t"/>
      <c:layout>
        <c:manualLayout>
          <c:xMode val="edge"/>
          <c:yMode val="edge"/>
          <c:x val="0.26596063514489487"/>
          <c:y val="0.14491586050905023"/>
          <c:w val="0.37171519095588029"/>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6927597489321702"/>
          <c:y val="4.262820082493429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868491162915495E-3"/>
          <c:y val="0.35994171613752113"/>
          <c:w val="0.97572837437873439"/>
          <c:h val="0.43819619246756564"/>
        </c:manualLayout>
      </c:layout>
      <c:bar3DChart>
        <c:barDir val="col"/>
        <c:grouping val="clustered"/>
        <c:varyColors val="0"/>
        <c:ser>
          <c:idx val="0"/>
          <c:order val="0"/>
          <c:tx>
            <c:strRef>
              <c:f>'VI.1.3 Afil. ARL x riesgo'!$B$5</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'VI.1.3 Afil. ARL x riesgo'!$A$6:$A$43</c:f>
              <c:strCache>
                <c:ptCount val="13"/>
                <c:pt idx="0">
                  <c:v>Dic.13</c:v>
                </c:pt>
                <c:pt idx="1">
                  <c:v>Ene. 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'VI.1.3 Afil. ARL x riesgo'!$B$6:$B$43</c:f>
              <c:numCache>
                <c:formatCode>#,##0</c:formatCode>
                <c:ptCount val="13"/>
                <c:pt idx="0">
                  <c:v>246592</c:v>
                </c:pt>
                <c:pt idx="1">
                  <c:v>256189</c:v>
                </c:pt>
                <c:pt idx="2">
                  <c:v>263872</c:v>
                </c:pt>
                <c:pt idx="3">
                  <c:v>270651</c:v>
                </c:pt>
                <c:pt idx="4">
                  <c:v>272029</c:v>
                </c:pt>
                <c:pt idx="5">
                  <c:v>272442</c:v>
                </c:pt>
                <c:pt idx="6">
                  <c:v>275990</c:v>
                </c:pt>
                <c:pt idx="7">
                  <c:v>274624</c:v>
                </c:pt>
                <c:pt idx="8">
                  <c:v>277391</c:v>
                </c:pt>
                <c:pt idx="9">
                  <c:v>276510</c:v>
                </c:pt>
                <c:pt idx="10">
                  <c:v>280712</c:v>
                </c:pt>
                <c:pt idx="11">
                  <c:v>280852</c:v>
                </c:pt>
                <c:pt idx="12">
                  <c:v>285703</c:v>
                </c:pt>
              </c:numCache>
            </c:numRef>
          </c:val>
        </c:ser>
        <c:ser>
          <c:idx val="1"/>
          <c:order val="1"/>
          <c:tx>
            <c:strRef>
              <c:f>'VI.1.3 Afil. ARL x riesgo'!$C$5</c:f>
              <c:strCache>
                <c:ptCount val="1"/>
                <c:pt idx="0">
                  <c:v>Tipo  II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'VI.1.3 Afil. ARL x riesgo'!$A$6:$A$43</c:f>
              <c:strCache>
                <c:ptCount val="13"/>
                <c:pt idx="0">
                  <c:v>Dic.13</c:v>
                </c:pt>
                <c:pt idx="1">
                  <c:v>Ene. 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'VI.1.3 Afil. ARL x riesgo'!$C$6:$C$43</c:f>
              <c:numCache>
                <c:formatCode>#,##0</c:formatCode>
                <c:ptCount val="13"/>
                <c:pt idx="0">
                  <c:v>563672</c:v>
                </c:pt>
                <c:pt idx="1">
                  <c:v>556755</c:v>
                </c:pt>
                <c:pt idx="2">
                  <c:v>558139</c:v>
                </c:pt>
                <c:pt idx="3">
                  <c:v>565760</c:v>
                </c:pt>
                <c:pt idx="4">
                  <c:v>572045</c:v>
                </c:pt>
                <c:pt idx="5">
                  <c:v>581637</c:v>
                </c:pt>
                <c:pt idx="6">
                  <c:v>577128</c:v>
                </c:pt>
                <c:pt idx="7">
                  <c:v>582358</c:v>
                </c:pt>
                <c:pt idx="8">
                  <c:v>585908</c:v>
                </c:pt>
                <c:pt idx="9">
                  <c:v>594455</c:v>
                </c:pt>
                <c:pt idx="10">
                  <c:v>608568</c:v>
                </c:pt>
                <c:pt idx="11">
                  <c:v>618171</c:v>
                </c:pt>
                <c:pt idx="12">
                  <c:v>624371</c:v>
                </c:pt>
              </c:numCache>
            </c:numRef>
          </c:val>
        </c:ser>
        <c:ser>
          <c:idx val="2"/>
          <c:order val="2"/>
          <c:tx>
            <c:strRef>
              <c:f>'VI.1.3 Afil. ARL x riesgo'!$D$5</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'VI.1.3 Afil. ARL x riesgo'!$A$6:$A$43</c:f>
              <c:strCache>
                <c:ptCount val="13"/>
                <c:pt idx="0">
                  <c:v>Dic.13</c:v>
                </c:pt>
                <c:pt idx="1">
                  <c:v>Ene. 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'VI.1.3 Afil. ARL x riesgo'!$D$6:$D$43</c:f>
              <c:numCache>
                <c:formatCode>#,##0</c:formatCode>
                <c:ptCount val="13"/>
                <c:pt idx="0">
                  <c:v>379418</c:v>
                </c:pt>
                <c:pt idx="1">
                  <c:v>377374</c:v>
                </c:pt>
                <c:pt idx="2">
                  <c:v>377875</c:v>
                </c:pt>
                <c:pt idx="3">
                  <c:v>377929</c:v>
                </c:pt>
                <c:pt idx="4">
                  <c:v>382588</c:v>
                </c:pt>
                <c:pt idx="5">
                  <c:v>387652</c:v>
                </c:pt>
                <c:pt idx="6">
                  <c:v>383655</c:v>
                </c:pt>
                <c:pt idx="7">
                  <c:v>387019</c:v>
                </c:pt>
                <c:pt idx="8">
                  <c:v>387179</c:v>
                </c:pt>
                <c:pt idx="9">
                  <c:v>389664</c:v>
                </c:pt>
                <c:pt idx="10">
                  <c:v>391615</c:v>
                </c:pt>
                <c:pt idx="11">
                  <c:v>393074</c:v>
                </c:pt>
                <c:pt idx="12">
                  <c:v>391447</c:v>
                </c:pt>
              </c:numCache>
            </c:numRef>
          </c:val>
        </c:ser>
        <c:ser>
          <c:idx val="3"/>
          <c:order val="3"/>
          <c:tx>
            <c:strRef>
              <c:f>'VI.1.3 Afil. ARL x riesgo'!$E$5</c:f>
              <c:strCache>
                <c:ptCount val="1"/>
                <c:pt idx="0">
                  <c:v>Tipo  IV  </c:v>
                </c:pt>
              </c:strCache>
            </c:strRef>
          </c:tx>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'VI.1.3 Afil. ARL x riesgo'!$A$6:$A$43</c:f>
              <c:strCache>
                <c:ptCount val="13"/>
                <c:pt idx="0">
                  <c:v>Dic.13</c:v>
                </c:pt>
                <c:pt idx="1">
                  <c:v>Ene. 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'VI.1.3 Afil. ARL x riesgo'!$E$6:$E$43</c:f>
              <c:numCache>
                <c:formatCode>#,##0</c:formatCode>
                <c:ptCount val="13"/>
                <c:pt idx="0">
                  <c:v>340640</c:v>
                </c:pt>
                <c:pt idx="1">
                  <c:v>340498</c:v>
                </c:pt>
                <c:pt idx="2">
                  <c:v>339204</c:v>
                </c:pt>
                <c:pt idx="3">
                  <c:v>341362</c:v>
                </c:pt>
                <c:pt idx="4">
                  <c:v>345238</c:v>
                </c:pt>
                <c:pt idx="5">
                  <c:v>349071</c:v>
                </c:pt>
                <c:pt idx="6">
                  <c:v>343083</c:v>
                </c:pt>
                <c:pt idx="7">
                  <c:v>346118</c:v>
                </c:pt>
                <c:pt idx="8">
                  <c:v>346360</c:v>
                </c:pt>
                <c:pt idx="9">
                  <c:v>345247</c:v>
                </c:pt>
                <c:pt idx="10">
                  <c:v>346177</c:v>
                </c:pt>
                <c:pt idx="11">
                  <c:v>349307</c:v>
                </c:pt>
                <c:pt idx="12">
                  <c:v>349681</c:v>
                </c:pt>
              </c:numCache>
            </c:numRef>
          </c:val>
        </c:ser>
        <c:dLbls>
          <c:showLegendKey val="0"/>
          <c:showVal val="0"/>
          <c:showCatName val="0"/>
          <c:showSerName val="0"/>
          <c:showPercent val="0"/>
          <c:showBubbleSize val="0"/>
        </c:dLbls>
        <c:gapWidth val="15"/>
        <c:shape val="cylinder"/>
        <c:axId val="286253064"/>
        <c:axId val="286253456"/>
        <c:axId val="0"/>
      </c:bar3DChart>
      <c:catAx>
        <c:axId val="28625306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286253456"/>
        <c:crosses val="autoZero"/>
        <c:auto val="1"/>
        <c:lblAlgn val="ctr"/>
        <c:lblOffset val="100"/>
        <c:noMultiLvlLbl val="1"/>
      </c:catAx>
      <c:valAx>
        <c:axId val="286253456"/>
        <c:scaling>
          <c:orientation val="minMax"/>
        </c:scaling>
        <c:delete val="1"/>
        <c:axPos val="l"/>
        <c:numFmt formatCode="#,##0" sourceLinked="1"/>
        <c:majorTickMark val="out"/>
        <c:minorTickMark val="none"/>
        <c:tickLblPos val="nextTo"/>
        <c:crossAx val="286253064"/>
        <c:crosses val="autoZero"/>
        <c:crossBetween val="between"/>
      </c:valAx>
      <c:spPr>
        <a:noFill/>
        <a:ln w="25400">
          <a:noFill/>
        </a:ln>
      </c:spPr>
    </c:plotArea>
    <c:legend>
      <c:legendPos val="b"/>
      <c:layout>
        <c:manualLayout>
          <c:xMode val="edge"/>
          <c:yMode val="edge"/>
          <c:x val="0.18214713232965807"/>
          <c:y val="0.1303741035358264"/>
          <c:w val="0.64918814863748553"/>
          <c:h val="5.7439288851961277E-2"/>
        </c:manualLayout>
      </c:layout>
      <c:overlay val="0"/>
      <c:txPr>
        <a:bodyPr/>
        <a:lstStyle/>
        <a:p>
          <a:pPr>
            <a:defRPr sz="14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Dispersión Anual al SRL por Cuentas</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948723007530224E-2"/>
          <c:y val="0.30520526979785551"/>
          <c:w val="0.90899180555319592"/>
          <c:h val="0.55591067481494605"/>
        </c:manualLayout>
      </c:layout>
      <c:bar3DChart>
        <c:barDir val="col"/>
        <c:grouping val="clustered"/>
        <c:varyColors val="0"/>
        <c:ser>
          <c:idx val="0"/>
          <c:order val="0"/>
          <c:tx>
            <c:strRef>
              <c:f>'VI.2.1 Disp. anual ARL'!$B$4</c:f>
              <c:strCache>
                <c:ptCount val="1"/>
                <c:pt idx="0">
                  <c:v> ARL Salud Segura</c:v>
                </c:pt>
              </c:strCache>
            </c:strRef>
          </c:tx>
          <c:spPr>
            <a:solidFill>
              <a:schemeClr val="accent5">
                <a:lumMod val="50000"/>
              </a:schemeClr>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2817880387578081E-3"/>
                  <c:y val="-7.155470067348730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'VI.2.1 Disp. anual ARL'!$A$5:$A$15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'VI.2.1 Disp. anual ARL'!$B$5:$B$15</c:f>
              <c:numCache>
                <c:formatCode>_(* #,##0.00_);_(* \(#,##0.00\);_(* "-"??_);_(@_)</c:formatCode>
                <c:ptCount val="10"/>
                <c:pt idx="0">
                  <c:v>1182369144.5599999</c:v>
                </c:pt>
                <c:pt idx="1">
                  <c:v>1292735922.04</c:v>
                </c:pt>
                <c:pt idx="2">
                  <c:v>1635826212.6800001</c:v>
                </c:pt>
                <c:pt idx="3">
                  <c:v>1581393650.8599999</c:v>
                </c:pt>
                <c:pt idx="4">
                  <c:v>1687099942.1400001</c:v>
                </c:pt>
                <c:pt idx="5">
                  <c:v>1922473271.8800001</c:v>
                </c:pt>
                <c:pt idx="6">
                  <c:v>2175109581.8400002</c:v>
                </c:pt>
                <c:pt idx="7">
                  <c:v>2411674911.5</c:v>
                </c:pt>
                <c:pt idx="8">
                  <c:v>2663186569.8200002</c:v>
                </c:pt>
                <c:pt idx="9">
                  <c:v>3005088863.5</c:v>
                </c:pt>
              </c:numCache>
            </c:numRef>
          </c:val>
        </c:ser>
        <c:ser>
          <c:idx val="1"/>
          <c:order val="1"/>
          <c:tx>
            <c:strRef>
              <c:f>'VI.2.1 Disp. anual ARL'!$D$4</c:f>
              <c:strCache>
                <c:ptCount val="1"/>
                <c:pt idx="0">
                  <c:v>SISALRIL</c:v>
                </c:pt>
              </c:strCache>
            </c:strRef>
          </c:tx>
          <c:invertIfNegative val="0"/>
          <c:dLbls>
            <c:dLbl>
              <c:idx val="6"/>
              <c:spPr/>
              <c:txPr>
                <a:bodyPr rot="-5400000" vert="horz"/>
                <a:lstStyle/>
                <a:p>
                  <a:pPr>
                    <a:defRPr lang="en-US" sz="1400" b="0">
                      <a:solidFill>
                        <a:srgbClr val="C00000"/>
                      </a:solidFill>
                    </a:defRPr>
                  </a:pPr>
                  <a:endParaRPr lang="es-ES"/>
                </a:p>
              </c:txPr>
              <c:showLegendKey val="0"/>
              <c:showVal val="1"/>
              <c:showCatName val="0"/>
              <c:showSerName val="0"/>
              <c:showPercent val="0"/>
              <c:showBubbleSize val="0"/>
            </c:dLbl>
            <c:dLbl>
              <c:idx val="7"/>
              <c:spPr/>
              <c:txPr>
                <a:bodyPr rot="-5400000" vert="horz"/>
                <a:lstStyle/>
                <a:p>
                  <a:pPr>
                    <a:defRPr lang="en-US" sz="1400" b="0">
                      <a:solidFill>
                        <a:srgbClr val="C00000"/>
                      </a:solidFill>
                    </a:defRPr>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rgbClr val="C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'VI.2.1 Disp. anual ARL'!$A$5:$A$15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'VI.2.1 Disp. anual ARL'!$D$5:$D$15</c:f>
              <c:numCache>
                <c:formatCode>_(* #,##0.00_);_(* \(#,##0.00\);_(* "-"??_);_(@_)</c:formatCode>
                <c:ptCount val="10"/>
                <c:pt idx="0">
                  <c:v>45221952.840000004</c:v>
                </c:pt>
                <c:pt idx="1">
                  <c:v>53017895.640000001</c:v>
                </c:pt>
                <c:pt idx="2">
                  <c:v>70883463.600000009</c:v>
                </c:pt>
                <c:pt idx="3">
                  <c:v>68964104.809999987</c:v>
                </c:pt>
                <c:pt idx="4">
                  <c:v>73407508.640000001</c:v>
                </c:pt>
                <c:pt idx="5">
                  <c:v>83809689.36999999</c:v>
                </c:pt>
                <c:pt idx="6">
                  <c:v>94554070.570000008</c:v>
                </c:pt>
                <c:pt idx="7">
                  <c:v>104789518.09</c:v>
                </c:pt>
                <c:pt idx="8">
                  <c:v>115834844.37</c:v>
                </c:pt>
                <c:pt idx="9">
                  <c:v>131454109.09999999</c:v>
                </c:pt>
              </c:numCache>
            </c:numRef>
          </c:val>
        </c:ser>
        <c:ser>
          <c:idx val="2"/>
          <c:order val="2"/>
          <c:tx>
            <c:strRef>
              <c:f>'VI.2.1 Disp. anual ARL'!$F$4</c:f>
              <c:strCache>
                <c:ptCount val="1"/>
                <c:pt idx="0">
                  <c:v>FSS (SRL)</c:v>
                </c:pt>
              </c:strCache>
            </c:strRef>
          </c:tx>
          <c:invertIfNegative val="0"/>
          <c:dLbls>
            <c:dLbl>
              <c:idx val="6"/>
              <c:layout>
                <c:manualLayout>
                  <c:x val="4.4139104561802525E-3"/>
                  <c:y val="-3.7079364986678208E-2"/>
                </c:manualLayout>
              </c:layout>
              <c:spPr/>
              <c:txPr>
                <a:bodyPr rot="-5400000" vert="horz"/>
                <a:lstStyle/>
                <a:p>
                  <a:pPr>
                    <a:defRPr lang="en-US" sz="1400" b="0">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chemeClr val="accent3">
                          <a:lumMod val="50000"/>
                        </a:schemeClr>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'VI.2.1 Disp. anual ARL'!$A$5:$A$15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'VI.2.1 Disp. anual ARL'!$F$5:$F$15</c:f>
              <c:numCache>
                <c:formatCode>_(* #,##0.00_);_(* \(#,##0.00\);_(* "-"??_);_(@_)</c:formatCode>
                <c:ptCount val="10"/>
                <c:pt idx="0">
                  <c:v>28812917.210000001</c:v>
                </c:pt>
                <c:pt idx="1">
                  <c:v>32700711.139999997</c:v>
                </c:pt>
                <c:pt idx="2">
                  <c:v>22880747.219999999</c:v>
                </c:pt>
                <c:pt idx="3">
                  <c:v>16186878.83</c:v>
                </c:pt>
                <c:pt idx="4">
                  <c:v>11097268.350000001</c:v>
                </c:pt>
                <c:pt idx="5">
                  <c:v>10909170.590000002</c:v>
                </c:pt>
                <c:pt idx="6">
                  <c:v>17436831.43</c:v>
                </c:pt>
                <c:pt idx="7">
                  <c:v>16509152.34</c:v>
                </c:pt>
                <c:pt idx="8">
                  <c:v>19107235.449999999</c:v>
                </c:pt>
                <c:pt idx="9">
                  <c:v>21081739.100000001</c:v>
                </c:pt>
              </c:numCache>
            </c:numRef>
          </c:val>
        </c:ser>
        <c:dLbls>
          <c:showLegendKey val="0"/>
          <c:showVal val="0"/>
          <c:showCatName val="0"/>
          <c:showSerName val="0"/>
          <c:showPercent val="0"/>
          <c:showBubbleSize val="0"/>
        </c:dLbls>
        <c:gapWidth val="75"/>
        <c:shape val="cylinder"/>
        <c:axId val="286254240"/>
        <c:axId val="286254632"/>
        <c:axId val="0"/>
      </c:bar3DChart>
      <c:catAx>
        <c:axId val="286254240"/>
        <c:scaling>
          <c:orientation val="minMax"/>
        </c:scaling>
        <c:delete val="0"/>
        <c:axPos val="b"/>
        <c:numFmt formatCode="General" sourceLinked="1"/>
        <c:majorTickMark val="none"/>
        <c:minorTickMark val="none"/>
        <c:tickLblPos val="nextTo"/>
        <c:txPr>
          <a:bodyPr/>
          <a:lstStyle/>
          <a:p>
            <a:pPr>
              <a:defRPr lang="en-US" sz="1200"/>
            </a:pPr>
            <a:endParaRPr lang="es-ES"/>
          </a:p>
        </c:txPr>
        <c:crossAx val="286254632"/>
        <c:crosses val="autoZero"/>
        <c:auto val="1"/>
        <c:lblAlgn val="ctr"/>
        <c:lblOffset val="100"/>
        <c:noMultiLvlLbl val="0"/>
      </c:catAx>
      <c:valAx>
        <c:axId val="28625463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286254240"/>
        <c:crosses val="autoZero"/>
        <c:crossBetween val="between"/>
        <c:dispUnits>
          <c:builtInUnit val="millions"/>
          <c:dispUnitsLbl>
            <c:layout>
              <c:manualLayout>
                <c:xMode val="edge"/>
                <c:yMode val="edge"/>
                <c:x val="7.3162637836794026E-3"/>
                <c:y val="0.51177308870247251"/>
              </c:manualLayout>
            </c:layout>
            <c:txPr>
              <a:bodyPr/>
              <a:lstStyle/>
              <a:p>
                <a:pPr>
                  <a:defRPr lang="en-US" sz="1400" b="1"/>
                </a:pPr>
                <a:endParaRPr lang="es-ES"/>
              </a:p>
            </c:txPr>
          </c:dispUnitsLbl>
        </c:dispUnits>
      </c:valAx>
      <c:spPr>
        <a:noFill/>
        <a:ln w="25400">
          <a:noFill/>
        </a:ln>
      </c:spPr>
    </c:plotArea>
    <c:legend>
      <c:legendPos val="b"/>
      <c:layout>
        <c:manualLayout>
          <c:xMode val="edge"/>
          <c:yMode val="edge"/>
          <c:x val="0.29280957707359767"/>
          <c:y val="0.1870491274519544"/>
          <c:w val="0.48952824824583169"/>
          <c:h val="5.5355676269802222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Dispersión Mensual por Cuentas al Seguro de Riesgos laborales</a:t>
            </a:r>
          </a:p>
        </c:rich>
      </c:tx>
      <c:layout>
        <c:manualLayout>
          <c:xMode val="edge"/>
          <c:yMode val="edge"/>
          <c:x val="0.20446291435792749"/>
          <c:y val="1.684359387347903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1365898707106051E-2"/>
          <c:y val="0.28970943569034391"/>
          <c:w val="0.911169825993973"/>
          <c:h val="0.55988712329037049"/>
        </c:manualLayout>
      </c:layout>
      <c:bar3DChart>
        <c:barDir val="col"/>
        <c:grouping val="clustered"/>
        <c:varyColors val="0"/>
        <c:ser>
          <c:idx val="0"/>
          <c:order val="0"/>
          <c:tx>
            <c:strRef>
              <c:f>'VI.2.2 Disp. mensual a ARL'!$B$4</c:f>
              <c:strCache>
                <c:ptCount val="1"/>
                <c:pt idx="0">
                  <c:v> ARL Salud Segura</c:v>
                </c:pt>
              </c:strCache>
            </c:strRef>
          </c:tx>
          <c:spPr>
            <a:solidFill>
              <a:schemeClr val="accent5">
                <a:lumMod val="50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'VI.2.2 Disp. mensual a ARL'!$A$5:$A$42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'VI.2.2 Disp. mensual a ARL'!$B$5:$B$42</c:f>
              <c:numCache>
                <c:formatCode>_(* #,##0.00_);_(* \(#,##0.00\);_(* "-"??_);_(@_)</c:formatCode>
                <c:ptCount val="13"/>
                <c:pt idx="0">
                  <c:v>246416399.62</c:v>
                </c:pt>
                <c:pt idx="1">
                  <c:v>234573171.84</c:v>
                </c:pt>
                <c:pt idx="2">
                  <c:v>232651592.21000001</c:v>
                </c:pt>
                <c:pt idx="3">
                  <c:v>239434115.91</c:v>
                </c:pt>
                <c:pt idx="4">
                  <c:v>255854609.08000001</c:v>
                </c:pt>
                <c:pt idx="5">
                  <c:v>246457707.78999999</c:v>
                </c:pt>
                <c:pt idx="6">
                  <c:v>248201728.63</c:v>
                </c:pt>
                <c:pt idx="7">
                  <c:v>261292751.96000001</c:v>
                </c:pt>
                <c:pt idx="8">
                  <c:v>245391197.81999999</c:v>
                </c:pt>
                <c:pt idx="9">
                  <c:v>261220667.27000001</c:v>
                </c:pt>
                <c:pt idx="10">
                  <c:v>258895516.99000001</c:v>
                </c:pt>
                <c:pt idx="11">
                  <c:v>260633723.61000001</c:v>
                </c:pt>
                <c:pt idx="12">
                  <c:v>260482080.38999999</c:v>
                </c:pt>
              </c:numCache>
            </c:numRef>
          </c:val>
        </c:ser>
        <c:ser>
          <c:idx val="1"/>
          <c:order val="1"/>
          <c:tx>
            <c:strRef>
              <c:f>'VI.2.2 Disp. mensual a ARL'!$D$4</c:f>
              <c:strCache>
                <c:ptCount val="1"/>
                <c:pt idx="0">
                  <c:v>SISALRIL</c:v>
                </c:pt>
              </c:strCache>
            </c:strRef>
          </c:tx>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'VI.2.2 Disp. mensual a ARL'!$A$5:$A$42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'VI.2.2 Disp. mensual a ARL'!$D$5:$D$42</c:f>
              <c:numCache>
                <c:formatCode>_(* #,##0.00_);_(* \(#,##0.00\);_(* "-"??_);_(@_)</c:formatCode>
                <c:ptCount val="13"/>
                <c:pt idx="0">
                  <c:v>10681568.18</c:v>
                </c:pt>
                <c:pt idx="1">
                  <c:v>10307327.189999999</c:v>
                </c:pt>
                <c:pt idx="2">
                  <c:v>10306691.65</c:v>
                </c:pt>
                <c:pt idx="3">
                  <c:v>10665164.949999999</c:v>
                </c:pt>
                <c:pt idx="4">
                  <c:v>10742172.02</c:v>
                </c:pt>
                <c:pt idx="5">
                  <c:v>10778791.35</c:v>
                </c:pt>
                <c:pt idx="6">
                  <c:v>11065464.439999999</c:v>
                </c:pt>
                <c:pt idx="7">
                  <c:v>11037504.050000001</c:v>
                </c:pt>
                <c:pt idx="8">
                  <c:v>10992035.460000001</c:v>
                </c:pt>
                <c:pt idx="9">
                  <c:v>11145078.220000001</c:v>
                </c:pt>
                <c:pt idx="10">
                  <c:v>11376463.4</c:v>
                </c:pt>
                <c:pt idx="11">
                  <c:v>11231487.220000001</c:v>
                </c:pt>
                <c:pt idx="12">
                  <c:v>11805929.15</c:v>
                </c:pt>
              </c:numCache>
            </c:numRef>
          </c:val>
        </c:ser>
        <c:ser>
          <c:idx val="2"/>
          <c:order val="2"/>
          <c:tx>
            <c:strRef>
              <c:f>'VI.2.2 Disp. mensual a ARL'!$F$4</c:f>
              <c:strCache>
                <c:ptCount val="1"/>
                <c:pt idx="0">
                  <c:v>FSS (SRL)</c:v>
                </c:pt>
              </c:strCache>
            </c:strRef>
          </c:tx>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'VI.2.2 Disp. mensual a ARL'!$A$5:$A$42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'VI.2.2 Disp. mensual a ARL'!$F$5:$F$42</c:f>
              <c:numCache>
                <c:formatCode>_(* #,##0.00_);_(* \(#,##0.00\);_(* "-"??_);_(@_)</c:formatCode>
                <c:ptCount val="13"/>
                <c:pt idx="0">
                  <c:v>1526119.31</c:v>
                </c:pt>
                <c:pt idx="1">
                  <c:v>1098705.31</c:v>
                </c:pt>
                <c:pt idx="2">
                  <c:v>1128213.57</c:v>
                </c:pt>
                <c:pt idx="3">
                  <c:v>1917680.21</c:v>
                </c:pt>
                <c:pt idx="4">
                  <c:v>2515935.12</c:v>
                </c:pt>
                <c:pt idx="5">
                  <c:v>1461525.92</c:v>
                </c:pt>
                <c:pt idx="6">
                  <c:v>1918393.14</c:v>
                </c:pt>
                <c:pt idx="7">
                  <c:v>2834010.08</c:v>
                </c:pt>
                <c:pt idx="8">
                  <c:v>1279675.43</c:v>
                </c:pt>
                <c:pt idx="9">
                  <c:v>2278124.62</c:v>
                </c:pt>
                <c:pt idx="10">
                  <c:v>1920347.88</c:v>
                </c:pt>
                <c:pt idx="11">
                  <c:v>1417224.83</c:v>
                </c:pt>
                <c:pt idx="12">
                  <c:v>1311902.99</c:v>
                </c:pt>
              </c:numCache>
            </c:numRef>
          </c:val>
        </c:ser>
        <c:dLbls>
          <c:showLegendKey val="0"/>
          <c:showVal val="0"/>
          <c:showCatName val="0"/>
          <c:showSerName val="0"/>
          <c:showPercent val="0"/>
          <c:showBubbleSize val="0"/>
        </c:dLbls>
        <c:gapWidth val="75"/>
        <c:shape val="cylinder"/>
        <c:axId val="286255416"/>
        <c:axId val="286255808"/>
        <c:axId val="0"/>
      </c:bar3DChart>
      <c:catAx>
        <c:axId val="286255416"/>
        <c:scaling>
          <c:orientation val="minMax"/>
        </c:scaling>
        <c:delete val="0"/>
        <c:axPos val="b"/>
        <c:numFmt formatCode="mmm\-yy" sourceLinked="0"/>
        <c:majorTickMark val="none"/>
        <c:minorTickMark val="none"/>
        <c:tickLblPos val="nextTo"/>
        <c:txPr>
          <a:bodyPr/>
          <a:lstStyle/>
          <a:p>
            <a:pPr>
              <a:defRPr lang="en-US" sz="1100"/>
            </a:pPr>
            <a:endParaRPr lang="es-ES"/>
          </a:p>
        </c:txPr>
        <c:crossAx val="286255808"/>
        <c:crosses val="autoZero"/>
        <c:auto val="1"/>
        <c:lblAlgn val="ctr"/>
        <c:lblOffset val="100"/>
        <c:noMultiLvlLbl val="1"/>
      </c:catAx>
      <c:valAx>
        <c:axId val="28625580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286255416"/>
        <c:crosses val="autoZero"/>
        <c:crossBetween val="between"/>
        <c:dispUnits>
          <c:builtInUnit val="millions"/>
          <c:dispUnitsLbl>
            <c:layout>
              <c:manualLayout>
                <c:xMode val="edge"/>
                <c:yMode val="edge"/>
                <c:x val="7.515316929813786E-3"/>
                <c:y val="0.47637824775119186"/>
              </c:manualLayout>
            </c:layout>
            <c:txPr>
              <a:bodyPr/>
              <a:lstStyle/>
              <a:p>
                <a:pPr>
                  <a:defRPr lang="en-US" b="1"/>
                </a:pPr>
                <a:endParaRPr lang="es-ES"/>
              </a:p>
            </c:txPr>
          </c:dispUnitsLbl>
        </c:dispUnits>
      </c:valAx>
      <c:spPr>
        <a:noFill/>
        <a:ln w="25400">
          <a:noFill/>
        </a:ln>
      </c:spPr>
    </c:plotArea>
    <c:legend>
      <c:legendPos val="b"/>
      <c:layout>
        <c:manualLayout>
          <c:xMode val="edge"/>
          <c:yMode val="edge"/>
          <c:x val="0.21576679303975888"/>
          <c:y val="0.13620859227911636"/>
          <c:w val="0.4750085544862447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Reporte de Accidentes Laborales y Enfermedades Profesionales</a:t>
            </a:r>
          </a:p>
        </c:rich>
      </c:tx>
      <c:layout>
        <c:manualLayout>
          <c:xMode val="edge"/>
          <c:yMode val="edge"/>
          <c:x val="0.27658268668923869"/>
          <c:y val="2.3704662305776145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9611959337817777E-2"/>
          <c:y val="0.290615271308726"/>
          <c:w val="0.94875428834367792"/>
          <c:h val="0.5656795686498064"/>
        </c:manualLayout>
      </c:layout>
      <c:bar3DChart>
        <c:barDir val="col"/>
        <c:grouping val="clustered"/>
        <c:varyColors val="0"/>
        <c:ser>
          <c:idx val="0"/>
          <c:order val="0"/>
          <c:tx>
            <c:strRef>
              <c:f>'VI.3.1 NA. Reportes ARL'!$E$3</c:f>
              <c:strCache>
                <c:ptCount val="1"/>
                <c:pt idx="0">
                  <c:v>% Accidentes Laborales</c:v>
                </c:pt>
              </c:strCache>
            </c:strRef>
          </c:tx>
          <c:spPr>
            <a:solidFill>
              <a:schemeClr val="accent5">
                <a:lumMod val="50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9223990153043733E-3"/>
                  <c:y val="-6.988822653030431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4.0054872020741485E-3"/>
                  <c:y val="-1.3545391077838307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5.7367383661090163E-3"/>
                  <c:y val="-1.382771967836941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 NA. Reportes ARL'!$A$4:$A$14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'VI.3.1 NA. Reportes ARL'!$E$4:$E$14</c:f>
              <c:numCache>
                <c:formatCode>0.0%</c:formatCode>
                <c:ptCount val="10"/>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numCache>
            </c:numRef>
          </c:val>
        </c:ser>
        <c:ser>
          <c:idx val="1"/>
          <c:order val="1"/>
          <c:tx>
            <c:strRef>
              <c:f>'VI.3.1 NA. Reportes ARL'!$F$3</c:f>
              <c:strCache>
                <c:ptCount val="1"/>
                <c:pt idx="0">
                  <c:v>% Enfermedades Profesionales</c:v>
                </c:pt>
              </c:strCache>
            </c:strRef>
          </c:tx>
          <c:spPr>
            <a:solidFill>
              <a:schemeClr val="accent3">
                <a:lumMod val="50000"/>
              </a:schemeClr>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0123462046668348E-3"/>
                  <c:y val="-2.128561455088877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7.5598703035793906E-3"/>
                  <c:y val="-1.18523311528882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 NA. Reportes ARL'!$A$4:$A$14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'VI.3.1 NA. Reportes ARL'!$F$4:$F$14</c:f>
              <c:numCache>
                <c:formatCode>0.0%</c:formatCode>
                <c:ptCount val="10"/>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numCache>
            </c:numRef>
          </c:val>
        </c:ser>
        <c:dLbls>
          <c:showLegendKey val="0"/>
          <c:showVal val="0"/>
          <c:showCatName val="0"/>
          <c:showSerName val="0"/>
          <c:showPercent val="0"/>
          <c:showBubbleSize val="0"/>
        </c:dLbls>
        <c:gapWidth val="33"/>
        <c:gapDepth val="109"/>
        <c:shape val="cylinder"/>
        <c:axId val="286256592"/>
        <c:axId val="286256984"/>
        <c:axId val="0"/>
      </c:bar3DChart>
      <c:catAx>
        <c:axId val="286256592"/>
        <c:scaling>
          <c:orientation val="minMax"/>
        </c:scaling>
        <c:delete val="0"/>
        <c:axPos val="b"/>
        <c:numFmt formatCode="General" sourceLinked="1"/>
        <c:majorTickMark val="none"/>
        <c:minorTickMark val="none"/>
        <c:tickLblPos val="nextTo"/>
        <c:txPr>
          <a:bodyPr/>
          <a:lstStyle/>
          <a:p>
            <a:pPr>
              <a:defRPr sz="1400"/>
            </a:pPr>
            <a:endParaRPr lang="es-ES"/>
          </a:p>
        </c:txPr>
        <c:crossAx val="286256984"/>
        <c:crosses val="autoZero"/>
        <c:auto val="1"/>
        <c:lblAlgn val="ctr"/>
        <c:lblOffset val="100"/>
        <c:noMultiLvlLbl val="0"/>
      </c:catAx>
      <c:valAx>
        <c:axId val="286256984"/>
        <c:scaling>
          <c:orientation val="minMax"/>
        </c:scaling>
        <c:delete val="1"/>
        <c:axPos val="l"/>
        <c:numFmt formatCode="0.0%" sourceLinked="1"/>
        <c:majorTickMark val="out"/>
        <c:minorTickMark val="none"/>
        <c:tickLblPos val="nextTo"/>
        <c:crossAx val="286256592"/>
        <c:crosses val="autoZero"/>
        <c:crossBetween val="between"/>
      </c:valAx>
      <c:spPr>
        <a:noFill/>
        <a:ln w="25400">
          <a:noFill/>
        </a:ln>
      </c:spPr>
    </c:plotArea>
    <c:legend>
      <c:legendPos val="t"/>
      <c:layout>
        <c:manualLayout>
          <c:xMode val="edge"/>
          <c:yMode val="edge"/>
          <c:x val="0.21732451321102336"/>
          <c:y val="0.12574981159926366"/>
          <c:w val="0.55645139285037359"/>
          <c:h val="6.6130015044296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148516499947599"/>
          <c:y val="3.310656926441721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3509561413645255E-2"/>
          <c:y val="0.19277998729611437"/>
          <c:w val="0.95704890773773432"/>
          <c:h val="0.67685729156981611"/>
        </c:manualLayout>
      </c:layout>
      <c:bar3DChart>
        <c:barDir val="col"/>
        <c:grouping val="clustered"/>
        <c:varyColors val="0"/>
        <c:ser>
          <c:idx val="0"/>
          <c:order val="0"/>
          <c:tx>
            <c:strRef>
              <c:f>'VI.3.2 ID. Accidentabilidad'!$D$3</c:f>
              <c:strCache>
                <c:ptCount val="1"/>
                <c:pt idx="0">
                  <c:v>Accidentabilidad Afiliados (No. de accidentes por cada 100,000 afiliados)</c:v>
                </c:pt>
              </c:strCache>
            </c:strRef>
          </c:tx>
          <c:spPr>
            <a:solidFill>
              <a:schemeClr val="accent3">
                <a:lumMod val="75000"/>
              </a:schemeClr>
            </a:solidFill>
          </c:spPr>
          <c:invertIfNegative val="0"/>
          <c:dPt>
            <c:idx val="8"/>
            <c:invertIfNegative val="0"/>
            <c:bubble3D val="0"/>
          </c:dPt>
          <c:dPt>
            <c:idx val="9"/>
            <c:invertIfNegative val="0"/>
            <c:bubble3D val="0"/>
          </c:dPt>
          <c:dPt>
            <c:idx val="10"/>
            <c:invertIfNegative val="0"/>
            <c:bubble3D val="0"/>
            <c:spPr>
              <a:solidFill>
                <a:schemeClr val="accent3">
                  <a:lumMod val="50000"/>
                </a:schemeClr>
              </a:solidFill>
            </c:spPr>
          </c:dPt>
          <c:dLbls>
            <c:dLbl>
              <c:idx val="0"/>
              <c:layout>
                <c:manualLayout>
                  <c:x val="8.6646881663632082E-3"/>
                  <c:y val="-2.53712428494684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590174425555054E-2"/>
                  <c:y val="-2.07582896041106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8509725183836913E-3"/>
                  <c:y val="-2.3064766226789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 ID. Accidentabilidad'!$A$4:$A$14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'VI.3.2 ID. Accidentabilidad'!$D$4:$D$14</c:f>
              <c:numCache>
                <c:formatCode>_(* #,##0.0_);_(* \(#,##0.0\);_(* "-"??_);_(@_)</c:formatCode>
                <c:ptCount val="10"/>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numCache>
            </c:numRef>
          </c:val>
        </c:ser>
        <c:dLbls>
          <c:showLegendKey val="0"/>
          <c:showVal val="0"/>
          <c:showCatName val="0"/>
          <c:showSerName val="0"/>
          <c:showPercent val="0"/>
          <c:showBubbleSize val="0"/>
        </c:dLbls>
        <c:gapWidth val="61"/>
        <c:shape val="cylinder"/>
        <c:axId val="286257768"/>
        <c:axId val="286258160"/>
        <c:axId val="0"/>
      </c:bar3DChart>
      <c:catAx>
        <c:axId val="286257768"/>
        <c:scaling>
          <c:orientation val="minMax"/>
        </c:scaling>
        <c:delete val="0"/>
        <c:axPos val="b"/>
        <c:numFmt formatCode="General" sourceLinked="1"/>
        <c:majorTickMark val="none"/>
        <c:minorTickMark val="none"/>
        <c:tickLblPos val="nextTo"/>
        <c:txPr>
          <a:bodyPr/>
          <a:lstStyle/>
          <a:p>
            <a:pPr>
              <a:defRPr sz="1600"/>
            </a:pPr>
            <a:endParaRPr lang="es-ES"/>
          </a:p>
        </c:txPr>
        <c:crossAx val="286258160"/>
        <c:crosses val="autoZero"/>
        <c:auto val="1"/>
        <c:lblAlgn val="ctr"/>
        <c:lblOffset val="100"/>
        <c:noMultiLvlLbl val="0"/>
      </c:catAx>
      <c:valAx>
        <c:axId val="286258160"/>
        <c:scaling>
          <c:orientation val="minMax"/>
        </c:scaling>
        <c:delete val="1"/>
        <c:axPos val="l"/>
        <c:numFmt formatCode="_(* #,##0.0_);_(* \(#,##0.0\);_(* &quot;-&quot;??_);_(@_)" sourceLinked="1"/>
        <c:majorTickMark val="out"/>
        <c:minorTickMark val="none"/>
        <c:tickLblPos val="nextTo"/>
        <c:crossAx val="286257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Reporte de Accidentes Laborales y Enfermedades Profesionales por Región</a:t>
            </a:r>
          </a:p>
        </c:rich>
      </c:tx>
      <c:layout>
        <c:manualLayout>
          <c:xMode val="edge"/>
          <c:yMode val="edge"/>
          <c:x val="0.22510044362109538"/>
          <c:y val="1.5208335029801151E-2"/>
        </c:manualLayout>
      </c:layout>
      <c:overlay val="1"/>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705899823601644"/>
          <c:y val="0.18831164010037982"/>
          <c:w val="0.82101922358080037"/>
          <c:h val="0.74896655172199067"/>
        </c:manualLayout>
      </c:layout>
      <c:bar3DChart>
        <c:barDir val="bar"/>
        <c:grouping val="stacked"/>
        <c:varyColors val="0"/>
        <c:ser>
          <c:idx val="0"/>
          <c:order val="0"/>
          <c:tx>
            <c:strRef>
              <c:f>'VI.3.3 NA.Cant. accid x región'!$B$3</c:f>
              <c:strCache>
                <c:ptCount val="1"/>
                <c:pt idx="0">
                  <c:v>Región 0</c:v>
                </c:pt>
              </c:strCache>
            </c:strRef>
          </c:tx>
          <c:spPr>
            <a:solidFill>
              <a:schemeClr val="bg2">
                <a:lumMod val="50000"/>
              </a:schemeClr>
            </a:solidFill>
          </c:spPr>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región'!$B$4:$B$14</c:f>
              <c:numCache>
                <c:formatCode>_(* #,##0_);_(* \(#,##0\);_(* "-"??_);_(@_)</c:formatCode>
                <c:ptCount val="10"/>
                <c:pt idx="0">
                  <c:v>3726</c:v>
                </c:pt>
                <c:pt idx="1">
                  <c:v>5469</c:v>
                </c:pt>
                <c:pt idx="2">
                  <c:v>5248</c:v>
                </c:pt>
                <c:pt idx="3">
                  <c:v>5249</c:v>
                </c:pt>
                <c:pt idx="4">
                  <c:v>5951</c:v>
                </c:pt>
                <c:pt idx="5">
                  <c:v>6247</c:v>
                </c:pt>
                <c:pt idx="6">
                  <c:v>7512</c:v>
                </c:pt>
                <c:pt idx="7">
                  <c:v>8554</c:v>
                </c:pt>
                <c:pt idx="8">
                  <c:v>9093</c:v>
                </c:pt>
                <c:pt idx="9">
                  <c:v>10098</c:v>
                </c:pt>
              </c:numCache>
            </c:numRef>
          </c:val>
        </c:ser>
        <c:ser>
          <c:idx val="1"/>
          <c:order val="1"/>
          <c:tx>
            <c:strRef>
              <c:f>'VI.3.3 NA.Cant. accid x región'!$C$3</c:f>
              <c:strCache>
                <c:ptCount val="1"/>
                <c:pt idx="0">
                  <c:v>Región I</c:v>
                </c:pt>
              </c:strCache>
            </c:strRef>
          </c:tx>
          <c:spPr>
            <a:solidFill>
              <a:schemeClr val="accent2"/>
            </a:solidFill>
          </c:spPr>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región'!$C$4:$C$14</c:f>
              <c:numCache>
                <c:formatCode>_(* #,##0_);_(* \(#,##0\);_(* "-"??_);_(@_)</c:formatCode>
                <c:ptCount val="10"/>
                <c:pt idx="0">
                  <c:v>1</c:v>
                </c:pt>
                <c:pt idx="1">
                  <c:v>10</c:v>
                </c:pt>
                <c:pt idx="2">
                  <c:v>259</c:v>
                </c:pt>
                <c:pt idx="3">
                  <c:v>457</c:v>
                </c:pt>
                <c:pt idx="4">
                  <c:v>466</c:v>
                </c:pt>
                <c:pt idx="5">
                  <c:v>524</c:v>
                </c:pt>
                <c:pt idx="6">
                  <c:v>818</c:v>
                </c:pt>
                <c:pt idx="7">
                  <c:v>1073</c:v>
                </c:pt>
                <c:pt idx="8">
                  <c:v>1147</c:v>
                </c:pt>
                <c:pt idx="9">
                  <c:v>1346</c:v>
                </c:pt>
              </c:numCache>
            </c:numRef>
          </c:val>
        </c:ser>
        <c:ser>
          <c:idx val="2"/>
          <c:order val="2"/>
          <c:tx>
            <c:strRef>
              <c:f>'VI.3.3 NA.Cant. accid x región'!$D$3</c:f>
              <c:strCache>
                <c:ptCount val="1"/>
                <c:pt idx="0">
                  <c:v>Región II</c:v>
                </c:pt>
              </c:strCache>
            </c:strRef>
          </c:tx>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región'!$D$4:$D$14</c:f>
              <c:numCache>
                <c:formatCode>_(* #,##0_);_(* \(#,##0\);_(* "-"??_);_(@_)</c:formatCode>
                <c:ptCount val="10"/>
                <c:pt idx="0">
                  <c:v>1</c:v>
                </c:pt>
                <c:pt idx="1">
                  <c:v>17</c:v>
                </c:pt>
                <c:pt idx="2">
                  <c:v>1131</c:v>
                </c:pt>
                <c:pt idx="3">
                  <c:v>2480</c:v>
                </c:pt>
                <c:pt idx="4">
                  <c:v>3922</c:v>
                </c:pt>
                <c:pt idx="5">
                  <c:v>4790</c:v>
                </c:pt>
                <c:pt idx="6">
                  <c:v>6018</c:v>
                </c:pt>
                <c:pt idx="7">
                  <c:v>7266</c:v>
                </c:pt>
                <c:pt idx="8">
                  <c:v>8256</c:v>
                </c:pt>
                <c:pt idx="9">
                  <c:v>8494</c:v>
                </c:pt>
              </c:numCache>
            </c:numRef>
          </c:val>
        </c:ser>
        <c:ser>
          <c:idx val="3"/>
          <c:order val="3"/>
          <c:tx>
            <c:strRef>
              <c:f>'VI.3.3 NA.Cant. accid x región'!$E$3</c:f>
              <c:strCache>
                <c:ptCount val="1"/>
                <c:pt idx="0">
                  <c:v>Región III</c:v>
                </c:pt>
              </c:strCache>
            </c:strRef>
          </c:tx>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región'!$E$4:$E$14</c:f>
              <c:numCache>
                <c:formatCode>_(* #,##0_);_(* \(#,##0\);_(* "-"??_);_(@_)</c:formatCode>
                <c:ptCount val="10"/>
                <c:pt idx="0">
                  <c:v>0</c:v>
                </c:pt>
                <c:pt idx="1">
                  <c:v>2</c:v>
                </c:pt>
                <c:pt idx="2">
                  <c:v>112</c:v>
                </c:pt>
                <c:pt idx="3">
                  <c:v>167</c:v>
                </c:pt>
                <c:pt idx="4">
                  <c:v>308</c:v>
                </c:pt>
                <c:pt idx="5">
                  <c:v>428</c:v>
                </c:pt>
                <c:pt idx="6">
                  <c:v>681</c:v>
                </c:pt>
                <c:pt idx="7">
                  <c:v>925</c:v>
                </c:pt>
                <c:pt idx="8">
                  <c:v>933</c:v>
                </c:pt>
                <c:pt idx="9">
                  <c:v>1003</c:v>
                </c:pt>
              </c:numCache>
            </c:numRef>
          </c:val>
        </c:ser>
        <c:ser>
          <c:idx val="4"/>
          <c:order val="4"/>
          <c:tx>
            <c:strRef>
              <c:f>'VI.3.3 NA.Cant. accid x región'!$F$3</c:f>
              <c:strCache>
                <c:ptCount val="1"/>
                <c:pt idx="0">
                  <c:v>Región IV</c:v>
                </c:pt>
              </c:strCache>
            </c:strRef>
          </c:tx>
          <c:spPr>
            <a:solidFill>
              <a:srgbClr val="FFC000"/>
            </a:solidFill>
          </c:spPr>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región'!$F$4:$F$14</c:f>
              <c:numCache>
                <c:formatCode>_(* #,##0_);_(* \(#,##0\);_(* "-"??_);_(@_)</c:formatCode>
                <c:ptCount val="10"/>
                <c:pt idx="0">
                  <c:v>1</c:v>
                </c:pt>
                <c:pt idx="1">
                  <c:v>1</c:v>
                </c:pt>
                <c:pt idx="2">
                  <c:v>54</c:v>
                </c:pt>
                <c:pt idx="3">
                  <c:v>61</c:v>
                </c:pt>
                <c:pt idx="4">
                  <c:v>128</c:v>
                </c:pt>
                <c:pt idx="5">
                  <c:v>239</c:v>
                </c:pt>
                <c:pt idx="6">
                  <c:v>471</c:v>
                </c:pt>
                <c:pt idx="7">
                  <c:v>535</c:v>
                </c:pt>
                <c:pt idx="8">
                  <c:v>584</c:v>
                </c:pt>
                <c:pt idx="9">
                  <c:v>627</c:v>
                </c:pt>
              </c:numCache>
            </c:numRef>
          </c:val>
        </c:ser>
        <c:ser>
          <c:idx val="5"/>
          <c:order val="5"/>
          <c:tx>
            <c:strRef>
              <c:f>'VI.3.3 NA.Cant. accid x región'!$G$3</c:f>
              <c:strCache>
                <c:ptCount val="1"/>
                <c:pt idx="0">
                  <c:v>Región V</c:v>
                </c:pt>
              </c:strCache>
            </c:strRef>
          </c:tx>
          <c:spPr>
            <a:solidFill>
              <a:schemeClr val="accent5"/>
            </a:solidFill>
          </c:spPr>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región'!$G$4:$G$14</c:f>
              <c:numCache>
                <c:formatCode>_(* #,##0_);_(* \(#,##0\);_(* "-"??_);_(@_)</c:formatCode>
                <c:ptCount val="10"/>
                <c:pt idx="0">
                  <c:v>2</c:v>
                </c:pt>
                <c:pt idx="1">
                  <c:v>23</c:v>
                </c:pt>
                <c:pt idx="2">
                  <c:v>1402</c:v>
                </c:pt>
                <c:pt idx="3">
                  <c:v>2135</c:v>
                </c:pt>
                <c:pt idx="4">
                  <c:v>2899</c:v>
                </c:pt>
                <c:pt idx="5">
                  <c:v>3860</c:v>
                </c:pt>
                <c:pt idx="6">
                  <c:v>5158</c:v>
                </c:pt>
                <c:pt idx="7">
                  <c:v>5902</c:v>
                </c:pt>
                <c:pt idx="8">
                  <c:v>5913</c:v>
                </c:pt>
                <c:pt idx="9">
                  <c:v>6354</c:v>
                </c:pt>
              </c:numCache>
            </c:numRef>
          </c:val>
        </c:ser>
        <c:ser>
          <c:idx val="6"/>
          <c:order val="6"/>
          <c:tx>
            <c:strRef>
              <c:f>'VI.3.3 NA.Cant. accid x región'!$H$3</c:f>
              <c:strCache>
                <c:ptCount val="1"/>
                <c:pt idx="0">
                  <c:v>Región VI</c:v>
                </c:pt>
              </c:strCache>
            </c:strRef>
          </c:tx>
          <c:spPr>
            <a:solidFill>
              <a:srgbClr val="00FF99"/>
            </a:solidFill>
          </c:spPr>
          <c:invertIfNegative val="0"/>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región'!$H$4:$H$14</c:f>
              <c:numCache>
                <c:formatCode>_(* #,##0_);_(* \(#,##0\);_(* "-"??_);_(@_)</c:formatCode>
                <c:ptCount val="10"/>
                <c:pt idx="0">
                  <c:v>0</c:v>
                </c:pt>
                <c:pt idx="1">
                  <c:v>5</c:v>
                </c:pt>
                <c:pt idx="2">
                  <c:v>67</c:v>
                </c:pt>
                <c:pt idx="3">
                  <c:v>47</c:v>
                </c:pt>
                <c:pt idx="4">
                  <c:v>159</c:v>
                </c:pt>
                <c:pt idx="5">
                  <c:v>234</c:v>
                </c:pt>
                <c:pt idx="6">
                  <c:v>364</c:v>
                </c:pt>
                <c:pt idx="7">
                  <c:v>474</c:v>
                </c:pt>
                <c:pt idx="8">
                  <c:v>417</c:v>
                </c:pt>
                <c:pt idx="9">
                  <c:v>518</c:v>
                </c:pt>
              </c:numCache>
            </c:numRef>
          </c:val>
        </c:ser>
        <c:ser>
          <c:idx val="7"/>
          <c:order val="7"/>
          <c:tx>
            <c:strRef>
              <c:f>'VI.3.3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región'!$I$4:$I$14</c:f>
              <c:numCache>
                <c:formatCode>_(* #,##0_);_(* \(#,##0\);_(* "-"??_);_(@_)</c:formatCode>
                <c:ptCount val="10"/>
                <c:pt idx="0">
                  <c:v>0</c:v>
                </c:pt>
                <c:pt idx="1">
                  <c:v>8</c:v>
                </c:pt>
                <c:pt idx="2">
                  <c:v>271</c:v>
                </c:pt>
                <c:pt idx="3">
                  <c:v>381</c:v>
                </c:pt>
                <c:pt idx="4">
                  <c:v>850</c:v>
                </c:pt>
                <c:pt idx="5">
                  <c:v>1134</c:v>
                </c:pt>
                <c:pt idx="6">
                  <c:v>1575</c:v>
                </c:pt>
                <c:pt idx="7">
                  <c:v>1959</c:v>
                </c:pt>
                <c:pt idx="8">
                  <c:v>2292</c:v>
                </c:pt>
                <c:pt idx="9">
                  <c:v>2592</c:v>
                </c:pt>
              </c:numCache>
            </c:numRef>
          </c:val>
        </c:ser>
        <c:ser>
          <c:idx val="8"/>
          <c:order val="8"/>
          <c:tx>
            <c:strRef>
              <c:f>'VI.3.3 NA.Cant. accid x región'!$J$3</c:f>
              <c:strCache>
                <c:ptCount val="1"/>
                <c:pt idx="0">
                  <c:v>Región VIII</c:v>
                </c:pt>
              </c:strCache>
            </c:strRef>
          </c:tx>
          <c:invertIfNegative val="0"/>
          <c:dLbls>
            <c:dLbl>
              <c:idx val="0"/>
              <c:layout>
                <c:manualLayout>
                  <c:x val="2.6733416316933871E-2"/>
                  <c:y val="6.7004540263373288E-3"/>
                </c:manualLayout>
              </c:layout>
              <c:tx>
                <c:rich>
                  <a:bodyPr/>
                  <a:lstStyle/>
                  <a:p>
                    <a:r>
                      <a:rPr lang="en-US" sz="18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997049994503072E-2"/>
                  <c:y val="7.0107314208895724E-3"/>
                </c:manualLayout>
              </c:layout>
              <c:tx>
                <c:rich>
                  <a:bodyPr/>
                  <a:lstStyle/>
                  <a:p>
                    <a:r>
                      <a:rPr lang="en-US" sz="18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3.2489364419685404E-2"/>
                  <c:y val="-1.7700274628529877E-3"/>
                </c:manualLayout>
              </c:layout>
              <c:tx>
                <c:rich>
                  <a:bodyPr/>
                  <a:lstStyle/>
                  <a:p>
                    <a:r>
                      <a:rPr lang="en-US" sz="18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7266136266932093E-2"/>
                  <c:y val="-2.8014489656503416E-3"/>
                </c:manualLayout>
              </c:layout>
              <c:tx>
                <c:rich>
                  <a:bodyPr/>
                  <a:lstStyle/>
                  <a:p>
                    <a:r>
                      <a:rPr lang="en-US" sz="18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8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8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8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800" b="0"/>
                    </a:pPr>
                    <a:r>
                      <a:rPr lang="en-US" sz="18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3.0714512985270788E-2"/>
                  <c:y val="-1.9450714875033752E-3"/>
                </c:manualLayout>
              </c:layout>
              <c:tx>
                <c:rich>
                  <a:bodyPr/>
                  <a:lstStyle/>
                  <a:p>
                    <a:r>
                      <a:rPr lang="en-US"/>
                      <a:t>28,635</a:t>
                    </a:r>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3.6512011892051548E-2"/>
                  <c:y val="-4.459309329062384E-3"/>
                </c:manualLayout>
              </c:layout>
              <c:tx>
                <c:rich>
                  <a:bodyPr/>
                  <a:lstStyle/>
                  <a:p>
                    <a:r>
                      <a:rPr lang="en-US"/>
                      <a:t> 10,476   </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'VI.3.3 NA.Cant. accid x región'!$A$4:$A$14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'VI.3.3 NA.Cant. accid x región'!$J$4:$J$14</c:f>
            </c:numRef>
          </c:val>
        </c:ser>
        <c:dLbls>
          <c:showLegendKey val="0"/>
          <c:showVal val="0"/>
          <c:showCatName val="0"/>
          <c:showSerName val="0"/>
          <c:showPercent val="0"/>
          <c:showBubbleSize val="0"/>
        </c:dLbls>
        <c:gapWidth val="75"/>
        <c:shape val="box"/>
        <c:axId val="286258944"/>
        <c:axId val="286259336"/>
        <c:axId val="0"/>
      </c:bar3DChart>
      <c:catAx>
        <c:axId val="286258944"/>
        <c:scaling>
          <c:orientation val="minMax"/>
        </c:scaling>
        <c:delete val="0"/>
        <c:axPos val="l"/>
        <c:numFmt formatCode="General" sourceLinked="1"/>
        <c:majorTickMark val="none"/>
        <c:minorTickMark val="none"/>
        <c:tickLblPos val="nextTo"/>
        <c:txPr>
          <a:bodyPr/>
          <a:lstStyle/>
          <a:p>
            <a:pPr>
              <a:defRPr sz="1600"/>
            </a:pPr>
            <a:endParaRPr lang="es-ES"/>
          </a:p>
        </c:txPr>
        <c:crossAx val="286259336"/>
        <c:crosses val="autoZero"/>
        <c:auto val="1"/>
        <c:lblAlgn val="ctr"/>
        <c:lblOffset val="100"/>
        <c:noMultiLvlLbl val="0"/>
      </c:catAx>
      <c:valAx>
        <c:axId val="286259336"/>
        <c:scaling>
          <c:orientation val="minMax"/>
        </c:scaling>
        <c:delete val="1"/>
        <c:axPos val="b"/>
        <c:numFmt formatCode="_(* #,##0_);_(* \(#,##0\);_(* &quot;-&quot;??_);_(@_)" sourceLinked="1"/>
        <c:majorTickMark val="out"/>
        <c:minorTickMark val="none"/>
        <c:tickLblPos val="nextTo"/>
        <c:crossAx val="286258944"/>
        <c:crosses val="autoZero"/>
        <c:crossBetween val="between"/>
      </c:valAx>
      <c:spPr>
        <a:noFill/>
        <a:ln w="25400">
          <a:noFill/>
        </a:ln>
      </c:spPr>
    </c:plotArea>
    <c:legend>
      <c:legendPos val="t"/>
      <c:layout>
        <c:manualLayout>
          <c:xMode val="edge"/>
          <c:yMode val="edge"/>
          <c:x val="2.0762658403920102E-2"/>
          <c:y val="9.5066344265930788E-2"/>
          <c:w val="0.95164950689753947"/>
          <c:h val="3.628852438913986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9041468452737843E-2"/>
          <c:y val="0.22889044531565592"/>
          <c:w val="0.96453969127984873"/>
          <c:h val="0.48491744964297445"/>
        </c:manualLayout>
      </c:layout>
      <c:bar3DChart>
        <c:barDir val="col"/>
        <c:grouping val="clustered"/>
        <c:varyColors val="0"/>
        <c:ser>
          <c:idx val="0"/>
          <c:order val="0"/>
          <c:tx>
            <c:strRef>
              <c:f>'VI.3.4 NA.Cant. accid x Prov.)'!$N$3</c:f>
              <c:strCache>
                <c:ptCount val="1"/>
                <c:pt idx="0">
                  <c:v>% por Provincia</c:v>
                </c:pt>
              </c:strCache>
            </c:strRef>
          </c:tx>
          <c:invertIfNegative val="0"/>
          <c:dLbls>
            <c:dLbl>
              <c:idx val="0"/>
              <c:layout>
                <c:manualLayout>
                  <c:x val="5.8241250917452343E-4"/>
                  <c:y val="2.791961086657635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207677935417887E-2"/>
                  <c:y val="-1.9436798143799207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513493591248053E-3"/>
                  <c:y val="-1.2514250972810573E-2"/>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6.9432409189789388E-3"/>
                  <c:y val="-1.0011400778248459E-2"/>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9.9189155985398864E-4"/>
                  <c:y val="-1.75199513619348E-2"/>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3.9675662394163909E-3"/>
                  <c:y val="-1.2514250972810573E-2"/>
                </c:manualLayout>
              </c:layout>
              <c:showLegendKey val="0"/>
              <c:showVal val="1"/>
              <c:showCatName val="0"/>
              <c:showSerName val="0"/>
              <c:showPercent val="0"/>
              <c:showBubbleSize val="0"/>
              <c:extLst>
                <c:ext xmlns:c15="http://schemas.microsoft.com/office/drawing/2012/chart" uri="{CE6537A1-D6FC-4f65-9D91-7224C49458BB}"/>
              </c:extLst>
            </c:dLbl>
            <c:dLbl>
              <c:idx val="30"/>
              <c:layout>
                <c:manualLayout>
                  <c:x val="4.9593796975730443E-3"/>
                  <c:y val="-1.001140077824845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'VI.3.4 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'VI.3.4 NA.Cant. accid x Prov.)'!$N$4:$N$35</c:f>
              <c:numCache>
                <c:formatCode>0.0%</c:formatCode>
                <c:ptCount val="32"/>
                <c:pt idx="0">
                  <c:v>0.10311517677392011</c:v>
                </c:pt>
                <c:pt idx="1">
                  <c:v>4.768127715183838E-3</c:v>
                </c:pt>
                <c:pt idx="2">
                  <c:v>1.4304383145551513E-3</c:v>
                </c:pt>
                <c:pt idx="3">
                  <c:v>8.9475976877523879E-3</c:v>
                </c:pt>
                <c:pt idx="4">
                  <c:v>3.3965551748902155E-3</c:v>
                </c:pt>
                <c:pt idx="5">
                  <c:v>0.34682536879407577</c:v>
                </c:pt>
                <c:pt idx="6">
                  <c:v>1.2803305901882528E-2</c:v>
                </c:pt>
                <c:pt idx="7">
                  <c:v>1.2479544143444118E-3</c:v>
                </c:pt>
                <c:pt idx="8">
                  <c:v>2.072075254005816E-3</c:v>
                </c:pt>
                <c:pt idx="9">
                  <c:v>1.3180046857156312E-2</c:v>
                </c:pt>
                <c:pt idx="10">
                  <c:v>5.515723048305254E-3</c:v>
                </c:pt>
                <c:pt idx="11">
                  <c:v>1.4775309339643745E-3</c:v>
                </c:pt>
                <c:pt idx="12">
                  <c:v>6.05728817151132E-2</c:v>
                </c:pt>
                <c:pt idx="13">
                  <c:v>2.143302840862266E-2</c:v>
                </c:pt>
                <c:pt idx="14">
                  <c:v>6.775450617501972E-3</c:v>
                </c:pt>
                <c:pt idx="15">
                  <c:v>1.2232307891545698E-2</c:v>
                </c:pt>
                <c:pt idx="16">
                  <c:v>2.6607329966211045E-3</c:v>
                </c:pt>
                <c:pt idx="17">
                  <c:v>4.9918176573776471E-3</c:v>
                </c:pt>
                <c:pt idx="18">
                  <c:v>4.044078691767033E-3</c:v>
                </c:pt>
                <c:pt idx="19">
                  <c:v>7.299356008429579E-3</c:v>
                </c:pt>
                <c:pt idx="20">
                  <c:v>3.872779288665984E-2</c:v>
                </c:pt>
                <c:pt idx="21">
                  <c:v>3.714430355902471E-3</c:v>
                </c:pt>
                <c:pt idx="22">
                  <c:v>3.5496061879701905E-3</c:v>
                </c:pt>
                <c:pt idx="23">
                  <c:v>2.8561673671693804E-2</c:v>
                </c:pt>
                <c:pt idx="24">
                  <c:v>6.475235168768175E-5</c:v>
                </c:pt>
                <c:pt idx="25">
                  <c:v>6.622399604421997E-3</c:v>
                </c:pt>
                <c:pt idx="26">
                  <c:v>2.7631594438361648E-2</c:v>
                </c:pt>
                <c:pt idx="27">
                  <c:v>6.086721058642084E-3</c:v>
                </c:pt>
                <c:pt idx="28">
                  <c:v>0.19753587868941241</c:v>
                </c:pt>
                <c:pt idx="29">
                  <c:v>4.285428366239301E-3</c:v>
                </c:pt>
                <c:pt idx="30">
                  <c:v>4.5732820023781776E-2</c:v>
                </c:pt>
                <c:pt idx="31">
                  <c:v>1.2697347508211776E-2</c:v>
                </c:pt>
              </c:numCache>
            </c:numRef>
          </c:val>
        </c:ser>
        <c:dLbls>
          <c:showLegendKey val="0"/>
          <c:showVal val="0"/>
          <c:showCatName val="0"/>
          <c:showSerName val="0"/>
          <c:showPercent val="0"/>
          <c:showBubbleSize val="0"/>
        </c:dLbls>
        <c:gapWidth val="14"/>
        <c:shape val="cylinder"/>
        <c:axId val="286260512"/>
        <c:axId val="286260904"/>
        <c:axId val="0"/>
      </c:bar3DChart>
      <c:catAx>
        <c:axId val="286260512"/>
        <c:scaling>
          <c:orientation val="minMax"/>
        </c:scaling>
        <c:delete val="0"/>
        <c:axPos val="b"/>
        <c:numFmt formatCode="General" sourceLinked="1"/>
        <c:majorTickMark val="none"/>
        <c:minorTickMark val="none"/>
        <c:tickLblPos val="nextTo"/>
        <c:txPr>
          <a:bodyPr/>
          <a:lstStyle/>
          <a:p>
            <a:pPr>
              <a:defRPr sz="1100"/>
            </a:pPr>
            <a:endParaRPr lang="es-ES"/>
          </a:p>
        </c:txPr>
        <c:crossAx val="286260904"/>
        <c:crosses val="autoZero"/>
        <c:auto val="1"/>
        <c:lblAlgn val="ctr"/>
        <c:lblOffset val="100"/>
        <c:noMultiLvlLbl val="0"/>
      </c:catAx>
      <c:valAx>
        <c:axId val="286260904"/>
        <c:scaling>
          <c:orientation val="minMax"/>
        </c:scaling>
        <c:delete val="1"/>
        <c:axPos val="l"/>
        <c:numFmt formatCode="0.0%" sourceLinked="1"/>
        <c:majorTickMark val="out"/>
        <c:minorTickMark val="none"/>
        <c:tickLblPos val="nextTo"/>
        <c:crossAx val="28626051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Reporte de Accidentes Laborales y Enfermedades Profesionales por Zona de Procedencia</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1770244591657E-4"/>
          <c:y val="0.32481126414501788"/>
          <c:w val="0.98914845232854243"/>
          <c:h val="0.5611658946874184"/>
        </c:manualLayout>
      </c:layout>
      <c:bar3DChart>
        <c:barDir val="col"/>
        <c:grouping val="clustered"/>
        <c:varyColors val="0"/>
        <c:ser>
          <c:idx val="0"/>
          <c:order val="0"/>
          <c:tx>
            <c:strRef>
              <c:f>'VI.3.5 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'VI.3.5 NA.Cant. accid x Proced.'!$A$4:$A$14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'VI.3.5 NA.Cant. accid x Proced.'!$F$4:$F$14</c:f>
              <c:numCache>
                <c:formatCode>0.0%</c:formatCode>
                <c:ptCount val="10"/>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numCache>
            </c:numRef>
          </c:val>
        </c:ser>
        <c:ser>
          <c:idx val="1"/>
          <c:order val="1"/>
          <c:tx>
            <c:strRef>
              <c:f>'VI.3.5 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261717391033E-3"/>
                  <c:y val="-5.2656891466712321E-3"/>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'VI.3.5 NA.Cant. accid x Proced.'!$A$4:$A$14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'VI.3.5 NA.Cant. accid x Proced.'!$G$4:$G$14</c:f>
              <c:numCache>
                <c:formatCode>0.0%</c:formatCode>
                <c:ptCount val="10"/>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numCache>
            </c:numRef>
          </c:val>
        </c:ser>
        <c:ser>
          <c:idx val="2"/>
          <c:order val="2"/>
          <c:tx>
            <c:strRef>
              <c:f>'VI.3.5 NA.Cant. accid x Proced.'!$H$3</c:f>
              <c:strCache>
                <c:ptCount val="1"/>
                <c:pt idx="0">
                  <c:v>% No Especificado</c:v>
                </c:pt>
              </c:strCache>
            </c:strRef>
          </c:tx>
          <c:spPr>
            <a:solidFill>
              <a:srgbClr val="FFC000"/>
            </a:solidFill>
          </c:spPr>
          <c:invertIfNegative val="0"/>
          <c:dLbls>
            <c:dLbl>
              <c:idx val="0"/>
              <c:layout>
                <c:manualLayout>
                  <c:x val="1.1009367518416099E-2"/>
                  <c:y val="5.407144175391468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a:lstStyle/>
                <a:p>
                  <a:pPr>
                    <a:defRPr sz="1400" b="1">
                      <a:solidFill>
                        <a:schemeClr val="accent6">
                          <a:lumMod val="75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'VI.3.5 NA.Cant. accid x Proced.'!$A$4:$A$14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'VI.3.5 NA.Cant. accid x Proced.'!$H$4:$H$14</c:f>
              <c:numCache>
                <c:formatCode>0.0%</c:formatCode>
                <c:ptCount val="10"/>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numCache>
            </c:numRef>
          </c:val>
        </c:ser>
        <c:dLbls>
          <c:showLegendKey val="0"/>
          <c:showVal val="0"/>
          <c:showCatName val="0"/>
          <c:showSerName val="0"/>
          <c:showPercent val="0"/>
          <c:showBubbleSize val="0"/>
        </c:dLbls>
        <c:gapWidth val="75"/>
        <c:shape val="cylinder"/>
        <c:axId val="286261296"/>
        <c:axId val="286261688"/>
        <c:axId val="0"/>
      </c:bar3DChart>
      <c:catAx>
        <c:axId val="286261296"/>
        <c:scaling>
          <c:orientation val="minMax"/>
        </c:scaling>
        <c:delete val="0"/>
        <c:axPos val="b"/>
        <c:numFmt formatCode="General" sourceLinked="1"/>
        <c:majorTickMark val="none"/>
        <c:minorTickMark val="none"/>
        <c:tickLblPos val="nextTo"/>
        <c:txPr>
          <a:bodyPr/>
          <a:lstStyle/>
          <a:p>
            <a:pPr>
              <a:defRPr sz="1200"/>
            </a:pPr>
            <a:endParaRPr lang="es-ES"/>
          </a:p>
        </c:txPr>
        <c:crossAx val="286261688"/>
        <c:crosses val="autoZero"/>
        <c:auto val="1"/>
        <c:lblAlgn val="ctr"/>
        <c:lblOffset val="100"/>
        <c:noMultiLvlLbl val="0"/>
      </c:catAx>
      <c:valAx>
        <c:axId val="286261688"/>
        <c:scaling>
          <c:orientation val="minMax"/>
        </c:scaling>
        <c:delete val="1"/>
        <c:axPos val="l"/>
        <c:numFmt formatCode="0.0%" sourceLinked="1"/>
        <c:majorTickMark val="out"/>
        <c:minorTickMark val="none"/>
        <c:tickLblPos val="nextTo"/>
        <c:crossAx val="286261296"/>
        <c:crosses val="autoZero"/>
        <c:crossBetween val="between"/>
      </c:valAx>
      <c:spPr>
        <a:noFill/>
        <a:ln w="25400">
          <a:noFill/>
        </a:ln>
      </c:spPr>
    </c:plotArea>
    <c:legend>
      <c:legendPos val="t"/>
      <c:layout>
        <c:manualLayout>
          <c:xMode val="edge"/>
          <c:yMode val="edge"/>
          <c:x val="0.18845460141805179"/>
          <c:y val="0.15952720036592405"/>
          <c:w val="0.57855718530150779"/>
          <c:h val="4.2124248211707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3.5339326038590822E-2"/>
          <c:y val="0.13756647377671458"/>
          <c:w val="0.91294083295496919"/>
          <c:h val="0.76556082902774358"/>
        </c:manualLayout>
      </c:layout>
      <c:barChart>
        <c:barDir val="col"/>
        <c:grouping val="clustered"/>
        <c:varyColors val="0"/>
        <c:ser>
          <c:idx val="0"/>
          <c:order val="0"/>
          <c:tx>
            <c:strRef>
              <c:f>Hoja3!$H$3</c:f>
              <c:strCache>
                <c:ptCount val="1"/>
                <c:pt idx="0">
                  <c:v>Población pobre</c:v>
                </c:pt>
              </c:strCache>
            </c:strRef>
          </c:tx>
          <c:invertIfNegative val="0"/>
          <c:dLbls>
            <c:dLbl>
              <c:idx val="0"/>
              <c:layout>
                <c:manualLayout>
                  <c:x val="-2.5836760094696811E-3"/>
                  <c:y val="3.269638573871187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510280284090434E-3"/>
                  <c:y val="3.864118314575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377918962815403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2.82377876834329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Hoja3!$A$4:$A$14</c:f>
              <c:strCache>
                <c:ptCount val="10"/>
                <c:pt idx="0">
                  <c:v>Dic. 2003</c:v>
                </c:pt>
                <c:pt idx="1">
                  <c:v>Dic. 2004</c:v>
                </c:pt>
                <c:pt idx="2">
                  <c:v>Dic. 2005</c:v>
                </c:pt>
                <c:pt idx="3">
                  <c:v>Dic. 2006</c:v>
                </c:pt>
                <c:pt idx="4">
                  <c:v>Dic. 2007</c:v>
                </c:pt>
                <c:pt idx="5">
                  <c:v>Dic. 2008</c:v>
                </c:pt>
                <c:pt idx="6">
                  <c:v>Dic. 2009</c:v>
                </c:pt>
                <c:pt idx="7">
                  <c:v>Dic. 2010</c:v>
                </c:pt>
                <c:pt idx="8">
                  <c:v>Dic. 2011</c:v>
                </c:pt>
                <c:pt idx="9">
                  <c:v>Dic.  2012</c:v>
                </c:pt>
              </c:strCache>
            </c:strRef>
          </c:cat>
          <c:val>
            <c:numRef>
              <c:f>Hoja3!$H$4:$H$15</c:f>
              <c:numCache>
                <c:formatCode>#,##0</c:formatCode>
                <c:ptCount val="11"/>
                <c:pt idx="0">
                  <c:v>4316766.09</c:v>
                </c:pt>
                <c:pt idx="1">
                  <c:v>4370036.6519999998</c:v>
                </c:pt>
                <c:pt idx="2">
                  <c:v>4246294.8360000001</c:v>
                </c:pt>
                <c:pt idx="3">
                  <c:v>3974944.4539999999</c:v>
                </c:pt>
                <c:pt idx="4">
                  <c:v>3969371.9040000001</c:v>
                </c:pt>
                <c:pt idx="5">
                  <c:v>4073653.662</c:v>
                </c:pt>
                <c:pt idx="6">
                  <c:v>3927990.6239999998</c:v>
                </c:pt>
                <c:pt idx="7">
                  <c:v>3929236.8959999997</c:v>
                </c:pt>
                <c:pt idx="8">
                  <c:v>3901230.3119999999</c:v>
                </c:pt>
                <c:pt idx="9">
                  <c:v>3871934</c:v>
                </c:pt>
                <c:pt idx="10">
                  <c:v>3912297.2</c:v>
                </c:pt>
              </c:numCache>
            </c:numRef>
          </c:val>
        </c:ser>
        <c:ser>
          <c:idx val="2"/>
          <c:order val="2"/>
          <c:tx>
            <c:strRef>
              <c:f>Hoja3!$N$3</c:f>
              <c:strCache>
                <c:ptCount val="1"/>
                <c:pt idx="0">
                  <c:v>Población RC+ RET</c:v>
                </c:pt>
              </c:strCache>
            </c:strRef>
          </c:tx>
          <c:invertIfNegative val="0"/>
          <c:dLbls>
            <c:dLbl>
              <c:idx val="0"/>
              <c:layout>
                <c:manualLayout>
                  <c:x val="8.6122533648988584E-4"/>
                  <c:y val="-1.63481928693559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0285773554292557E-3"/>
                  <c:y val="1.4861993517596309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1673520189393623E-3"/>
                  <c:y val="-1.486199351759630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Hoja3!$A$4:$A$14</c:f>
              <c:strCache>
                <c:ptCount val="10"/>
                <c:pt idx="0">
                  <c:v>Dic. 2003</c:v>
                </c:pt>
                <c:pt idx="1">
                  <c:v>Dic. 2004</c:v>
                </c:pt>
                <c:pt idx="2">
                  <c:v>Dic. 2005</c:v>
                </c:pt>
                <c:pt idx="3">
                  <c:v>Dic. 2006</c:v>
                </c:pt>
                <c:pt idx="4">
                  <c:v>Dic. 2007</c:v>
                </c:pt>
                <c:pt idx="5">
                  <c:v>Dic. 2008</c:v>
                </c:pt>
                <c:pt idx="6">
                  <c:v>Dic. 2009</c:v>
                </c:pt>
                <c:pt idx="7">
                  <c:v>Dic. 2010</c:v>
                </c:pt>
                <c:pt idx="8">
                  <c:v>Dic. 2011</c:v>
                </c:pt>
                <c:pt idx="9">
                  <c:v>Dic.  2012</c:v>
                </c:pt>
              </c:strCache>
            </c:strRef>
          </c:cat>
          <c:val>
            <c:numRef>
              <c:f>Hoja3!$N$4:$N$15</c:f>
              <c:numCache>
                <c:formatCode>#,##0</c:formatCode>
                <c:ptCount val="11"/>
                <c:pt idx="0">
                  <c:v>4351438.91</c:v>
                </c:pt>
                <c:pt idx="1">
                  <c:v>4405137.3480000002</c:v>
                </c:pt>
                <c:pt idx="2">
                  <c:v>4637167.1639999999</c:v>
                </c:pt>
                <c:pt idx="3">
                  <c:v>5018142.5460000001</c:v>
                </c:pt>
                <c:pt idx="4">
                  <c:v>5134692.0959999999</c:v>
                </c:pt>
                <c:pt idx="5">
                  <c:v>5142757.3379999995</c:v>
                </c:pt>
                <c:pt idx="6">
                  <c:v>5380171.3760000002</c:v>
                </c:pt>
                <c:pt idx="7">
                  <c:v>5488939.1040000003</c:v>
                </c:pt>
                <c:pt idx="8">
                  <c:v>5630882.6880000001</c:v>
                </c:pt>
                <c:pt idx="9">
                  <c:v>5777198</c:v>
                </c:pt>
                <c:pt idx="10">
                  <c:v>5841172.7999999998</c:v>
                </c:pt>
              </c:numCache>
            </c:numRef>
          </c:val>
        </c:ser>
        <c:dLbls>
          <c:showLegendKey val="0"/>
          <c:showVal val="0"/>
          <c:showCatName val="0"/>
          <c:showSerName val="0"/>
          <c:showPercent val="0"/>
          <c:showBubbleSize val="0"/>
        </c:dLbls>
        <c:gapWidth val="50"/>
        <c:overlap val="-10"/>
        <c:axId val="242517712"/>
        <c:axId val="242517320"/>
      </c:barChart>
      <c:lineChart>
        <c:grouping val="standard"/>
        <c:varyColors val="0"/>
        <c:ser>
          <c:idx val="1"/>
          <c:order val="1"/>
          <c:tx>
            <c:strRef>
              <c:f>Hoja3!$I$3</c:f>
              <c:strCache>
                <c:ptCount val="1"/>
                <c:pt idx="0">
                  <c:v>% Población Pobre cubierta por el RS</c:v>
                </c:pt>
              </c:strCache>
            </c:strRef>
          </c:tx>
          <c:spPr>
            <a:ln w="44450">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marker>
            <c:symbol val="circle"/>
            <c:size val="9"/>
            <c:spPr>
              <a:blipFill>
                <a:blip xmlns:r="http://schemas.openxmlformats.org/officeDocument/2006/relationships" r:embed="rId1"/>
                <a:tile tx="0" ty="0" sx="100000" sy="100000" flip="none" algn="tl"/>
              </a:blipFill>
            </c:spPr>
          </c:marker>
          <c:dLbls>
            <c:dLbl>
              <c:idx val="3"/>
              <c:layout>
                <c:manualLayout>
                  <c:x val="-1.4122969349577548E-2"/>
                  <c:y val="4.37282077540172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7959181116658663E-2"/>
                  <c:y val="3.15026770185095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7951334152002636E-2"/>
                  <c:y val="2.98614869029983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9422039672055391E-2"/>
                  <c:y val="-6.067507372223598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800" b="1">
                      <a:solidFill>
                        <a:srgbClr val="002060"/>
                      </a:solidFill>
                    </a:defRPr>
                  </a:pPr>
                  <a:endParaRPr lang="es-ES"/>
                </a:p>
              </c:txPr>
              <c:dLblPos val="t"/>
              <c:showLegendKey val="0"/>
              <c:showVal val="1"/>
              <c:showCatName val="0"/>
              <c:showSerName val="0"/>
              <c:showPercent val="0"/>
              <c:showBubbleSize val="0"/>
            </c:dLbl>
            <c:spPr>
              <a:noFill/>
              <a:ln>
                <a:noFill/>
              </a:ln>
              <a:effectLst/>
            </c:spPr>
            <c:txPr>
              <a:bodyPr/>
              <a:lstStyle/>
              <a:p>
                <a:pPr>
                  <a:defRPr sz="1600" b="1">
                    <a:solidFill>
                      <a:srgbClr val="00206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Hoja3!$A$4:$A$14</c:f>
              <c:strCache>
                <c:ptCount val="10"/>
                <c:pt idx="0">
                  <c:v>Dic. 2003</c:v>
                </c:pt>
                <c:pt idx="1">
                  <c:v>Dic. 2004</c:v>
                </c:pt>
                <c:pt idx="2">
                  <c:v>Dic. 2005</c:v>
                </c:pt>
                <c:pt idx="3">
                  <c:v>Dic. 2006</c:v>
                </c:pt>
                <c:pt idx="4">
                  <c:v>Dic. 2007</c:v>
                </c:pt>
                <c:pt idx="5">
                  <c:v>Dic. 2008</c:v>
                </c:pt>
                <c:pt idx="6">
                  <c:v>Dic. 2009</c:v>
                </c:pt>
                <c:pt idx="7">
                  <c:v>Dic. 2010</c:v>
                </c:pt>
                <c:pt idx="8">
                  <c:v>Dic. 2011</c:v>
                </c:pt>
                <c:pt idx="9">
                  <c:v>Dic.  2012</c:v>
                </c:pt>
              </c:strCache>
            </c:strRef>
          </c:cat>
          <c:val>
            <c:numRef>
              <c:f>Hoja3!$I$4:$I$15</c:f>
              <c:numCache>
                <c:formatCode>0.00%</c:formatCode>
                <c:ptCount val="11"/>
                <c:pt idx="0">
                  <c:v>1.2324040471694865E-2</c:v>
                </c:pt>
                <c:pt idx="1">
                  <c:v>1.4808342618907629E-2</c:v>
                </c:pt>
                <c:pt idx="2">
                  <c:v>6.0803832510889735E-2</c:v>
                </c:pt>
                <c:pt idx="3">
                  <c:v>0.12928633492798991</c:v>
                </c:pt>
                <c:pt idx="4">
                  <c:v>0.24498258755247138</c:v>
                </c:pt>
                <c:pt idx="5">
                  <c:v>0.30505317906429325</c:v>
                </c:pt>
                <c:pt idx="6">
                  <c:v>0.3592554400150218</c:v>
                </c:pt>
                <c:pt idx="7">
                  <c:v>0.5149498626717568</c:v>
                </c:pt>
                <c:pt idx="8">
                  <c:v>0.51712481413735101</c:v>
                </c:pt>
                <c:pt idx="9">
                  <c:v>0.60313321456409119</c:v>
                </c:pt>
                <c:pt idx="10">
                  <c:v>0.70335990834234163</c:v>
                </c:pt>
              </c:numCache>
            </c:numRef>
          </c:val>
          <c:smooth val="0"/>
        </c:ser>
        <c:ser>
          <c:idx val="3"/>
          <c:order val="3"/>
          <c:tx>
            <c:strRef>
              <c:f>Hoja3!$O$3</c:f>
              <c:strCache>
                <c:ptCount val="1"/>
                <c:pt idx="0">
                  <c:v>% Población  Cubierta RC</c:v>
                </c:pt>
              </c:strCache>
            </c:strRef>
          </c:tx>
          <c:spPr>
            <a:ln w="34925">
              <a:gradFill>
                <a:gsLst>
                  <a:gs pos="0">
                    <a:srgbClr val="FFF200"/>
                  </a:gs>
                  <a:gs pos="45000">
                    <a:srgbClr val="FF7A00"/>
                  </a:gs>
                  <a:gs pos="70000">
                    <a:srgbClr val="FF0300"/>
                  </a:gs>
                  <a:gs pos="100000">
                    <a:srgbClr val="4D0808"/>
                  </a:gs>
                </a:gsLst>
                <a:lin ang="5400000" scaled="0"/>
              </a:gradFill>
              <a:prstDash val="sysDot"/>
            </a:ln>
          </c:spPr>
          <c:marker>
            <c:symbol val="circle"/>
            <c:size val="9"/>
            <c:spPr>
              <a:blipFill>
                <a:blip xmlns:r="http://schemas.openxmlformats.org/officeDocument/2006/relationships" r:embed="rId2"/>
                <a:tile tx="0" ty="0" sx="100000" sy="100000" flip="none" algn="tl"/>
              </a:blipFill>
            </c:spPr>
          </c:marker>
          <c:dLbls>
            <c:dLbl>
              <c:idx val="4"/>
              <c:layout>
                <c:manualLayout>
                  <c:x val="-2.3313855729525927E-2"/>
                  <c:y val="-2.96383353278363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273573320717399E-2"/>
                  <c:y val="-3.346180719485385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242597478568766E-2"/>
                  <c:y val="5.6946390340889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0973282801283681E-2"/>
                  <c:y val="3.0487917534724192E-2"/>
                </c:manualLayout>
              </c:layout>
              <c:spPr/>
              <c:txPr>
                <a:bodyPr/>
                <a:lstStyle/>
                <a:p>
                  <a:pPr>
                    <a:defRPr sz="1800" b="1">
                      <a:solidFill>
                        <a:srgbClr val="FF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Hoja3!$A$4:$A$14</c:f>
              <c:strCache>
                <c:ptCount val="10"/>
                <c:pt idx="0">
                  <c:v>Dic. 2003</c:v>
                </c:pt>
                <c:pt idx="1">
                  <c:v>Dic. 2004</c:v>
                </c:pt>
                <c:pt idx="2">
                  <c:v>Dic. 2005</c:v>
                </c:pt>
                <c:pt idx="3">
                  <c:v>Dic. 2006</c:v>
                </c:pt>
                <c:pt idx="4">
                  <c:v>Dic. 2007</c:v>
                </c:pt>
                <c:pt idx="5">
                  <c:v>Dic. 2008</c:v>
                </c:pt>
                <c:pt idx="6">
                  <c:v>Dic. 2009</c:v>
                </c:pt>
                <c:pt idx="7">
                  <c:v>Dic. 2010</c:v>
                </c:pt>
                <c:pt idx="8">
                  <c:v>Dic. 2011</c:v>
                </c:pt>
                <c:pt idx="9">
                  <c:v>Dic.  2012</c:v>
                </c:pt>
              </c:strCache>
            </c:strRef>
          </c:cat>
          <c:val>
            <c:numRef>
              <c:f>Hoja3!$O$4:$O$15</c:f>
              <c:numCache>
                <c:formatCode>0.00%</c:formatCode>
                <c:ptCount val="11"/>
                <c:pt idx="0">
                  <c:v>0.22671535103775592</c:v>
                </c:pt>
                <c:pt idx="1">
                  <c:v>0.27018499219788683</c:v>
                </c:pt>
                <c:pt idx="2">
                  <c:v>0.30827463178336267</c:v>
                </c:pt>
                <c:pt idx="3">
                  <c:v>0.31657550287532227</c:v>
                </c:pt>
                <c:pt idx="4">
                  <c:v>0.28768638360043935</c:v>
                </c:pt>
                <c:pt idx="5">
                  <c:v>0.32905674695087084</c:v>
                </c:pt>
                <c:pt idx="6">
                  <c:v>0.39223304473414972</c:v>
                </c:pt>
                <c:pt idx="7">
                  <c:v>0.43563755303050267</c:v>
                </c:pt>
                <c:pt idx="8">
                  <c:v>0.4523534126236089</c:v>
                </c:pt>
                <c:pt idx="9">
                  <c:v>0.47066311384861659</c:v>
                </c:pt>
                <c:pt idx="10">
                  <c:v>0.49417798425686021</c:v>
                </c:pt>
              </c:numCache>
            </c:numRef>
          </c:val>
          <c:smooth val="0"/>
        </c:ser>
        <c:dLbls>
          <c:showLegendKey val="0"/>
          <c:showVal val="0"/>
          <c:showCatName val="0"/>
          <c:showSerName val="0"/>
          <c:showPercent val="0"/>
          <c:showBubbleSize val="0"/>
        </c:dLbls>
        <c:marker val="1"/>
        <c:smooth val="0"/>
        <c:axId val="241668120"/>
        <c:axId val="242516928"/>
      </c:lineChart>
      <c:catAx>
        <c:axId val="241668120"/>
        <c:scaling>
          <c:orientation val="minMax"/>
        </c:scaling>
        <c:delete val="0"/>
        <c:axPos val="b"/>
        <c:numFmt formatCode="General" sourceLinked="0"/>
        <c:majorTickMark val="out"/>
        <c:minorTickMark val="none"/>
        <c:tickLblPos val="nextTo"/>
        <c:txPr>
          <a:bodyPr/>
          <a:lstStyle/>
          <a:p>
            <a:pPr>
              <a:defRPr sz="1200"/>
            </a:pPr>
            <a:endParaRPr lang="es-ES"/>
          </a:p>
        </c:txPr>
        <c:crossAx val="242516928"/>
        <c:crossesAt val="0"/>
        <c:auto val="1"/>
        <c:lblAlgn val="ctr"/>
        <c:lblOffset val="100"/>
        <c:noMultiLvlLbl val="0"/>
      </c:catAx>
      <c:valAx>
        <c:axId val="242516928"/>
        <c:scaling>
          <c:orientation val="minMax"/>
          <c:max val="0.9"/>
        </c:scaling>
        <c:delete val="0"/>
        <c:axPos val="l"/>
        <c:numFmt formatCode="0.00%" sourceLinked="1"/>
        <c:majorTickMark val="out"/>
        <c:minorTickMark val="none"/>
        <c:tickLblPos val="nextTo"/>
        <c:crossAx val="241668120"/>
        <c:crosses val="autoZero"/>
        <c:crossBetween val="between"/>
        <c:majorUnit val="0.1"/>
        <c:minorUnit val="2.0000000000000004E-2"/>
      </c:valAx>
      <c:valAx>
        <c:axId val="242517320"/>
        <c:scaling>
          <c:orientation val="minMax"/>
          <c:max val="7000000"/>
        </c:scaling>
        <c:delete val="0"/>
        <c:axPos val="r"/>
        <c:numFmt formatCode="#,##0" sourceLinked="1"/>
        <c:majorTickMark val="out"/>
        <c:minorTickMark val="none"/>
        <c:tickLblPos val="nextTo"/>
        <c:crossAx val="242517712"/>
        <c:crosses val="max"/>
        <c:crossBetween val="between"/>
      </c:valAx>
      <c:catAx>
        <c:axId val="242517712"/>
        <c:scaling>
          <c:orientation val="minMax"/>
        </c:scaling>
        <c:delete val="1"/>
        <c:axPos val="b"/>
        <c:numFmt formatCode="General" sourceLinked="1"/>
        <c:majorTickMark val="out"/>
        <c:minorTickMark val="none"/>
        <c:tickLblPos val="nextTo"/>
        <c:crossAx val="242517320"/>
        <c:crosses val="autoZero"/>
        <c:auto val="1"/>
        <c:lblAlgn val="ctr"/>
        <c:lblOffset val="100"/>
        <c:noMultiLvlLbl val="0"/>
      </c:catAx>
    </c:plotArea>
    <c:legend>
      <c:legendPos val="r"/>
      <c:layout>
        <c:manualLayout>
          <c:xMode val="edge"/>
          <c:yMode val="edge"/>
          <c:x val="0.18014480927622423"/>
          <c:y val="5.4332054616772964E-2"/>
          <c:w val="0.69027298876589194"/>
          <c:h val="4.410431153453359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11488382563859413"/>
          <c:y val="5.845353329617594E-2"/>
          <c:w val="0.87118312357458838"/>
          <c:h val="0.53117650324255306"/>
        </c:manualLayout>
      </c:layout>
      <c:bar3DChart>
        <c:barDir val="col"/>
        <c:grouping val="clustered"/>
        <c:varyColors val="0"/>
        <c:ser>
          <c:idx val="0"/>
          <c:order val="0"/>
          <c:tx>
            <c:strRef>
              <c:f>'VI.3.6 Accid x activ. econ.'!$M$3</c:f>
              <c:strCache>
                <c:ptCount val="1"/>
                <c:pt idx="0">
                  <c:v>% por Actividad</c:v>
                </c:pt>
              </c:strCache>
            </c:strRef>
          </c:tx>
          <c:spPr>
            <a:solidFill>
              <a:srgbClr val="0070C0"/>
            </a:solidFill>
          </c:spPr>
          <c:invertIfNegative val="0"/>
          <c:dLbls>
            <c:dLbl>
              <c:idx val="0"/>
              <c:layout>
                <c:manualLayout>
                  <c:x val="1.0477215726944289E-3"/>
                  <c:y val="-1.916849002106521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129832224562801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431647180832868E-3"/>
                  <c:y val="-1.91684900210652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86078634721446E-3"/>
                  <c:y val="-1.277899334737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77215726943905E-3"/>
                  <c:y val="-1.064916112281400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176135500429626E-2"/>
                  <c:y val="-1.78595992207517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'VI.3.6 Accid x activ. econ.'!$A$4:$A$21</c:f>
              <c:strCache>
                <c:ptCount val="18"/>
                <c:pt idx="0">
                  <c:v>Agropecuaria y Explotación Forestal</c:v>
                </c:pt>
                <c:pt idx="1">
                  <c:v>Pesca</c:v>
                </c:pt>
                <c:pt idx="2">
                  <c:v>Industrias Extractivas</c:v>
                </c:pt>
                <c:pt idx="3">
                  <c:v>Industria de Transformación</c:v>
                </c:pt>
                <c:pt idx="4">
                  <c:v>Electricidad, Gas y Agua</c:v>
                </c:pt>
                <c:pt idx="5">
                  <c:v>Construcción</c:v>
                </c:pt>
                <c:pt idx="6">
                  <c:v>Comercio</c:v>
                </c:pt>
                <c:pt idx="7">
                  <c:v>Alojamiento y Alimentación</c:v>
                </c:pt>
                <c:pt idx="8">
                  <c:v>Transporte, Almacenamiento y Comunicaciones</c:v>
                </c:pt>
                <c:pt idx="9">
                  <c:v>Intermediación Financiera</c:v>
                </c:pt>
                <c:pt idx="10">
                  <c:v>Actividades Inmobiliarias</c:v>
                </c:pt>
                <c:pt idx="11">
                  <c:v>Administracion Publica, Defensa y Seguridad Social</c:v>
                </c:pt>
                <c:pt idx="12">
                  <c:v>Educación</c:v>
                </c:pt>
                <c:pt idx="13">
                  <c:v>Salud y Servicios Sociales</c:v>
                </c:pt>
                <c:pt idx="14">
                  <c:v>Otros Servicios colectivos sociales y personales</c:v>
                </c:pt>
                <c:pt idx="15">
                  <c:v>Servicios Domesticos</c:v>
                </c:pt>
                <c:pt idx="16">
                  <c:v>Organismo Int. y otras Instit. Extraterritoriales</c:v>
                </c:pt>
                <c:pt idx="17">
                  <c:v>Sin determinar</c:v>
                </c:pt>
              </c:strCache>
            </c:strRef>
          </c:cat>
          <c:val>
            <c:numRef>
              <c:f>'VI.3.6 Accid x activ. econ.'!$M$4:$M$21</c:f>
              <c:numCache>
                <c:formatCode>0.00%</c:formatCode>
                <c:ptCount val="18"/>
                <c:pt idx="0">
                  <c:v>1.6982196911395003E-2</c:v>
                </c:pt>
                <c:pt idx="1">
                  <c:v>4.3609871222615565E-4</c:v>
                </c:pt>
                <c:pt idx="2">
                  <c:v>4.6688215073623727E-3</c:v>
                </c:pt>
                <c:pt idx="3">
                  <c:v>0.3663058163596874</c:v>
                </c:pt>
                <c:pt idx="4">
                  <c:v>2.2155524772117047E-2</c:v>
                </c:pt>
                <c:pt idx="5">
                  <c:v>4.4020317069416656E-2</c:v>
                </c:pt>
                <c:pt idx="6">
                  <c:v>0.1450156482479093</c:v>
                </c:pt>
                <c:pt idx="7">
                  <c:v>0.13867083953277581</c:v>
                </c:pt>
                <c:pt idx="8">
                  <c:v>3.9573820395738202E-2</c:v>
                </c:pt>
                <c:pt idx="9">
                  <c:v>2.0659107622321413E-2</c:v>
                </c:pt>
                <c:pt idx="10">
                  <c:v>5.0698613035076015E-2</c:v>
                </c:pt>
                <c:pt idx="11">
                  <c:v>1.8837754177141588E-2</c:v>
                </c:pt>
                <c:pt idx="12">
                  <c:v>3.5093119901492997E-2</c:v>
                </c:pt>
                <c:pt idx="13">
                  <c:v>5.1895746754912521E-2</c:v>
                </c:pt>
                <c:pt idx="14">
                  <c:v>2.6131718913002581E-2</c:v>
                </c:pt>
                <c:pt idx="15">
                  <c:v>1.6674362526294187E-3</c:v>
                </c:pt>
                <c:pt idx="16">
                  <c:v>1.8812101311716517E-4</c:v>
                </c:pt>
                <c:pt idx="17">
                  <c:v>1.6999298821678381E-2</c:v>
                </c:pt>
              </c:numCache>
            </c:numRef>
          </c:val>
        </c:ser>
        <c:dLbls>
          <c:showLegendKey val="0"/>
          <c:showVal val="0"/>
          <c:showCatName val="0"/>
          <c:showSerName val="0"/>
          <c:showPercent val="0"/>
          <c:showBubbleSize val="0"/>
        </c:dLbls>
        <c:gapWidth val="75"/>
        <c:shape val="cylinder"/>
        <c:axId val="287341368"/>
        <c:axId val="287341760"/>
        <c:axId val="0"/>
      </c:bar3DChart>
      <c:catAx>
        <c:axId val="287341368"/>
        <c:scaling>
          <c:orientation val="minMax"/>
        </c:scaling>
        <c:delete val="0"/>
        <c:axPos val="b"/>
        <c:numFmt formatCode="General" sourceLinked="1"/>
        <c:majorTickMark val="none"/>
        <c:minorTickMark val="none"/>
        <c:tickLblPos val="nextTo"/>
        <c:txPr>
          <a:bodyPr/>
          <a:lstStyle/>
          <a:p>
            <a:pPr>
              <a:defRPr sz="1400"/>
            </a:pPr>
            <a:endParaRPr lang="es-ES"/>
          </a:p>
        </c:txPr>
        <c:crossAx val="287341760"/>
        <c:crosses val="autoZero"/>
        <c:auto val="1"/>
        <c:lblAlgn val="ctr"/>
        <c:lblOffset val="100"/>
        <c:noMultiLvlLbl val="0"/>
      </c:catAx>
      <c:valAx>
        <c:axId val="287341760"/>
        <c:scaling>
          <c:orientation val="minMax"/>
        </c:scaling>
        <c:delete val="1"/>
        <c:axPos val="l"/>
        <c:numFmt formatCode="0.00%" sourceLinked="1"/>
        <c:majorTickMark val="out"/>
        <c:minorTickMark val="none"/>
        <c:tickLblPos val="nextTo"/>
        <c:crossAx val="28734136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3208870383444039E-4"/>
          <c:y val="7.7851409480115111E-2"/>
          <c:w val="0.99319697328473444"/>
          <c:h val="0.76888010259325434"/>
        </c:manualLayout>
      </c:layout>
      <c:bar3DChart>
        <c:barDir val="col"/>
        <c:grouping val="clustered"/>
        <c:varyColors val="0"/>
        <c:ser>
          <c:idx val="0"/>
          <c:order val="0"/>
          <c:tx>
            <c:strRef>
              <c:f>' VI.3.7 Accid x ocupación'!$L$2</c:f>
              <c:strCache>
                <c:ptCount val="1"/>
                <c:pt idx="0">
                  <c:v>% por Actividad</c:v>
                </c:pt>
              </c:strCache>
            </c:strRef>
          </c:tx>
          <c:invertIfNegative val="0"/>
          <c:dLbls>
            <c:dLbl>
              <c:idx val="0"/>
              <c:layout>
                <c:manualLayout>
                  <c:x val="9.9977871179254725E-3"/>
                  <c:y val="-3.274558767798169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3350810873285E-2"/>
                  <c:y val="-2.392686508581018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74467992140744E-2"/>
                  <c:y val="-2.42195536246007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070010937557259E-2"/>
                  <c:y val="-2.011582345298034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116649189126715E-2"/>
                  <c:y val="-1.58373260787179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8557821058180475E-3"/>
                  <c:y val="-2.050257836608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425287745143722E-2"/>
                  <c:y val="-2.02285000812083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098590239075832E-2"/>
                  <c:y val="-2.52109726057062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VI.3.7 Accid x ocupación'!$A$3:$A$11</c:f>
              <c:strCache>
                <c:ptCount val="9"/>
                <c:pt idx="0">
                  <c:v>Agropecuarios y Pesqueros</c:v>
                </c:pt>
                <c:pt idx="1">
                  <c:v>Empleados de oficina</c:v>
                </c:pt>
                <c:pt idx="2">
                  <c:v>Fuerzas Armadas</c:v>
                </c:pt>
                <c:pt idx="3">
                  <c:v>Operarios y Artesanos </c:v>
                </c:pt>
                <c:pt idx="4">
                  <c:v>Operadores de instalaciones, máquinas y equipos</c:v>
                </c:pt>
                <c:pt idx="5">
                  <c:v>Profesionales e Intelectuales</c:v>
                </c:pt>
                <c:pt idx="6">
                  <c:v>Técnicos y Profesionales del nivel medio</c:v>
                </c:pt>
                <c:pt idx="7">
                  <c:v>Trabajadores de servicios y vendedores</c:v>
                </c:pt>
                <c:pt idx="8">
                  <c:v>Trabajadores no calificados</c:v>
                </c:pt>
              </c:strCache>
            </c:strRef>
          </c:cat>
          <c:val>
            <c:numRef>
              <c:f>' VI.3.7 Accid x ocupación'!$L$3:$L$11</c:f>
              <c:numCache>
                <c:formatCode>0.00%</c:formatCode>
                <c:ptCount val="9"/>
                <c:pt idx="0">
                  <c:v>7.8333526749448761E-3</c:v>
                </c:pt>
                <c:pt idx="1">
                  <c:v>0.43808750145062086</c:v>
                </c:pt>
                <c:pt idx="2">
                  <c:v>9.864221886967622E-3</c:v>
                </c:pt>
                <c:pt idx="3">
                  <c:v>8.9810839039108734E-2</c:v>
                </c:pt>
                <c:pt idx="4">
                  <c:v>0.11169780666125101</c:v>
                </c:pt>
                <c:pt idx="5">
                  <c:v>4.262504351862597E-2</c:v>
                </c:pt>
                <c:pt idx="6">
                  <c:v>3.4954160380642918E-2</c:v>
                </c:pt>
                <c:pt idx="7">
                  <c:v>9.3860972496228393E-2</c:v>
                </c:pt>
                <c:pt idx="8">
                  <c:v>0.1712661018916096</c:v>
                </c:pt>
              </c:numCache>
            </c:numRef>
          </c:val>
        </c:ser>
        <c:dLbls>
          <c:showLegendKey val="0"/>
          <c:showVal val="0"/>
          <c:showCatName val="0"/>
          <c:showSerName val="0"/>
          <c:showPercent val="0"/>
          <c:showBubbleSize val="0"/>
        </c:dLbls>
        <c:gapWidth val="75"/>
        <c:shape val="cylinder"/>
        <c:axId val="287342544"/>
        <c:axId val="287342936"/>
        <c:axId val="0"/>
      </c:bar3DChart>
      <c:catAx>
        <c:axId val="287342544"/>
        <c:scaling>
          <c:orientation val="minMax"/>
        </c:scaling>
        <c:delete val="0"/>
        <c:axPos val="b"/>
        <c:numFmt formatCode="General" sourceLinked="1"/>
        <c:majorTickMark val="none"/>
        <c:minorTickMark val="none"/>
        <c:tickLblPos val="nextTo"/>
        <c:crossAx val="287342936"/>
        <c:crosses val="autoZero"/>
        <c:auto val="1"/>
        <c:lblAlgn val="ctr"/>
        <c:lblOffset val="100"/>
        <c:noMultiLvlLbl val="0"/>
      </c:catAx>
      <c:valAx>
        <c:axId val="287342936"/>
        <c:scaling>
          <c:orientation val="minMax"/>
        </c:scaling>
        <c:delete val="1"/>
        <c:axPos val="l"/>
        <c:numFmt formatCode="0.00%" sourceLinked="1"/>
        <c:majorTickMark val="out"/>
        <c:minorTickMark val="none"/>
        <c:tickLblPos val="nextTo"/>
        <c:crossAx val="28734254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Reporte de Accidentes Laborales y Enfermedades Profesionales por Tipo de Empresa</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4446648482711496E-3"/>
          <c:y val="0.2739834298006657"/>
          <c:w val="0.97972263198675891"/>
          <c:h val="0.58513982741049753"/>
        </c:manualLayout>
      </c:layout>
      <c:bar3DChart>
        <c:barDir val="col"/>
        <c:grouping val="clustered"/>
        <c:varyColors val="0"/>
        <c:ser>
          <c:idx val="0"/>
          <c:order val="0"/>
          <c:tx>
            <c:strRef>
              <c:f>' VI.3.8 NA.Cant. accid x sector'!$B$3</c:f>
              <c:strCache>
                <c:ptCount val="1"/>
                <c:pt idx="0">
                  <c:v>Sector Público</c:v>
                </c:pt>
              </c:strCache>
            </c:strRef>
          </c:tx>
          <c:spPr>
            <a:solidFill>
              <a:schemeClr val="accent5">
                <a:lumMod val="50000"/>
              </a:schemeClr>
            </a:solidFill>
          </c:spPr>
          <c:invertIfNegative val="0"/>
          <c:dLbls>
            <c:dLbl>
              <c:idx val="8"/>
              <c:layout>
                <c:manualLayout>
                  <c:x val="2.4363788580633846E-3"/>
                  <c:y val="-6.563418297156438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97449306735932E-2"/>
                  <c:y val="-6.49047441960936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VI.3.8 NA.Cant. accid x sector'!$A$4:$A$14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 VI.3.8 NA.Cant. accid x sector'!$B$4:$B$14</c:f>
              <c:numCache>
                <c:formatCode>_(* #,##0_);_(* \(#,##0\);_(* "-"??_);_(@_)</c:formatCode>
                <c:ptCount val="10"/>
                <c:pt idx="0">
                  <c:v>90</c:v>
                </c:pt>
                <c:pt idx="1">
                  <c:v>253</c:v>
                </c:pt>
                <c:pt idx="2">
                  <c:v>445</c:v>
                </c:pt>
                <c:pt idx="3">
                  <c:v>660</c:v>
                </c:pt>
                <c:pt idx="4">
                  <c:v>986</c:v>
                </c:pt>
                <c:pt idx="5">
                  <c:v>1477</c:v>
                </c:pt>
                <c:pt idx="6">
                  <c:v>2094</c:v>
                </c:pt>
                <c:pt idx="7">
                  <c:v>3858</c:v>
                </c:pt>
                <c:pt idx="8">
                  <c:v>4451</c:v>
                </c:pt>
                <c:pt idx="9">
                  <c:v>5112</c:v>
                </c:pt>
              </c:numCache>
            </c:numRef>
          </c:val>
        </c:ser>
        <c:ser>
          <c:idx val="1"/>
          <c:order val="1"/>
          <c:tx>
            <c:strRef>
              <c:f>' VI.3.8 NA.Cant. accid x sector'!$C$3</c:f>
              <c:strCache>
                <c:ptCount val="1"/>
                <c:pt idx="0">
                  <c:v>Sector Privado</c:v>
                </c:pt>
              </c:strCache>
            </c:strRef>
          </c:tx>
          <c:spPr>
            <a:solidFill>
              <a:schemeClr val="accent3">
                <a:lumMod val="50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1982434822946199E-2"/>
                  <c:y val="-1.61672436829030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VI.3.8 NA.Cant. accid x sector'!$A$4:$A$14</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 VI.3.8 NA.Cant. accid x sector'!$C$4:$C$14</c:f>
              <c:numCache>
                <c:formatCode>_(* #,##0_);_(* \(#,##0\);_(* "-"??_);_(@_)</c:formatCode>
                <c:ptCount val="10"/>
                <c:pt idx="0">
                  <c:v>3641</c:v>
                </c:pt>
                <c:pt idx="1">
                  <c:v>5282</c:v>
                </c:pt>
                <c:pt idx="2">
                  <c:v>8099</c:v>
                </c:pt>
                <c:pt idx="3">
                  <c:v>10317</c:v>
                </c:pt>
                <c:pt idx="4">
                  <c:v>13697</c:v>
                </c:pt>
                <c:pt idx="5">
                  <c:v>15979</c:v>
                </c:pt>
                <c:pt idx="6">
                  <c:v>20503</c:v>
                </c:pt>
                <c:pt idx="7">
                  <c:v>22830</c:v>
                </c:pt>
                <c:pt idx="8">
                  <c:v>24184</c:v>
                </c:pt>
                <c:pt idx="9">
                  <c:v>25920</c:v>
                </c:pt>
              </c:numCache>
            </c:numRef>
          </c:val>
        </c:ser>
        <c:dLbls>
          <c:showLegendKey val="0"/>
          <c:showVal val="0"/>
          <c:showCatName val="0"/>
          <c:showSerName val="0"/>
          <c:showPercent val="0"/>
          <c:showBubbleSize val="0"/>
        </c:dLbls>
        <c:gapWidth val="37"/>
        <c:shape val="cylinder"/>
        <c:axId val="287343720"/>
        <c:axId val="287344112"/>
        <c:axId val="0"/>
      </c:bar3DChart>
      <c:catAx>
        <c:axId val="287343720"/>
        <c:scaling>
          <c:orientation val="minMax"/>
        </c:scaling>
        <c:delete val="0"/>
        <c:axPos val="b"/>
        <c:numFmt formatCode="General" sourceLinked="1"/>
        <c:majorTickMark val="none"/>
        <c:minorTickMark val="none"/>
        <c:tickLblPos val="nextTo"/>
        <c:txPr>
          <a:bodyPr/>
          <a:lstStyle/>
          <a:p>
            <a:pPr>
              <a:defRPr sz="1400"/>
            </a:pPr>
            <a:endParaRPr lang="es-ES"/>
          </a:p>
        </c:txPr>
        <c:crossAx val="287344112"/>
        <c:crosses val="autoZero"/>
        <c:auto val="1"/>
        <c:lblAlgn val="ctr"/>
        <c:lblOffset val="100"/>
        <c:noMultiLvlLbl val="0"/>
      </c:catAx>
      <c:valAx>
        <c:axId val="287344112"/>
        <c:scaling>
          <c:orientation val="minMax"/>
        </c:scaling>
        <c:delete val="1"/>
        <c:axPos val="l"/>
        <c:numFmt formatCode="_(* #,##0_);_(* \(#,##0\);_(* &quot;-&quot;??_);_(@_)" sourceLinked="1"/>
        <c:majorTickMark val="out"/>
        <c:minorTickMark val="none"/>
        <c:tickLblPos val="nextTo"/>
        <c:crossAx val="287343720"/>
        <c:crosses val="autoZero"/>
        <c:crossBetween val="between"/>
      </c:valAx>
      <c:spPr>
        <a:noFill/>
        <a:ln w="25400">
          <a:noFill/>
        </a:ln>
      </c:spPr>
    </c:plotArea>
    <c:legend>
      <c:legendPos val="t"/>
      <c:layout>
        <c:manualLayout>
          <c:xMode val="edge"/>
          <c:yMode val="edge"/>
          <c:x val="0.26311868630046198"/>
          <c:y val="0.14053086629435307"/>
          <c:w val="0.4228567777143068"/>
          <c:h val="4.456528417503265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Reporte de Accidentes Laborales y Enfermedades Profesionales por Género</a:t>
            </a:r>
          </a:p>
        </c:rich>
      </c:tx>
      <c:layout>
        <c:manualLayout>
          <c:xMode val="edge"/>
          <c:yMode val="edge"/>
          <c:x val="0.22182694414088217"/>
          <c:y val="2.1937321445199959E-2"/>
        </c:manualLayout>
      </c:layout>
      <c:overlay val="1"/>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3.1632557807171668E-2"/>
          <c:y val="0.26029503420384875"/>
          <c:w val="0.94504051923919186"/>
          <c:h val="0.61429053964397473"/>
        </c:manualLayout>
      </c:layout>
      <c:bar3DChart>
        <c:barDir val="col"/>
        <c:grouping val="clustered"/>
        <c:varyColors val="0"/>
        <c:ser>
          <c:idx val="0"/>
          <c:order val="0"/>
          <c:tx>
            <c:strRef>
              <c:f>'VI.3.10 Accid x sexo'!$E$3</c:f>
              <c:strCache>
                <c:ptCount val="1"/>
                <c:pt idx="0">
                  <c:v>% Femenino</c:v>
                </c:pt>
              </c:strCache>
            </c:strRef>
          </c:tx>
          <c:spPr>
            <a:solidFill>
              <a:srgbClr val="0070C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027358811252425E-3"/>
                  <c:y val="2.317459888783737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0605326620399732E-2"/>
                  <c:y val="2.3174598887838226E-3"/>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'VI.3.10 Accid x sexo'!$A$4:$A$14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'VI.3.10 Accid x sexo'!$E$4:$E$14</c:f>
              <c:numCache>
                <c:formatCode>0.0%</c:formatCode>
                <c:ptCount val="10"/>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numCache>
            </c:numRef>
          </c:val>
        </c:ser>
        <c:ser>
          <c:idx val="1"/>
          <c:order val="1"/>
          <c:tx>
            <c:strRef>
              <c:f>'VI.3.10 Accid x sexo'!$F$3</c:f>
              <c:strCache>
                <c:ptCount val="1"/>
                <c:pt idx="0">
                  <c:v>% Masculino</c:v>
                </c:pt>
              </c:strCache>
            </c:strRef>
          </c:tx>
          <c:spPr>
            <a:solidFill>
              <a:srgbClr val="00B050"/>
            </a:solidFill>
          </c:spPr>
          <c:invertIfNegative val="0"/>
          <c:dLbls>
            <c:dLbl>
              <c:idx val="9"/>
              <c:layout>
                <c:manualLayout>
                  <c:x val="-4.717762636360057E-3"/>
                  <c:y val="4.637570234540507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'VI.3.10 Accid x sexo'!$A$4:$A$14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'VI.3.10 Accid x sexo'!$F$4:$F$14</c:f>
              <c:numCache>
                <c:formatCode>0.0%</c:formatCode>
                <c:ptCount val="10"/>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numCache>
            </c:numRef>
          </c:val>
        </c:ser>
        <c:dLbls>
          <c:showLegendKey val="0"/>
          <c:showVal val="0"/>
          <c:showCatName val="0"/>
          <c:showSerName val="0"/>
          <c:showPercent val="0"/>
          <c:showBubbleSize val="0"/>
        </c:dLbls>
        <c:gapWidth val="56"/>
        <c:shape val="cylinder"/>
        <c:axId val="287344896"/>
        <c:axId val="287345288"/>
        <c:axId val="0"/>
      </c:bar3DChart>
      <c:catAx>
        <c:axId val="287344896"/>
        <c:scaling>
          <c:orientation val="minMax"/>
        </c:scaling>
        <c:delete val="0"/>
        <c:axPos val="b"/>
        <c:numFmt formatCode="General" sourceLinked="1"/>
        <c:majorTickMark val="none"/>
        <c:minorTickMark val="none"/>
        <c:tickLblPos val="nextTo"/>
        <c:txPr>
          <a:bodyPr/>
          <a:lstStyle/>
          <a:p>
            <a:pPr>
              <a:defRPr sz="1400"/>
            </a:pPr>
            <a:endParaRPr lang="es-ES"/>
          </a:p>
        </c:txPr>
        <c:crossAx val="287345288"/>
        <c:crosses val="autoZero"/>
        <c:auto val="1"/>
        <c:lblAlgn val="ctr"/>
        <c:lblOffset val="100"/>
        <c:noMultiLvlLbl val="0"/>
      </c:catAx>
      <c:valAx>
        <c:axId val="287345288"/>
        <c:scaling>
          <c:orientation val="minMax"/>
        </c:scaling>
        <c:delete val="1"/>
        <c:axPos val="l"/>
        <c:numFmt formatCode="0.0%" sourceLinked="1"/>
        <c:majorTickMark val="out"/>
        <c:minorTickMark val="none"/>
        <c:tickLblPos val="nextTo"/>
        <c:crossAx val="287344896"/>
        <c:crosses val="autoZero"/>
        <c:crossBetween val="between"/>
      </c:valAx>
    </c:plotArea>
    <c:legend>
      <c:legendPos val="t"/>
      <c:layout>
        <c:manualLayout>
          <c:xMode val="edge"/>
          <c:yMode val="edge"/>
          <c:x val="0.25249520863338826"/>
          <c:y val="0.14077824571464553"/>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Reporte de Accidentes Laborales y Enfermedades Profesionales por Nivel de Escolaridad</a:t>
            </a:r>
          </a:p>
        </c:rich>
      </c:tx>
      <c:overlay val="0"/>
    </c:title>
    <c:autoTitleDeleted val="0"/>
    <c:view3D>
      <c:rotX val="60"/>
      <c:rotY val="50"/>
      <c:rAngAx val="0"/>
    </c:view3D>
    <c:floor>
      <c:thickness val="0"/>
    </c:floor>
    <c:sideWall>
      <c:thickness val="0"/>
    </c:sideWall>
    <c:backWall>
      <c:thickness val="0"/>
    </c:backWall>
    <c:plotArea>
      <c:layout>
        <c:manualLayout>
          <c:layoutTarget val="inner"/>
          <c:xMode val="edge"/>
          <c:yMode val="edge"/>
          <c:x val="0.13629354555865869"/>
          <c:y val="0.28684721157369658"/>
          <c:w val="0.67856361301144252"/>
          <c:h val="0.60310017456821075"/>
        </c:manualLayout>
      </c:layout>
      <c:pie3DChart>
        <c:varyColors val="1"/>
        <c:ser>
          <c:idx val="0"/>
          <c:order val="0"/>
          <c:dPt>
            <c:idx val="0"/>
            <c:bubble3D val="0"/>
            <c:explosion val="6"/>
          </c:dPt>
          <c:dPt>
            <c:idx val="1"/>
            <c:bubble3D val="0"/>
            <c:explosion val="9"/>
          </c:dPt>
          <c:dPt>
            <c:idx val="2"/>
            <c:bubble3D val="0"/>
            <c:explosion val="6"/>
          </c:dPt>
          <c:dPt>
            <c:idx val="3"/>
            <c:bubble3D val="0"/>
            <c:explosion val="7"/>
          </c:dPt>
          <c:dPt>
            <c:idx val="4"/>
            <c:bubble3D val="0"/>
          </c:dPt>
          <c:dLbls>
            <c:dLbl>
              <c:idx val="0"/>
              <c:layout>
                <c:manualLayout>
                  <c:x val="2.9101708178611085E-2"/>
                  <c:y val="5.4953153248172175E-2"/>
                </c:manualLayout>
              </c:layout>
              <c:tx>
                <c:rich>
                  <a:bodyPr/>
                  <a:lstStyle/>
                  <a:p>
                    <a:r>
                      <a:rPr lang="en-US" sz="2000"/>
                      <a:t>Ninguno </a:t>
                    </a:r>
                  </a:p>
                  <a:p>
                    <a:r>
                      <a:rPr lang="en-US" sz="2000"/>
                      <a:t> 817</a:t>
                    </a:r>
                  </a:p>
                  <a:p>
                    <a:r>
                      <a:rPr lang="en-US" sz="2000"/>
                      <a:t>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2.3904974575287664E-2"/>
                  <c:y val="2.7476576624086087E-2"/>
                </c:manualLayout>
              </c:layout>
              <c:tx>
                <c:rich>
                  <a:bodyPr/>
                  <a:lstStyle/>
                  <a:p>
                    <a:r>
                      <a:rPr lang="en-US" sz="2000"/>
                      <a:t>Básica</a:t>
                    </a:r>
                  </a:p>
                  <a:p>
                    <a:r>
                      <a:rPr lang="en-US" sz="2000"/>
                      <a:t>10,565</a:t>
                    </a:r>
                  </a:p>
                  <a:p>
                    <a:r>
                      <a:rPr lang="en-US" sz="2000"/>
                      <a:t>34%</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2.5983668016617108E-2"/>
                  <c:y val="-1.7172860390053805E-3"/>
                </c:manualLayout>
              </c:layout>
              <c:tx>
                <c:rich>
                  <a:bodyPr/>
                  <a:lstStyle/>
                  <a:p>
                    <a:r>
                      <a:rPr lang="en-US" sz="2000"/>
                      <a:t>Media </a:t>
                    </a:r>
                  </a:p>
                  <a:p>
                    <a:r>
                      <a:rPr lang="en-US" sz="2000"/>
                      <a:t>16,396</a:t>
                    </a:r>
                  </a:p>
                  <a:p>
                    <a:r>
                      <a:rPr lang="en-US" sz="2000"/>
                      <a:t> 53%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2.0786934413293611E-2"/>
                  <c:y val="-2.0607432468064565E-2"/>
                </c:manualLayout>
              </c:layout>
              <c:tx>
                <c:rich>
                  <a:bodyPr/>
                  <a:lstStyle/>
                  <a:p>
                    <a:r>
                      <a:rPr lang="en-US" sz="2000"/>
                      <a:t>Superior </a:t>
                    </a:r>
                  </a:p>
                  <a:p>
                    <a:r>
                      <a:rPr lang="en-US" sz="2000"/>
                      <a:t> 3,252</a:t>
                    </a:r>
                  </a:p>
                  <a:p>
                    <a:r>
                      <a:rPr lang="en-US" sz="2000"/>
                      <a:t>10%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20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'VI.3.14 Accid x Escolaridad'!$B$3:$E$3</c:f>
              <c:strCache>
                <c:ptCount val="4"/>
                <c:pt idx="0">
                  <c:v>Ninguno</c:v>
                </c:pt>
                <c:pt idx="1">
                  <c:v>Básica</c:v>
                </c:pt>
                <c:pt idx="2">
                  <c:v>Media</c:v>
                </c:pt>
                <c:pt idx="3">
                  <c:v>Superior</c:v>
                </c:pt>
              </c:strCache>
            </c:strRef>
          </c:cat>
          <c:val>
            <c:numRef>
              <c:f>'VI.3.14 Accid x Escolaridad'!$B$14:$E$14</c:f>
              <c:numCache>
                <c:formatCode>_(* #,##0_);_(* \(#,##0\);_(* "-"??_);_(@_)</c:formatCode>
                <c:ptCount val="4"/>
                <c:pt idx="0">
                  <c:v>817</c:v>
                </c:pt>
                <c:pt idx="1">
                  <c:v>10565</c:v>
                </c:pt>
                <c:pt idx="2">
                  <c:v>16396</c:v>
                </c:pt>
                <c:pt idx="3">
                  <c:v>3252</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31889701964342E-2"/>
          <c:y val="0.17011997658655528"/>
          <c:w val="0.96272051148289839"/>
          <c:h val="0.70123630607883691"/>
        </c:manualLayout>
      </c:layout>
      <c:bar3DChart>
        <c:barDir val="col"/>
        <c:grouping val="clustered"/>
        <c:varyColors val="0"/>
        <c:ser>
          <c:idx val="0"/>
          <c:order val="0"/>
          <c:tx>
            <c:strRef>
              <c:f>'VI.3.9 Accid x sector '!$J$3</c:f>
              <c:strCache>
                <c:ptCount val="1"/>
                <c:pt idx="0">
                  <c:v>%  Accidentado /Afiliado Sector Público</c:v>
                </c:pt>
              </c:strCache>
            </c:strRef>
          </c:tx>
          <c:spPr>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550006066198276E-3"/>
                  <c:y val="-1.217672625927715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26367632964655E-3"/>
                  <c:y val="-1.4898679906969158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011696888920541E-3"/>
                  <c:y val="-1.56258349011898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'VI.3.9 Accid x sector '!$A$4:$A$8</c:f>
              <c:strCache>
                <c:ptCount val="5"/>
                <c:pt idx="0">
                  <c:v>2009</c:v>
                </c:pt>
                <c:pt idx="1">
                  <c:v>2010</c:v>
                </c:pt>
                <c:pt idx="2">
                  <c:v>2011</c:v>
                </c:pt>
                <c:pt idx="3">
                  <c:v>2012</c:v>
                </c:pt>
                <c:pt idx="4">
                  <c:v>Ene-Nov.13</c:v>
                </c:pt>
              </c:strCache>
            </c:strRef>
          </c:cat>
          <c:val>
            <c:numRef>
              <c:f>'VI.3.9 Accid x sector '!$J$4:$J$8</c:f>
              <c:numCache>
                <c:formatCode>0.00%</c:formatCode>
                <c:ptCount val="5"/>
                <c:pt idx="0">
                  <c:v>2.7543822892660101E-3</c:v>
                </c:pt>
                <c:pt idx="1">
                  <c:v>4.1575301399823794E-3</c:v>
                </c:pt>
                <c:pt idx="2">
                  <c:v>5.6707396334329911E-3</c:v>
                </c:pt>
                <c:pt idx="3">
                  <c:v>9.799215148397912E-3</c:v>
                </c:pt>
                <c:pt idx="4">
                  <c:v>1.0783323279235016E-2</c:v>
                </c:pt>
              </c:numCache>
            </c:numRef>
          </c:val>
        </c:ser>
        <c:ser>
          <c:idx val="1"/>
          <c:order val="1"/>
          <c:tx>
            <c:strRef>
              <c:f>'VI.3.9 Accid x sector '!$K$3</c:f>
              <c:strCache>
                <c:ptCount val="1"/>
                <c:pt idx="0">
                  <c:v>    % Accidentado /Afiliado Sector Privado</c:v>
                </c:pt>
              </c:strCache>
            </c:strRef>
          </c:tx>
          <c:spPr>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0116968889205409E-2"/>
                  <c:y val="-8.92904851496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'VI.3.9 Accid x sector '!$A$4:$A$8</c:f>
              <c:strCache>
                <c:ptCount val="5"/>
                <c:pt idx="0">
                  <c:v>2009</c:v>
                </c:pt>
                <c:pt idx="1">
                  <c:v>2010</c:v>
                </c:pt>
                <c:pt idx="2">
                  <c:v>2011</c:v>
                </c:pt>
                <c:pt idx="3">
                  <c:v>2012</c:v>
                </c:pt>
                <c:pt idx="4">
                  <c:v>Ene-Nov.13</c:v>
                </c:pt>
              </c:strCache>
            </c:strRef>
          </c:cat>
          <c:val>
            <c:numRef>
              <c:f>'VI.3.9 Accid x sector '!$K$4:$K$8</c:f>
              <c:numCache>
                <c:formatCode>0.00%</c:formatCode>
                <c:ptCount val="5"/>
                <c:pt idx="0">
                  <c:v>1.5748203506754814E-2</c:v>
                </c:pt>
                <c:pt idx="1">
                  <c:v>1.6929991481498749E-2</c:v>
                </c:pt>
                <c:pt idx="2">
                  <c:v>2.0533266034134315E-2</c:v>
                </c:pt>
                <c:pt idx="3">
                  <c:v>2.2024604271017434E-2</c:v>
                </c:pt>
                <c:pt idx="4">
                  <c:v>2.1929136535715096E-2</c:v>
                </c:pt>
              </c:numCache>
            </c:numRef>
          </c:val>
        </c:ser>
        <c:dLbls>
          <c:showLegendKey val="0"/>
          <c:showVal val="0"/>
          <c:showCatName val="0"/>
          <c:showSerName val="0"/>
          <c:showPercent val="0"/>
          <c:showBubbleSize val="0"/>
        </c:dLbls>
        <c:gapWidth val="150"/>
        <c:shape val="cylinder"/>
        <c:axId val="287346856"/>
        <c:axId val="287347248"/>
        <c:axId val="0"/>
      </c:bar3DChart>
      <c:catAx>
        <c:axId val="287346856"/>
        <c:scaling>
          <c:orientation val="minMax"/>
        </c:scaling>
        <c:delete val="0"/>
        <c:axPos val="b"/>
        <c:numFmt formatCode="General" sourceLinked="1"/>
        <c:majorTickMark val="none"/>
        <c:minorTickMark val="none"/>
        <c:tickLblPos val="nextTo"/>
        <c:txPr>
          <a:bodyPr/>
          <a:lstStyle/>
          <a:p>
            <a:pPr>
              <a:defRPr sz="1800"/>
            </a:pPr>
            <a:endParaRPr lang="es-ES"/>
          </a:p>
        </c:txPr>
        <c:crossAx val="287347248"/>
        <c:crosses val="autoZero"/>
        <c:auto val="1"/>
        <c:lblAlgn val="ctr"/>
        <c:lblOffset val="100"/>
        <c:noMultiLvlLbl val="0"/>
      </c:catAx>
      <c:valAx>
        <c:axId val="287347248"/>
        <c:scaling>
          <c:orientation val="minMax"/>
        </c:scaling>
        <c:delete val="1"/>
        <c:axPos val="l"/>
        <c:numFmt formatCode="0.00%" sourceLinked="1"/>
        <c:majorTickMark val="out"/>
        <c:minorTickMark val="none"/>
        <c:tickLblPos val="nextTo"/>
        <c:crossAx val="287346856"/>
        <c:crosses val="autoZero"/>
        <c:crossBetween val="between"/>
      </c:valAx>
    </c:plotArea>
    <c:legend>
      <c:legendPos val="t"/>
      <c:layout>
        <c:manualLayout>
          <c:xMode val="edge"/>
          <c:yMode val="edge"/>
          <c:x val="0.15339610394938677"/>
          <c:y val="5.6425674528795919E-2"/>
          <c:w val="0.74997456047601085"/>
          <c:h val="5.547294427992495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Seguro de Riesgos Laborales</a:t>
            </a:r>
          </a:p>
          <a:p>
            <a:pPr>
              <a:defRPr/>
            </a:pPr>
            <a:r>
              <a:rPr lang="es-DO"/>
              <a:t>Comparación Reporte de Accidentes Laborales y Enfermedades Profesionales y Afilación al SRL  por Sexo</a:t>
            </a:r>
          </a:p>
        </c:rich>
      </c:tx>
      <c:layout>
        <c:manualLayout>
          <c:xMode val="edge"/>
          <c:yMode val="edge"/>
          <c:x val="0.11466224315747527"/>
          <c:y val="4.4648318902902918E-3"/>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70932222675788E-2"/>
          <c:y val="0.22145794690857853"/>
          <c:w val="0.96526554165758904"/>
          <c:h val="0.66612268373662142"/>
        </c:manualLayout>
      </c:layout>
      <c:bar3DChart>
        <c:barDir val="col"/>
        <c:grouping val="clustered"/>
        <c:varyColors val="0"/>
        <c:ser>
          <c:idx val="0"/>
          <c:order val="0"/>
          <c:tx>
            <c:strRef>
              <c:f>'VI.3.11 Accid x sexo '!$J$3</c:f>
              <c:strCache>
                <c:ptCount val="1"/>
                <c:pt idx="0">
                  <c:v>% Accidentados / Afiliados Femenino</c:v>
                </c:pt>
              </c:strCache>
            </c:strRef>
          </c:tx>
          <c:spPr>
            <a:solidFill>
              <a:schemeClr val="accent3">
                <a:lumMod val="50000"/>
              </a:schemeClr>
            </a:solidFill>
          </c:spPr>
          <c:invertIfNegative val="0"/>
          <c:dLbls>
            <c:dLbl>
              <c:idx val="0"/>
              <c:layout>
                <c:manualLayout>
                  <c:x val="5.4269434285194405E-3"/>
                  <c:y val="-1.09665034618123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7230169602322784E-3"/>
                  <c:y val="-1.0969091732631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900844271382723E-3"/>
                  <c:y val="-1.31594590513988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3117384999332041E-3"/>
                  <c:y val="-1.5339818389664172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0059021728014801E-2"/>
                  <c:y val="-1.31484157625694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085344454048399E-3"/>
                  <c:y val="-4.464831890290291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'VI.3.11 Accid x sexo '!$A$4:$A$9</c:f>
              <c:strCache>
                <c:ptCount val="6"/>
                <c:pt idx="0">
                  <c:v>2009</c:v>
                </c:pt>
                <c:pt idx="1">
                  <c:v>2010</c:v>
                </c:pt>
                <c:pt idx="2">
                  <c:v>2011</c:v>
                </c:pt>
                <c:pt idx="3">
                  <c:v>2012</c:v>
                </c:pt>
                <c:pt idx="4">
                  <c:v>2013</c:v>
                </c:pt>
                <c:pt idx="5">
                  <c:v>2014</c:v>
                </c:pt>
              </c:strCache>
            </c:strRef>
          </c:cat>
          <c:val>
            <c:numRef>
              <c:f>'VI.3.11 Accid x sexo '!$J$4:$J$9</c:f>
              <c:numCache>
                <c:formatCode>0.0%</c:formatCode>
                <c:ptCount val="6"/>
                <c:pt idx="0">
                  <c:v>5.8595387041961615E-3</c:v>
                </c:pt>
                <c:pt idx="1">
                  <c:v>7.0520978201142294E-3</c:v>
                </c:pt>
                <c:pt idx="2">
                  <c:v>9.566347054469574E-3</c:v>
                </c:pt>
                <c:pt idx="3">
                  <c:v>1.1308614223766607E-2</c:v>
                </c:pt>
                <c:pt idx="4">
                  <c:v>1.1688718507137636E-2</c:v>
                </c:pt>
                <c:pt idx="5">
                  <c:v>9.6331137470161352E-3</c:v>
                </c:pt>
              </c:numCache>
            </c:numRef>
          </c:val>
        </c:ser>
        <c:ser>
          <c:idx val="1"/>
          <c:order val="1"/>
          <c:tx>
            <c:strRef>
              <c:f>'VI.3.11 Accid x sexo '!$K$3</c:f>
              <c:strCache>
                <c:ptCount val="1"/>
                <c:pt idx="0">
                  <c:v>% Accidentados / Afiliados  Masculino</c:v>
                </c:pt>
              </c:strCache>
            </c:strRef>
          </c:tx>
          <c:spPr>
            <a:solidFill>
              <a:schemeClr val="accent5">
                <a:lumMod val="75000"/>
              </a:schemeClr>
            </a:solidFill>
          </c:spPr>
          <c:invertIfNegative val="0"/>
          <c:dLbls>
            <c:dLbl>
              <c:idx val="0"/>
              <c:layout>
                <c:manualLayout>
                  <c:x val="1.5311186353806155E-2"/>
                  <c:y val="-1.096736621875194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84550574743E-2"/>
                  <c:y val="-4.390742618035933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454629411734681E-2"/>
                  <c:y val="-1.31587688458469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514643313073895E-2"/>
                  <c:y val="-1.7531393568147015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9000374375139215E-2"/>
                  <c:y val="-1.753122101675905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493527945846987E-3"/>
                  <c:y val="-1.33944956708710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'VI.3.11 Accid x sexo '!$A$4:$A$9</c:f>
              <c:strCache>
                <c:ptCount val="6"/>
                <c:pt idx="0">
                  <c:v>2009</c:v>
                </c:pt>
                <c:pt idx="1">
                  <c:v>2010</c:v>
                </c:pt>
                <c:pt idx="2">
                  <c:v>2011</c:v>
                </c:pt>
                <c:pt idx="3">
                  <c:v>2012</c:v>
                </c:pt>
                <c:pt idx="4">
                  <c:v>2013</c:v>
                </c:pt>
                <c:pt idx="5">
                  <c:v>2014</c:v>
                </c:pt>
              </c:strCache>
            </c:strRef>
          </c:cat>
          <c:val>
            <c:numRef>
              <c:f>'VI.3.11 Accid x sexo '!$K$4:$K$9</c:f>
              <c:numCache>
                <c:formatCode>0.0%</c:formatCode>
                <c:ptCount val="6"/>
                <c:pt idx="0">
                  <c:v>1.6516095616055916E-2</c:v>
                </c:pt>
                <c:pt idx="1">
                  <c:v>1.8255293170607843E-2</c:v>
                </c:pt>
                <c:pt idx="2">
                  <c:v>2.1802525640382462E-2</c:v>
                </c:pt>
                <c:pt idx="3">
                  <c:v>2.4300518262769358E-2</c:v>
                </c:pt>
                <c:pt idx="4">
                  <c:v>2.4186796165278183E-2</c:v>
                </c:pt>
                <c:pt idx="5">
                  <c:v>3.0329691380407343E-2</c:v>
                </c:pt>
              </c:numCache>
            </c:numRef>
          </c:val>
        </c:ser>
        <c:dLbls>
          <c:showLegendKey val="0"/>
          <c:showVal val="0"/>
          <c:showCatName val="0"/>
          <c:showSerName val="0"/>
          <c:showPercent val="0"/>
          <c:showBubbleSize val="0"/>
        </c:dLbls>
        <c:gapWidth val="73"/>
        <c:shape val="cylinder"/>
        <c:axId val="287348424"/>
        <c:axId val="287348816"/>
        <c:axId val="0"/>
      </c:bar3DChart>
      <c:catAx>
        <c:axId val="287348424"/>
        <c:scaling>
          <c:orientation val="minMax"/>
        </c:scaling>
        <c:delete val="0"/>
        <c:axPos val="b"/>
        <c:numFmt formatCode="General" sourceLinked="1"/>
        <c:majorTickMark val="none"/>
        <c:minorTickMark val="none"/>
        <c:tickLblPos val="nextTo"/>
        <c:txPr>
          <a:bodyPr/>
          <a:lstStyle/>
          <a:p>
            <a:pPr>
              <a:defRPr sz="1400"/>
            </a:pPr>
            <a:endParaRPr lang="es-ES"/>
          </a:p>
        </c:txPr>
        <c:crossAx val="287348816"/>
        <c:crosses val="autoZero"/>
        <c:auto val="1"/>
        <c:lblAlgn val="ctr"/>
        <c:lblOffset val="100"/>
        <c:noMultiLvlLbl val="0"/>
      </c:catAx>
      <c:valAx>
        <c:axId val="287348816"/>
        <c:scaling>
          <c:orientation val="minMax"/>
        </c:scaling>
        <c:delete val="1"/>
        <c:axPos val="l"/>
        <c:numFmt formatCode="0.0%" sourceLinked="1"/>
        <c:majorTickMark val="out"/>
        <c:minorTickMark val="none"/>
        <c:tickLblPos val="nextTo"/>
        <c:crossAx val="287348424"/>
        <c:crosses val="autoZero"/>
        <c:crossBetween val="between"/>
      </c:valAx>
    </c:plotArea>
    <c:legend>
      <c:legendPos val="t"/>
      <c:layout>
        <c:manualLayout>
          <c:xMode val="edge"/>
          <c:yMode val="edge"/>
          <c:x val="0.20782324695761001"/>
          <c:y val="0.15990865727387912"/>
          <c:w val="0.54659541703361969"/>
          <c:h val="4.49315186679032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8.375914095079677E-2"/>
          <c:y val="0.13927639229346725"/>
          <c:w val="0.86086541355772062"/>
          <c:h val="0.82413573445582566"/>
        </c:manualLayout>
      </c:layout>
      <c:barChart>
        <c:barDir val="bar"/>
        <c:grouping val="stacked"/>
        <c:varyColors val="0"/>
        <c:ser>
          <c:idx val="0"/>
          <c:order val="0"/>
          <c:tx>
            <c:strRef>
              <c:f>'VI.3.12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edad'!$B$4:$B$14</c:f>
              <c:numCache>
                <c:formatCode>_(* #,##0_);_(* \(#,##0\);_(* "-"??_);_(@_)</c:formatCode>
                <c:ptCount val="11"/>
                <c:pt idx="0">
                  <c:v>293</c:v>
                </c:pt>
                <c:pt idx="1">
                  <c:v>145</c:v>
                </c:pt>
                <c:pt idx="2">
                  <c:v>37</c:v>
                </c:pt>
                <c:pt idx="3">
                  <c:v>9</c:v>
                </c:pt>
                <c:pt idx="4">
                  <c:v>7</c:v>
                </c:pt>
                <c:pt idx="5">
                  <c:v>2</c:v>
                </c:pt>
                <c:pt idx="6">
                  <c:v>3</c:v>
                </c:pt>
                <c:pt idx="7">
                  <c:v>67</c:v>
                </c:pt>
                <c:pt idx="8">
                  <c:v>66</c:v>
                </c:pt>
                <c:pt idx="9">
                  <c:v>83</c:v>
                </c:pt>
                <c:pt idx="10">
                  <c:v>262</c:v>
                </c:pt>
              </c:numCache>
            </c:numRef>
          </c:val>
        </c:ser>
        <c:ser>
          <c:idx val="1"/>
          <c:order val="1"/>
          <c:tx>
            <c:strRef>
              <c:f>'VI.3.12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edad'!$C$4:$C$14</c:f>
              <c:numCache>
                <c:formatCode>_(* #,##0_);_(* \(#,##0\);_(* "-"??_);_(@_)</c:formatCode>
                <c:ptCount val="11"/>
                <c:pt idx="0">
                  <c:v>197</c:v>
                </c:pt>
                <c:pt idx="1">
                  <c:v>345</c:v>
                </c:pt>
                <c:pt idx="2">
                  <c:v>740</c:v>
                </c:pt>
                <c:pt idx="3">
                  <c:v>1413</c:v>
                </c:pt>
                <c:pt idx="4">
                  <c:v>2255</c:v>
                </c:pt>
                <c:pt idx="5">
                  <c:v>3831</c:v>
                </c:pt>
                <c:pt idx="6">
                  <c:v>5159</c:v>
                </c:pt>
                <c:pt idx="7">
                  <c:v>7432</c:v>
                </c:pt>
                <c:pt idx="8">
                  <c:v>8808</c:v>
                </c:pt>
                <c:pt idx="9">
                  <c:v>9487</c:v>
                </c:pt>
                <c:pt idx="10">
                  <c:v>7589</c:v>
                </c:pt>
              </c:numCache>
            </c:numRef>
          </c:val>
        </c:ser>
        <c:ser>
          <c:idx val="2"/>
          <c:order val="2"/>
          <c:tx>
            <c:strRef>
              <c:f>'VI.3.12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edad'!$D$4:$D$14</c:f>
              <c:numCache>
                <c:formatCode>_(* #,##0_);_(* \(#,##0\);_(* "-"??_);_(@_)</c:formatCode>
                <c:ptCount val="11"/>
                <c:pt idx="0">
                  <c:v>864</c:v>
                </c:pt>
                <c:pt idx="1">
                  <c:v>1445</c:v>
                </c:pt>
                <c:pt idx="2">
                  <c:v>2043</c:v>
                </c:pt>
                <c:pt idx="3">
                  <c:v>3274</c:v>
                </c:pt>
                <c:pt idx="4">
                  <c:v>3942</c:v>
                </c:pt>
                <c:pt idx="5">
                  <c:v>5048</c:v>
                </c:pt>
                <c:pt idx="6">
                  <c:v>5877</c:v>
                </c:pt>
                <c:pt idx="7">
                  <c:v>7075</c:v>
                </c:pt>
                <c:pt idx="8">
                  <c:v>8172</c:v>
                </c:pt>
                <c:pt idx="9">
                  <c:v>8745</c:v>
                </c:pt>
                <c:pt idx="10">
                  <c:v>6388</c:v>
                </c:pt>
              </c:numCache>
            </c:numRef>
          </c:val>
        </c:ser>
        <c:ser>
          <c:idx val="3"/>
          <c:order val="3"/>
          <c:tx>
            <c:strRef>
              <c:f>'VI.3.12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edad'!$E$4:$E$14</c:f>
              <c:numCache>
                <c:formatCode>_(* #,##0_);_(* \(#,##0\);_(* "-"??_);_(@_)</c:formatCode>
                <c:ptCount val="11"/>
                <c:pt idx="0">
                  <c:v>688</c:v>
                </c:pt>
                <c:pt idx="1">
                  <c:v>1013</c:v>
                </c:pt>
                <c:pt idx="2">
                  <c:v>1536</c:v>
                </c:pt>
                <c:pt idx="3">
                  <c:v>2149</c:v>
                </c:pt>
                <c:pt idx="4">
                  <c:v>2740</c:v>
                </c:pt>
                <c:pt idx="5">
                  <c:v>3435</c:v>
                </c:pt>
                <c:pt idx="6">
                  <c:v>3723</c:v>
                </c:pt>
                <c:pt idx="7">
                  <c:v>4688</c:v>
                </c:pt>
                <c:pt idx="8">
                  <c:v>5492</c:v>
                </c:pt>
                <c:pt idx="9">
                  <c:v>5695</c:v>
                </c:pt>
                <c:pt idx="10">
                  <c:v>4364</c:v>
                </c:pt>
              </c:numCache>
            </c:numRef>
          </c:val>
        </c:ser>
        <c:ser>
          <c:idx val="4"/>
          <c:order val="4"/>
          <c:tx>
            <c:strRef>
              <c:f>'VI.3.12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edad'!$F$4:$F$14</c:f>
              <c:numCache>
                <c:formatCode>_(* #,##0_);_(* \(#,##0\);_(* "-"??_);_(@_)</c:formatCode>
                <c:ptCount val="11"/>
                <c:pt idx="0">
                  <c:v>388</c:v>
                </c:pt>
                <c:pt idx="1">
                  <c:v>511</c:v>
                </c:pt>
                <c:pt idx="2">
                  <c:v>807</c:v>
                </c:pt>
                <c:pt idx="3">
                  <c:v>1123</c:v>
                </c:pt>
                <c:pt idx="4">
                  <c:v>1323</c:v>
                </c:pt>
                <c:pt idx="5">
                  <c:v>1663</c:v>
                </c:pt>
                <c:pt idx="6">
                  <c:v>1924</c:v>
                </c:pt>
                <c:pt idx="7">
                  <c:v>2392</c:v>
                </c:pt>
                <c:pt idx="8">
                  <c:v>2933</c:v>
                </c:pt>
                <c:pt idx="9">
                  <c:v>3251</c:v>
                </c:pt>
                <c:pt idx="10">
                  <c:v>2377</c:v>
                </c:pt>
              </c:numCache>
            </c:numRef>
          </c:val>
        </c:ser>
        <c:ser>
          <c:idx val="5"/>
          <c:order val="5"/>
          <c:tx>
            <c:strRef>
              <c:f>'VI.3.12 Accid x rango de edad'!$G$3</c:f>
              <c:strCache>
                <c:ptCount val="1"/>
                <c:pt idx="0">
                  <c:v>Mayor de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'VI.3.12 Accid x rango de edad'!$A$4:$A$14</c:f>
              <c:strCache>
                <c:ptCount val="11"/>
                <c:pt idx="0">
                  <c:v>2004</c:v>
                </c:pt>
                <c:pt idx="1">
                  <c:v>2005</c:v>
                </c:pt>
                <c:pt idx="2">
                  <c:v>2006</c:v>
                </c:pt>
                <c:pt idx="3">
                  <c:v>2007</c:v>
                </c:pt>
                <c:pt idx="4">
                  <c:v>2008</c:v>
                </c:pt>
                <c:pt idx="5">
                  <c:v>2009</c:v>
                </c:pt>
                <c:pt idx="6">
                  <c:v>2010</c:v>
                </c:pt>
                <c:pt idx="7">
                  <c:v>2011</c:v>
                </c:pt>
                <c:pt idx="8">
                  <c:v>2012</c:v>
                </c:pt>
                <c:pt idx="9">
                  <c:v>2013</c:v>
                </c:pt>
                <c:pt idx="10">
                  <c:v>Oct. 14</c:v>
                </c:pt>
              </c:strCache>
            </c:strRef>
          </c:cat>
          <c:val>
            <c:numRef>
              <c:f>'VI.3.12 Accid x rango de edad'!$G$4:$G$14</c:f>
              <c:numCache>
                <c:formatCode>_(* #,##0_);_(* \(#,##0\);_(* "-"??_);_(@_)</c:formatCode>
                <c:ptCount val="11"/>
                <c:pt idx="0">
                  <c:v>214</c:v>
                </c:pt>
                <c:pt idx="1">
                  <c:v>275</c:v>
                </c:pt>
                <c:pt idx="2">
                  <c:v>371</c:v>
                </c:pt>
                <c:pt idx="3">
                  <c:v>571</c:v>
                </c:pt>
                <c:pt idx="4">
                  <c:v>715</c:v>
                </c:pt>
                <c:pt idx="5">
                  <c:v>705</c:v>
                </c:pt>
                <c:pt idx="6">
                  <c:v>770</c:v>
                </c:pt>
                <c:pt idx="7">
                  <c:v>943</c:v>
                </c:pt>
                <c:pt idx="8">
                  <c:v>1217</c:v>
                </c:pt>
                <c:pt idx="9">
                  <c:v>1374</c:v>
                </c:pt>
                <c:pt idx="10">
                  <c:v>1216</c:v>
                </c:pt>
              </c:numCache>
            </c:numRef>
          </c:val>
        </c:ser>
        <c:dLbls>
          <c:showLegendKey val="0"/>
          <c:showVal val="0"/>
          <c:showCatName val="0"/>
          <c:showSerName val="0"/>
          <c:showPercent val="0"/>
          <c:showBubbleSize val="0"/>
        </c:dLbls>
        <c:gapWidth val="19"/>
        <c:overlap val="100"/>
        <c:axId val="287349600"/>
        <c:axId val="287349992"/>
      </c:barChart>
      <c:catAx>
        <c:axId val="287349600"/>
        <c:scaling>
          <c:orientation val="minMax"/>
        </c:scaling>
        <c:delete val="0"/>
        <c:axPos val="l"/>
        <c:numFmt formatCode="General" sourceLinked="1"/>
        <c:majorTickMark val="none"/>
        <c:minorTickMark val="none"/>
        <c:tickLblPos val="nextTo"/>
        <c:txPr>
          <a:bodyPr/>
          <a:lstStyle/>
          <a:p>
            <a:pPr>
              <a:defRPr sz="1200"/>
            </a:pPr>
            <a:endParaRPr lang="es-ES"/>
          </a:p>
        </c:txPr>
        <c:crossAx val="287349992"/>
        <c:crosses val="autoZero"/>
        <c:auto val="1"/>
        <c:lblAlgn val="ctr"/>
        <c:lblOffset val="100"/>
        <c:noMultiLvlLbl val="0"/>
      </c:catAx>
      <c:valAx>
        <c:axId val="287349992"/>
        <c:scaling>
          <c:orientation val="minMax"/>
        </c:scaling>
        <c:delete val="1"/>
        <c:axPos val="b"/>
        <c:numFmt formatCode="_(* #,##0_);_(* \(#,##0\);_(* &quot;-&quot;??_);_(@_)" sourceLinked="1"/>
        <c:majorTickMark val="out"/>
        <c:minorTickMark val="none"/>
        <c:tickLblPos val="nextTo"/>
        <c:crossAx val="287349600"/>
        <c:crosses val="autoZero"/>
        <c:crossBetween val="between"/>
      </c:valAx>
    </c:plotArea>
    <c:legend>
      <c:legendPos val="t"/>
      <c:layout>
        <c:manualLayout>
          <c:xMode val="edge"/>
          <c:yMode val="edge"/>
          <c:x val="8.4840639351746988E-2"/>
          <c:y val="2.9229417623930824E-2"/>
          <c:w val="0.83139628608457994"/>
          <c:h val="3.826232161436592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8.7786809087042256E-2"/>
          <c:y val="0.12244890237289487"/>
          <c:w val="0.83356648574039882"/>
          <c:h val="0.83803481375841393"/>
        </c:manualLayout>
      </c:layout>
      <c:barChart>
        <c:barDir val="bar"/>
        <c:grouping val="stacked"/>
        <c:varyColors val="0"/>
        <c:ser>
          <c:idx val="0"/>
          <c:order val="0"/>
          <c:tx>
            <c:strRef>
              <c:f>'VI.3.13 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edad'!$P$4:$P$9</c:f>
              <c:numCache>
                <c:formatCode>0.00%</c:formatCode>
                <c:ptCount val="6"/>
                <c:pt idx="0">
                  <c:v>8.9968511021142601E-5</c:v>
                </c:pt>
                <c:pt idx="1">
                  <c:v>1.2936052779095338E-4</c:v>
                </c:pt>
                <c:pt idx="2">
                  <c:v>2.9626354189697104E-3</c:v>
                </c:pt>
                <c:pt idx="3">
                  <c:v>3.0704815073272856E-3</c:v>
                </c:pt>
                <c:pt idx="4">
                  <c:v>4.0258039481980892E-3</c:v>
                </c:pt>
                <c:pt idx="5">
                  <c:v>1.2453063358524644E-2</c:v>
                </c:pt>
              </c:numCache>
            </c:numRef>
          </c:val>
        </c:ser>
        <c:ser>
          <c:idx val="1"/>
          <c:order val="1"/>
          <c:tx>
            <c:strRef>
              <c:f>'VI.3.13 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edad'!$Q$4:$Q$9</c:f>
              <c:numCache>
                <c:formatCode>0.00%</c:formatCode>
                <c:ptCount val="6"/>
                <c:pt idx="0">
                  <c:v>1.0963820251730001E-2</c:v>
                </c:pt>
                <c:pt idx="1">
                  <c:v>1.3894874060028872E-2</c:v>
                </c:pt>
                <c:pt idx="2">
                  <c:v>1.9229823821487621E-2</c:v>
                </c:pt>
                <c:pt idx="3">
                  <c:v>2.1983342775921153E-2</c:v>
                </c:pt>
                <c:pt idx="4">
                  <c:v>2.2189996140666846E-2</c:v>
                </c:pt>
                <c:pt idx="5">
                  <c:v>1.6508736208276774E-2</c:v>
                </c:pt>
              </c:numCache>
            </c:numRef>
          </c:val>
        </c:ser>
        <c:ser>
          <c:idx val="2"/>
          <c:order val="2"/>
          <c:tx>
            <c:strRef>
              <c:f>'VI.3.13 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edad'!$R$4:$R$9</c:f>
              <c:numCache>
                <c:formatCode>0.00%</c:formatCode>
                <c:ptCount val="6"/>
                <c:pt idx="0">
                  <c:v>1.4119608298346652E-2</c:v>
                </c:pt>
                <c:pt idx="1">
                  <c:v>1.5491921899836303E-2</c:v>
                </c:pt>
                <c:pt idx="2">
                  <c:v>1.7742323780481687E-2</c:v>
                </c:pt>
                <c:pt idx="3">
                  <c:v>1.9682792008381807E-2</c:v>
                </c:pt>
                <c:pt idx="4">
                  <c:v>1.9818876545056499E-2</c:v>
                </c:pt>
                <c:pt idx="5">
                  <c:v>1.3503943582772959E-2</c:v>
                </c:pt>
              </c:numCache>
            </c:numRef>
          </c:val>
        </c:ser>
        <c:ser>
          <c:idx val="3"/>
          <c:order val="3"/>
          <c:tx>
            <c:strRef>
              <c:f>'VI.3.13 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edad'!$S$4:$S$9</c:f>
              <c:numCache>
                <c:formatCode>0.00%</c:formatCode>
                <c:ptCount val="6"/>
                <c:pt idx="0">
                  <c:v>1.2675276752767528E-2</c:v>
                </c:pt>
                <c:pt idx="1">
                  <c:v>1.3145350931084888E-2</c:v>
                </c:pt>
                <c:pt idx="2">
                  <c:v>1.5684647580556123E-2</c:v>
                </c:pt>
                <c:pt idx="3">
                  <c:v>1.7477699384843538E-2</c:v>
                </c:pt>
                <c:pt idx="4">
                  <c:v>1.7082096043672574E-2</c:v>
                </c:pt>
                <c:pt idx="5">
                  <c:v>1.2254881312429269E-2</c:v>
                </c:pt>
              </c:numCache>
            </c:numRef>
          </c:val>
        </c:ser>
        <c:ser>
          <c:idx val="4"/>
          <c:order val="4"/>
          <c:tx>
            <c:strRef>
              <c:f>'VI.3.13 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edad'!$T$4:$T$9</c:f>
              <c:numCache>
                <c:formatCode>0.00%</c:formatCode>
                <c:ptCount val="6"/>
                <c:pt idx="0">
                  <c:v>1.0818199570396408E-2</c:v>
                </c:pt>
                <c:pt idx="1">
                  <c:v>1.1883952340656829E-2</c:v>
                </c:pt>
                <c:pt idx="2">
                  <c:v>1.3837387556763949E-2</c:v>
                </c:pt>
                <c:pt idx="3">
                  <c:v>1.5980516084038009E-2</c:v>
                </c:pt>
                <c:pt idx="4">
                  <c:v>1.6098123783727575E-2</c:v>
                </c:pt>
                <c:pt idx="5">
                  <c:v>1.074175501387345E-2</c:v>
                </c:pt>
              </c:numCache>
            </c:numRef>
          </c:val>
        </c:ser>
        <c:ser>
          <c:idx val="5"/>
          <c:order val="5"/>
          <c:tx>
            <c:strRef>
              <c:f>'VI.3.13 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'VI.3.13 Accid x edad'!$A$4:$A$9</c:f>
              <c:strCache>
                <c:ptCount val="6"/>
                <c:pt idx="0">
                  <c:v>2009</c:v>
                </c:pt>
                <c:pt idx="1">
                  <c:v>2010</c:v>
                </c:pt>
                <c:pt idx="2">
                  <c:v>2011</c:v>
                </c:pt>
                <c:pt idx="3">
                  <c:v>2012</c:v>
                </c:pt>
                <c:pt idx="4">
                  <c:v>2013</c:v>
                </c:pt>
                <c:pt idx="5">
                  <c:v>Oct.14</c:v>
                </c:pt>
              </c:strCache>
            </c:strRef>
          </c:cat>
          <c:val>
            <c:numRef>
              <c:f>'VI.3.13 Accid x edad'!$U$4:$U$9</c:f>
              <c:numCache>
                <c:formatCode>0.00%</c:formatCode>
                <c:ptCount val="6"/>
                <c:pt idx="0">
                  <c:v>9.5365635906176447E-3</c:v>
                </c:pt>
                <c:pt idx="1">
                  <c:v>9.6091449108970193E-3</c:v>
                </c:pt>
                <c:pt idx="2">
                  <c:v>1.0695005217075716E-2</c:v>
                </c:pt>
                <c:pt idx="3">
                  <c:v>1.2788852576160402E-2</c:v>
                </c:pt>
                <c:pt idx="4">
                  <c:v>1.3013212103992044E-2</c:v>
                </c:pt>
                <c:pt idx="5">
                  <c:v>1.013071623164016E-2</c:v>
                </c:pt>
              </c:numCache>
            </c:numRef>
          </c:val>
        </c:ser>
        <c:dLbls>
          <c:showLegendKey val="0"/>
          <c:showVal val="1"/>
          <c:showCatName val="0"/>
          <c:showSerName val="0"/>
          <c:showPercent val="0"/>
          <c:showBubbleSize val="0"/>
        </c:dLbls>
        <c:gapWidth val="9"/>
        <c:overlap val="100"/>
        <c:axId val="287350776"/>
        <c:axId val="287351168"/>
      </c:barChart>
      <c:catAx>
        <c:axId val="287350776"/>
        <c:scaling>
          <c:orientation val="minMax"/>
        </c:scaling>
        <c:delete val="0"/>
        <c:axPos val="l"/>
        <c:numFmt formatCode="General" sourceLinked="1"/>
        <c:majorTickMark val="none"/>
        <c:minorTickMark val="none"/>
        <c:tickLblPos val="nextTo"/>
        <c:txPr>
          <a:bodyPr/>
          <a:lstStyle/>
          <a:p>
            <a:pPr>
              <a:defRPr sz="1200"/>
            </a:pPr>
            <a:endParaRPr lang="es-ES"/>
          </a:p>
        </c:txPr>
        <c:crossAx val="287351168"/>
        <c:crosses val="autoZero"/>
        <c:auto val="1"/>
        <c:lblAlgn val="ctr"/>
        <c:lblOffset val="100"/>
        <c:noMultiLvlLbl val="0"/>
      </c:catAx>
      <c:valAx>
        <c:axId val="287351168"/>
        <c:scaling>
          <c:orientation val="minMax"/>
        </c:scaling>
        <c:delete val="1"/>
        <c:axPos val="b"/>
        <c:numFmt formatCode="0.00%" sourceLinked="1"/>
        <c:majorTickMark val="out"/>
        <c:minorTickMark val="none"/>
        <c:tickLblPos val="nextTo"/>
        <c:crossAx val="287350776"/>
        <c:crosses val="autoZero"/>
        <c:crossBetween val="between"/>
      </c:valAx>
    </c:plotArea>
    <c:legend>
      <c:legendPos val="t"/>
      <c:layout>
        <c:manualLayout>
          <c:xMode val="edge"/>
          <c:yMode val="edge"/>
          <c:x val="6.125459528090331E-2"/>
          <c:y val="1.5820956578368149E-2"/>
          <c:w val="0.7035393104901585"/>
          <c:h val="5.194226333537151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Cantidad de Expedientes Calificados  por la ARL Vs. Casos Reportados</a:t>
            </a:r>
          </a:p>
        </c:rich>
      </c:tx>
      <c:layout>
        <c:manualLayout>
          <c:xMode val="edge"/>
          <c:yMode val="edge"/>
          <c:x val="0.21486284055517699"/>
          <c:y val="3.2782364879412829E-2"/>
        </c:manualLayout>
      </c:layout>
      <c:overlay val="1"/>
    </c:title>
    <c:autoTitleDeleted val="0"/>
    <c:view3D>
      <c:rotX val="10"/>
      <c:rotY val="0"/>
      <c:rAngAx val="0"/>
    </c:view3D>
    <c:floor>
      <c:thickness val="0"/>
    </c:floor>
    <c:sideWall>
      <c:thickness val="0"/>
    </c:sideWall>
    <c:backWall>
      <c:thickness val="0"/>
    </c:backWall>
    <c:plotArea>
      <c:layout>
        <c:manualLayout>
          <c:layoutTarget val="inner"/>
          <c:xMode val="edge"/>
          <c:yMode val="edge"/>
          <c:x val="3.7645733444772859E-3"/>
          <c:y val="0.20649063493321598"/>
          <c:w val="0.98040565029292892"/>
          <c:h val="0.66981253981090871"/>
        </c:manualLayout>
      </c:layout>
      <c:bar3DChart>
        <c:barDir val="col"/>
        <c:grouping val="clustered"/>
        <c:varyColors val="0"/>
        <c:ser>
          <c:idx val="0"/>
          <c:order val="0"/>
          <c:tx>
            <c:strRef>
              <c:f>'VI.3.16 EC. Accid. Lab'!$B$3</c:f>
              <c:strCache>
                <c:ptCount val="1"/>
                <c:pt idx="0">
                  <c:v>Total Casos Calificados</c:v>
                </c:pt>
              </c:strCache>
            </c:strRef>
          </c:tx>
          <c:invertIfNegative val="0"/>
          <c:dLbls>
            <c:dLbl>
              <c:idx val="0"/>
              <c:layout>
                <c:manualLayout>
                  <c:x val="1.6717653614766123E-3"/>
                  <c:y val="-8.990590768301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017114659118048E-4"/>
                  <c:y val="-4.554986616808441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624488967412933E-4"/>
                  <c:y val="-1.907391619896499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9957387386735394E-3"/>
                  <c:y val="-3.587731911269945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529566398998112E-3"/>
                  <c:y val="-3.538791518902822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0977564019722074E-3"/>
                  <c:y val="-8.129400322942405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'VI.3.16 EC. Accid. Lab'!$A$4:$A$9</c:f>
              <c:strCache>
                <c:ptCount val="6"/>
                <c:pt idx="0">
                  <c:v>2009</c:v>
                </c:pt>
                <c:pt idx="1">
                  <c:v>2010</c:v>
                </c:pt>
                <c:pt idx="2">
                  <c:v>2011</c:v>
                </c:pt>
                <c:pt idx="3">
                  <c:v>2012</c:v>
                </c:pt>
                <c:pt idx="4">
                  <c:v>2013</c:v>
                </c:pt>
                <c:pt idx="5">
                  <c:v>2014</c:v>
                </c:pt>
              </c:strCache>
            </c:strRef>
          </c:cat>
          <c:val>
            <c:numRef>
              <c:f>'VI.3.16 EC. Accid. Lab'!$B$4:$B$9</c:f>
              <c:numCache>
                <c:formatCode>_(* #,##0_);_(* \(#,##0\);_(* "-"??_);_(@_)</c:formatCode>
                <c:ptCount val="6"/>
                <c:pt idx="0">
                  <c:v>14329</c:v>
                </c:pt>
                <c:pt idx="1">
                  <c:v>16871</c:v>
                </c:pt>
                <c:pt idx="2">
                  <c:v>21189</c:v>
                </c:pt>
                <c:pt idx="3">
                  <c:v>18643</c:v>
                </c:pt>
                <c:pt idx="4">
                  <c:v>28754</c:v>
                </c:pt>
                <c:pt idx="5">
                  <c:v>30331</c:v>
                </c:pt>
              </c:numCache>
            </c:numRef>
          </c:val>
        </c:ser>
        <c:ser>
          <c:idx val="1"/>
          <c:order val="1"/>
          <c:tx>
            <c:strRef>
              <c:f>'VI.3.16 EC. Accid. Lab'!$C$3</c:f>
              <c:strCache>
                <c:ptCount val="1"/>
                <c:pt idx="0">
                  <c:v>Total Casos Reportados</c:v>
                </c:pt>
              </c:strCache>
            </c:strRef>
          </c:tx>
          <c:spPr>
            <a:solidFill>
              <a:schemeClr val="accent3">
                <a:lumMod val="50000"/>
              </a:schemeClr>
            </a:solidFill>
          </c:spPr>
          <c:invertIfNegative val="0"/>
          <c:dLbls>
            <c:dLbl>
              <c:idx val="0"/>
              <c:layout>
                <c:manualLayout>
                  <c:x val="7.8386186414071916E-3"/>
                  <c:y val="-1.83802463097740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073411555823902E-2"/>
                  <c:y val="-1.22821129605230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7796881370137674E-3"/>
                  <c:y val="-5.023209780504822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0337520156127928E-4"/>
                  <c:y val="-7.151234316810575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780302254901654E-3"/>
                  <c:y val="-1.03241763452309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'VI.3.16 EC. Accid. Lab'!$A$4:$A$9</c:f>
              <c:strCache>
                <c:ptCount val="6"/>
                <c:pt idx="0">
                  <c:v>2009</c:v>
                </c:pt>
                <c:pt idx="1">
                  <c:v>2010</c:v>
                </c:pt>
                <c:pt idx="2">
                  <c:v>2011</c:v>
                </c:pt>
                <c:pt idx="3">
                  <c:v>2012</c:v>
                </c:pt>
                <c:pt idx="4">
                  <c:v>2013</c:v>
                </c:pt>
                <c:pt idx="5">
                  <c:v>2014</c:v>
                </c:pt>
              </c:strCache>
            </c:strRef>
          </c:cat>
          <c:val>
            <c:numRef>
              <c:f>'VI.3.16 EC. Accid. Lab'!$C$4:$C$9</c:f>
              <c:numCache>
                <c:formatCode>_(* #,##0_);_(* \(#,##0\);_(* "-"??_);_(@_)</c:formatCode>
                <c:ptCount val="6"/>
                <c:pt idx="0">
                  <c:v>14683</c:v>
                </c:pt>
                <c:pt idx="1">
                  <c:v>17456</c:v>
                </c:pt>
                <c:pt idx="2">
                  <c:v>22597</c:v>
                </c:pt>
                <c:pt idx="3">
                  <c:v>26688</c:v>
                </c:pt>
                <c:pt idx="4">
                  <c:v>28635</c:v>
                </c:pt>
                <c:pt idx="5">
                  <c:v>31032</c:v>
                </c:pt>
              </c:numCache>
            </c:numRef>
          </c:val>
        </c:ser>
        <c:dLbls>
          <c:showLegendKey val="0"/>
          <c:showVal val="0"/>
          <c:showCatName val="0"/>
          <c:showSerName val="0"/>
          <c:showPercent val="0"/>
          <c:showBubbleSize val="0"/>
        </c:dLbls>
        <c:gapWidth val="59"/>
        <c:gapDepth val="147"/>
        <c:shape val="cylinder"/>
        <c:axId val="287351952"/>
        <c:axId val="287352344"/>
        <c:axId val="0"/>
      </c:bar3DChart>
      <c:catAx>
        <c:axId val="287351952"/>
        <c:scaling>
          <c:orientation val="minMax"/>
        </c:scaling>
        <c:delete val="0"/>
        <c:axPos val="b"/>
        <c:numFmt formatCode="General" sourceLinked="1"/>
        <c:majorTickMark val="none"/>
        <c:minorTickMark val="none"/>
        <c:tickLblPos val="nextTo"/>
        <c:txPr>
          <a:bodyPr/>
          <a:lstStyle/>
          <a:p>
            <a:pPr>
              <a:defRPr sz="1800"/>
            </a:pPr>
            <a:endParaRPr lang="es-ES"/>
          </a:p>
        </c:txPr>
        <c:crossAx val="287352344"/>
        <c:crosses val="autoZero"/>
        <c:auto val="1"/>
        <c:lblAlgn val="ctr"/>
        <c:lblOffset val="100"/>
        <c:noMultiLvlLbl val="0"/>
      </c:catAx>
      <c:valAx>
        <c:axId val="287352344"/>
        <c:scaling>
          <c:orientation val="minMax"/>
        </c:scaling>
        <c:delete val="1"/>
        <c:axPos val="l"/>
        <c:numFmt formatCode="_(* #,##0_);_(* \(#,##0\);_(* &quot;-&quot;??_);_(@_)" sourceLinked="1"/>
        <c:majorTickMark val="out"/>
        <c:minorTickMark val="none"/>
        <c:tickLblPos val="nextTo"/>
        <c:crossAx val="287351952"/>
        <c:crosses val="autoZero"/>
        <c:crossBetween val="between"/>
      </c:valAx>
    </c:plotArea>
    <c:legend>
      <c:legendPos val="t"/>
      <c:layout>
        <c:manualLayout>
          <c:xMode val="edge"/>
          <c:yMode val="edge"/>
          <c:x val="0.22867222089494579"/>
          <c:y val="0.13805490491899461"/>
          <c:w val="0.5357628982271988"/>
          <c:h val="5.1488822896915004E-2"/>
        </c:manualLayout>
      </c:layout>
      <c:overlay val="0"/>
      <c:txPr>
        <a:bodyPr/>
        <a:lstStyle/>
        <a:p>
          <a:pPr>
            <a:defRPr sz="18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9785442759779936E-2"/>
          <c:y val="0.21957820082120194"/>
          <c:w val="0.85166395809850171"/>
          <c:h val="0.62078720938832865"/>
        </c:manualLayout>
      </c:layout>
      <c:lineChart>
        <c:grouping val="standard"/>
        <c:varyColors val="0"/>
        <c:ser>
          <c:idx val="1"/>
          <c:order val="0"/>
          <c:tx>
            <c:strRef>
              <c:f>'I.1.6 Proy. afil.Vs pobl.'!$B$6</c:f>
              <c:strCache>
                <c:ptCount val="1"/>
                <c:pt idx="0">
                  <c:v>Población Total</c:v>
                </c:pt>
              </c:strCache>
            </c:strRef>
          </c:tx>
          <c:spPr>
            <a:ln w="50800">
              <a:gradFill>
                <a:gsLst>
                  <a:gs pos="0">
                    <a:srgbClr val="FFF200"/>
                  </a:gs>
                  <a:gs pos="45000">
                    <a:srgbClr val="FF7A00"/>
                  </a:gs>
                  <a:gs pos="70000">
                    <a:srgbClr val="FF0300"/>
                  </a:gs>
                  <a:gs pos="100000">
                    <a:srgbClr val="4D0808"/>
                  </a:gs>
                </a:gsLst>
                <a:lin ang="5400000" scaled="0"/>
              </a:gradFill>
            </a:ln>
          </c:spPr>
          <c:marker>
            <c:symbol val="circle"/>
            <c:size val="10"/>
            <c:spPr>
              <a:gradFill>
                <a:gsLst>
                  <a:gs pos="0">
                    <a:srgbClr val="FBE4AE"/>
                  </a:gs>
                  <a:gs pos="13000">
                    <a:srgbClr val="BD922A"/>
                  </a:gs>
                  <a:gs pos="21001">
                    <a:srgbClr val="BD922A"/>
                  </a:gs>
                  <a:gs pos="63000">
                    <a:srgbClr val="FBE4AE"/>
                  </a:gs>
                  <a:gs pos="67000">
                    <a:srgbClr val="BD922A"/>
                  </a:gs>
                  <a:gs pos="69000">
                    <a:srgbClr val="835E17"/>
                  </a:gs>
                  <a:gs pos="82001">
                    <a:srgbClr val="A28949"/>
                  </a:gs>
                  <a:gs pos="100000">
                    <a:srgbClr val="FAE3B7"/>
                  </a:gs>
                </a:gsLst>
                <a:lin ang="5400000" scaled="0"/>
              </a:gradFill>
            </c:spPr>
          </c:marker>
          <c:dPt>
            <c:idx val="10"/>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1"/>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2"/>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3"/>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4"/>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5"/>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6"/>
            <c:bubble3D val="0"/>
            <c:spPr>
              <a:ln w="50800">
                <a:gradFill>
                  <a:gsLst>
                    <a:gs pos="0">
                      <a:srgbClr val="FFF200"/>
                    </a:gs>
                    <a:gs pos="45000">
                      <a:srgbClr val="FF7A00"/>
                    </a:gs>
                    <a:gs pos="70000">
                      <a:srgbClr val="FF0300"/>
                    </a:gs>
                    <a:gs pos="100000">
                      <a:srgbClr val="4D0808"/>
                    </a:gs>
                  </a:gsLst>
                  <a:lin ang="5400000" scaled="0"/>
                </a:gradFill>
                <a:prstDash val="sysDot"/>
              </a:ln>
            </c:spPr>
          </c:dPt>
          <c:dPt>
            <c:idx val="17"/>
            <c:bubble3D val="0"/>
            <c:spPr>
              <a:ln w="50800">
                <a:gradFill>
                  <a:gsLst>
                    <a:gs pos="0">
                      <a:srgbClr val="FFF200"/>
                    </a:gs>
                    <a:gs pos="45000">
                      <a:srgbClr val="FF7A00"/>
                    </a:gs>
                    <a:gs pos="70000">
                      <a:srgbClr val="FF0300"/>
                    </a:gs>
                    <a:gs pos="100000">
                      <a:srgbClr val="4D0808"/>
                    </a:gs>
                  </a:gsLst>
                  <a:lin ang="5400000" scaled="0"/>
                </a:gradFill>
                <a:prstDash val="sysDot"/>
              </a:ln>
            </c:spPr>
          </c:dPt>
          <c:dLbls>
            <c:dLbl>
              <c:idx val="15"/>
              <c:layout>
                <c:manualLayout>
                  <c:x val="-1.3429367846097809E-2"/>
                  <c:y val="-9.39737938569458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1.2820050641783069E-2"/>
                  <c:y val="-7.22516036897862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'I.1.6 Proy. afil.Vs pobl.'!$A$7:$A$24</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'I.1.6 Proy. afil.Vs pobl.'!$B$7:$B$24</c:f>
              <c:numCache>
                <c:formatCode>#,##0</c:formatCode>
                <c:ptCount val="16"/>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numCache>
            </c:numRef>
          </c:val>
          <c:smooth val="0"/>
        </c:ser>
        <c:dLbls>
          <c:showLegendKey val="0"/>
          <c:showVal val="0"/>
          <c:showCatName val="0"/>
          <c:showSerName val="0"/>
          <c:showPercent val="0"/>
          <c:showBubbleSize val="0"/>
        </c:dLbls>
        <c:marker val="1"/>
        <c:smooth val="0"/>
        <c:axId val="242518496"/>
        <c:axId val="242518888"/>
      </c:lineChart>
      <c:lineChart>
        <c:grouping val="standard"/>
        <c:varyColors val="0"/>
        <c:ser>
          <c:idx val="2"/>
          <c:order val="1"/>
          <c:tx>
            <c:strRef>
              <c:f>'I.1.6 Proy. afil.Vs pobl.'!$D$6</c:f>
              <c:strCache>
                <c:ptCount val="1"/>
                <c:pt idx="0">
                  <c:v>% Afiliación SDSS /Pob. Total</c:v>
                </c:pt>
              </c:strCache>
            </c:strRef>
          </c:tx>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dPt>
            <c:idx val="10"/>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1"/>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2"/>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3"/>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4"/>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5"/>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6"/>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Pt>
            <c:idx val="17"/>
            <c:bubble3D val="0"/>
            <c:spPr>
              <a:ln w="47625">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prstDash val="sysDot"/>
              </a:ln>
            </c:spPr>
          </c:dPt>
          <c:dLbls>
            <c:dLbl>
              <c:idx val="15"/>
              <c:layout>
                <c:manualLayout>
                  <c:x val="-2.1344739325380009E-2"/>
                  <c:y val="5.354097380726538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'I.1.6 Proy. afil.Vs pobl.'!$A$7:$A$24</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'I.1.6 Proy. afil.Vs pobl.'!$D$7:$D$24</c:f>
              <c:numCache>
                <c:formatCode>0%</c:formatCode>
                <c:ptCount val="16"/>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0.680745075044766</c:v>
                </c:pt>
                <c:pt idx="11">
                  <c:v>0.74037080945197309</c:v>
                </c:pt>
                <c:pt idx="12">
                  <c:v>0.80535634608227469</c:v>
                </c:pt>
                <c:pt idx="13">
                  <c:v>0.87619294714758877</c:v>
                </c:pt>
                <c:pt idx="14">
                  <c:v>0.95345483924777041</c:v>
                </c:pt>
                <c:pt idx="15">
                  <c:v>1.0377279208980563</c:v>
                </c:pt>
              </c:numCache>
            </c:numRef>
          </c:val>
          <c:smooth val="0"/>
        </c:ser>
        <c:dLbls>
          <c:showLegendKey val="0"/>
          <c:showVal val="0"/>
          <c:showCatName val="0"/>
          <c:showSerName val="0"/>
          <c:showPercent val="0"/>
          <c:showBubbleSize val="0"/>
        </c:dLbls>
        <c:marker val="1"/>
        <c:smooth val="0"/>
        <c:axId val="242519672"/>
        <c:axId val="242519280"/>
      </c:lineChart>
      <c:catAx>
        <c:axId val="242518496"/>
        <c:scaling>
          <c:orientation val="minMax"/>
        </c:scaling>
        <c:delete val="0"/>
        <c:axPos val="b"/>
        <c:numFmt formatCode="General" sourceLinked="0"/>
        <c:majorTickMark val="out"/>
        <c:minorTickMark val="none"/>
        <c:tickLblPos val="nextTo"/>
        <c:txPr>
          <a:bodyPr rot="-2700000" vert="horz"/>
          <a:lstStyle/>
          <a:p>
            <a:pPr>
              <a:defRPr sz="1800"/>
            </a:pPr>
            <a:endParaRPr lang="es-ES"/>
          </a:p>
        </c:txPr>
        <c:crossAx val="242518888"/>
        <c:crosses val="autoZero"/>
        <c:auto val="1"/>
        <c:lblAlgn val="ctr"/>
        <c:lblOffset val="100"/>
        <c:noMultiLvlLbl val="0"/>
      </c:catAx>
      <c:valAx>
        <c:axId val="242518888"/>
        <c:scaling>
          <c:orientation val="minMax"/>
        </c:scaling>
        <c:delete val="0"/>
        <c:axPos val="l"/>
        <c:numFmt formatCode="#,##0" sourceLinked="1"/>
        <c:majorTickMark val="out"/>
        <c:minorTickMark val="none"/>
        <c:tickLblPos val="nextTo"/>
        <c:txPr>
          <a:bodyPr/>
          <a:lstStyle/>
          <a:p>
            <a:pPr>
              <a:defRPr sz="1600"/>
            </a:pPr>
            <a:endParaRPr lang="es-ES"/>
          </a:p>
        </c:txPr>
        <c:crossAx val="242518496"/>
        <c:crosses val="autoZero"/>
        <c:crossBetween val="between"/>
      </c:valAx>
      <c:valAx>
        <c:axId val="242519280"/>
        <c:scaling>
          <c:orientation val="minMax"/>
          <c:max val="1.2"/>
        </c:scaling>
        <c:delete val="0"/>
        <c:axPos val="r"/>
        <c:numFmt formatCode="0%" sourceLinked="1"/>
        <c:majorTickMark val="out"/>
        <c:minorTickMark val="none"/>
        <c:tickLblPos val="nextTo"/>
        <c:txPr>
          <a:bodyPr/>
          <a:lstStyle/>
          <a:p>
            <a:pPr>
              <a:defRPr sz="1600"/>
            </a:pPr>
            <a:endParaRPr lang="es-ES"/>
          </a:p>
        </c:txPr>
        <c:crossAx val="242519672"/>
        <c:crosses val="max"/>
        <c:crossBetween val="between"/>
      </c:valAx>
      <c:catAx>
        <c:axId val="242519672"/>
        <c:scaling>
          <c:orientation val="minMax"/>
        </c:scaling>
        <c:delete val="1"/>
        <c:axPos val="b"/>
        <c:numFmt formatCode="General" sourceLinked="1"/>
        <c:majorTickMark val="out"/>
        <c:minorTickMark val="none"/>
        <c:tickLblPos val="nextTo"/>
        <c:crossAx val="242519280"/>
        <c:crosses val="autoZero"/>
        <c:auto val="1"/>
        <c:lblAlgn val="ctr"/>
        <c:lblOffset val="100"/>
        <c:noMultiLvlLbl val="0"/>
      </c:catAx>
    </c:plotArea>
    <c:legend>
      <c:legendPos val="r"/>
      <c:layout>
        <c:manualLayout>
          <c:xMode val="edge"/>
          <c:yMode val="edge"/>
          <c:x val="0.31326769904024038"/>
          <c:y val="0.13446900639582485"/>
          <c:w val="0.47351198759284274"/>
          <c:h val="4.6798641356475754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Cantidad de Expedientes de Accidentes Laborales Calificados por la ARL</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543474826419586E-3"/>
          <c:y val="0.29310751158815196"/>
          <c:w val="0.97683526503194706"/>
          <c:h val="0.54718666885173928"/>
        </c:manualLayout>
      </c:layout>
      <c:bar3DChart>
        <c:barDir val="col"/>
        <c:grouping val="clustered"/>
        <c:varyColors val="0"/>
        <c:ser>
          <c:idx val="0"/>
          <c:order val="0"/>
          <c:tx>
            <c:strRef>
              <c:f>'VI.3.15 EC. Accid. Lab.'!$E$3</c:f>
              <c:strCache>
                <c:ptCount val="1"/>
                <c:pt idx="0">
                  <c:v>% Aprobado</c:v>
                </c:pt>
              </c:strCache>
            </c:strRef>
          </c:tx>
          <c:invertIfNegative val="0"/>
          <c:dLbls>
            <c:dLbl>
              <c:idx val="0"/>
              <c:layout>
                <c:manualLayout>
                  <c:x val="9.6777652629157114E-3"/>
                  <c:y val="-1.9609155804853368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052085872420219E-2"/>
                  <c:y val="-1.686546533264777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826368601053569E-2"/>
                  <c:y val="-2.274610857807509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047411269903587E-2"/>
                  <c:y val="-2.35471800681976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046932160980893E-2"/>
                  <c:y val="-2.416913181437262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328381591847722E-3"/>
                  <c:y val="-2.78758951976088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'VI.3.15 EC. Accid. Lab.'!$A$4:$A$9</c:f>
              <c:strCache>
                <c:ptCount val="6"/>
                <c:pt idx="0">
                  <c:v>2009</c:v>
                </c:pt>
                <c:pt idx="1">
                  <c:v>2010</c:v>
                </c:pt>
                <c:pt idx="2">
                  <c:v>2011</c:v>
                </c:pt>
                <c:pt idx="3">
                  <c:v>2012</c:v>
                </c:pt>
                <c:pt idx="4">
                  <c:v>2013</c:v>
                </c:pt>
                <c:pt idx="5">
                  <c:v>2014</c:v>
                </c:pt>
              </c:strCache>
            </c:strRef>
          </c:cat>
          <c:val>
            <c:numRef>
              <c:f>'VI.3.15 EC. Accid. Lab.'!$E$4:$E$9</c:f>
              <c:numCache>
                <c:formatCode>0.00%</c:formatCode>
                <c:ptCount val="6"/>
                <c:pt idx="0">
                  <c:v>0.93000209365622166</c:v>
                </c:pt>
                <c:pt idx="1">
                  <c:v>0.92744946950388241</c:v>
                </c:pt>
                <c:pt idx="2">
                  <c:v>0.96894615130492234</c:v>
                </c:pt>
                <c:pt idx="3">
                  <c:v>0.97151745963632463</c:v>
                </c:pt>
                <c:pt idx="4">
                  <c:v>0.94153856854698481</c:v>
                </c:pt>
                <c:pt idx="5">
                  <c:v>0.94695196333783915</c:v>
                </c:pt>
              </c:numCache>
            </c:numRef>
          </c:val>
        </c:ser>
        <c:ser>
          <c:idx val="1"/>
          <c:order val="1"/>
          <c:tx>
            <c:strRef>
              <c:f>'VI.3.15 EC. Accid. Lab.'!$F$3</c:f>
              <c:strCache>
                <c:ptCount val="1"/>
                <c:pt idx="0">
                  <c:v>% Declinado</c:v>
                </c:pt>
              </c:strCache>
            </c:strRef>
          </c:tx>
          <c:spPr>
            <a:solidFill>
              <a:schemeClr val="accent6">
                <a:lumMod val="50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432413724200572E-2"/>
                  <c:y val="-1.8583930131739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'VI.3.15 EC. Accid. Lab.'!$A$4:$A$9</c:f>
              <c:strCache>
                <c:ptCount val="6"/>
                <c:pt idx="0">
                  <c:v>2009</c:v>
                </c:pt>
                <c:pt idx="1">
                  <c:v>2010</c:v>
                </c:pt>
                <c:pt idx="2">
                  <c:v>2011</c:v>
                </c:pt>
                <c:pt idx="3">
                  <c:v>2012</c:v>
                </c:pt>
                <c:pt idx="4">
                  <c:v>2013</c:v>
                </c:pt>
                <c:pt idx="5">
                  <c:v>2014</c:v>
                </c:pt>
              </c:strCache>
            </c:strRef>
          </c:cat>
          <c:val>
            <c:numRef>
              <c:f>'VI.3.15 EC. Accid. Lab.'!$F$4:$F$9</c:f>
              <c:numCache>
                <c:formatCode>0.00%</c:formatCode>
                <c:ptCount val="6"/>
                <c:pt idx="0">
                  <c:v>6.9997906343778352E-2</c:v>
                </c:pt>
                <c:pt idx="1">
                  <c:v>7.2550530496117593E-2</c:v>
                </c:pt>
                <c:pt idx="2">
                  <c:v>3.1053848695077636E-2</c:v>
                </c:pt>
                <c:pt idx="3">
                  <c:v>2.8482540363675375E-2</c:v>
                </c:pt>
                <c:pt idx="4">
                  <c:v>5.8461431453015231E-2</c:v>
                </c:pt>
                <c:pt idx="5">
                  <c:v>5.3048036662160826E-2</c:v>
                </c:pt>
              </c:numCache>
            </c:numRef>
          </c:val>
        </c:ser>
        <c:dLbls>
          <c:showLegendKey val="0"/>
          <c:showVal val="0"/>
          <c:showCatName val="0"/>
          <c:showSerName val="0"/>
          <c:showPercent val="0"/>
          <c:showBubbleSize val="0"/>
        </c:dLbls>
        <c:gapWidth val="75"/>
        <c:shape val="cylinder"/>
        <c:axId val="287353128"/>
        <c:axId val="287353520"/>
        <c:axId val="0"/>
      </c:bar3DChart>
      <c:catAx>
        <c:axId val="287353128"/>
        <c:scaling>
          <c:orientation val="minMax"/>
        </c:scaling>
        <c:delete val="0"/>
        <c:axPos val="b"/>
        <c:numFmt formatCode="General" sourceLinked="1"/>
        <c:majorTickMark val="none"/>
        <c:minorTickMark val="none"/>
        <c:tickLblPos val="nextTo"/>
        <c:txPr>
          <a:bodyPr/>
          <a:lstStyle/>
          <a:p>
            <a:pPr>
              <a:defRPr sz="1600"/>
            </a:pPr>
            <a:endParaRPr lang="es-ES"/>
          </a:p>
        </c:txPr>
        <c:crossAx val="287353520"/>
        <c:crosses val="autoZero"/>
        <c:auto val="1"/>
        <c:lblAlgn val="ctr"/>
        <c:lblOffset val="100"/>
        <c:noMultiLvlLbl val="0"/>
      </c:catAx>
      <c:valAx>
        <c:axId val="287353520"/>
        <c:scaling>
          <c:orientation val="minMax"/>
        </c:scaling>
        <c:delete val="1"/>
        <c:axPos val="l"/>
        <c:numFmt formatCode="0.00%" sourceLinked="1"/>
        <c:majorTickMark val="out"/>
        <c:minorTickMark val="none"/>
        <c:tickLblPos val="nextTo"/>
        <c:crossAx val="287353128"/>
        <c:crosses val="autoZero"/>
        <c:crossBetween val="between"/>
      </c:valAx>
    </c:plotArea>
    <c:legend>
      <c:legendPos val="t"/>
      <c:layout>
        <c:manualLayout>
          <c:xMode val="edge"/>
          <c:yMode val="edge"/>
          <c:x val="0.28435074397179982"/>
          <c:y val="0.14042919387357752"/>
          <c:w val="0.44740132280776618"/>
          <c:h val="6.083298116937534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Seguro de Riesgos Laborales</a:t>
            </a:r>
          </a:p>
          <a:p>
            <a:pPr>
              <a:defRPr sz="1800"/>
            </a:pPr>
            <a:r>
              <a:rPr lang="en-US" sz="1800"/>
              <a:t>Cantidad de Expedientes Calificados por la ARL por Tipo de Accidente</a:t>
            </a:r>
          </a:p>
        </c:rich>
      </c:tx>
      <c:layout>
        <c:manualLayout>
          <c:xMode val="edge"/>
          <c:yMode val="edge"/>
          <c:x val="0.2670217657722766"/>
          <c:y val="1.0421864559823045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722313195781691E-2"/>
          <c:y val="0.27034855064714525"/>
          <c:w val="0.89098014963659811"/>
          <c:h val="0.61107363312328677"/>
        </c:manualLayout>
      </c:layout>
      <c:bar3DChart>
        <c:barDir val="col"/>
        <c:grouping val="clustered"/>
        <c:varyColors val="0"/>
        <c:ser>
          <c:idx val="0"/>
          <c:order val="0"/>
          <c:tx>
            <c:strRef>
              <c:f>'VI.3.17 EC. Accid. Lab x tipo'!$G$3</c:f>
              <c:strCache>
                <c:ptCount val="1"/>
                <c:pt idx="0">
                  <c:v>% Trabajo</c:v>
                </c:pt>
              </c:strCache>
            </c:strRef>
          </c:tx>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'VI.3.17 EC. Accid. Lab x tipo'!$A$4:$A$9</c:f>
              <c:strCache>
                <c:ptCount val="6"/>
                <c:pt idx="0">
                  <c:v>2009</c:v>
                </c:pt>
                <c:pt idx="1">
                  <c:v>2010</c:v>
                </c:pt>
                <c:pt idx="2">
                  <c:v>2011</c:v>
                </c:pt>
                <c:pt idx="3">
                  <c:v>2012</c:v>
                </c:pt>
                <c:pt idx="4">
                  <c:v>2013</c:v>
                </c:pt>
                <c:pt idx="5">
                  <c:v>2014</c:v>
                </c:pt>
              </c:strCache>
            </c:strRef>
          </c:cat>
          <c:val>
            <c:numRef>
              <c:f>'VI.3.17 EC. Accid. Lab x tipo'!$G$4:$G$9</c:f>
              <c:numCache>
                <c:formatCode>0.00%</c:formatCode>
                <c:ptCount val="6"/>
                <c:pt idx="0">
                  <c:v>0.76865098750785121</c:v>
                </c:pt>
                <c:pt idx="1">
                  <c:v>0.77037520004741866</c:v>
                </c:pt>
                <c:pt idx="2">
                  <c:v>0.74137524187078196</c:v>
                </c:pt>
                <c:pt idx="3">
                  <c:v>0.74601727189829958</c:v>
                </c:pt>
                <c:pt idx="4">
                  <c:v>0.59525631216526398</c:v>
                </c:pt>
                <c:pt idx="5">
                  <c:v>0.68853648082819563</c:v>
                </c:pt>
              </c:numCache>
            </c:numRef>
          </c:val>
        </c:ser>
        <c:ser>
          <c:idx val="1"/>
          <c:order val="1"/>
          <c:tx>
            <c:strRef>
              <c:f>'VI.3.17 EC. Accid. Lab x tipo'!$H$3</c:f>
              <c:strCache>
                <c:ptCount val="1"/>
                <c:pt idx="0">
                  <c:v>% Trayecto</c:v>
                </c:pt>
              </c:strCache>
            </c:strRef>
          </c:tx>
          <c:spPr>
            <a:solidFill>
              <a:schemeClr val="accent5">
                <a:lumMod val="50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226538257615728E-2"/>
                  <c:y val="-1.055061827755308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626182277069126E-2"/>
                  <c:y val="-8.662024185462803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'VI.3.17 EC. Accid. Lab x tipo'!$A$4:$A$9</c:f>
              <c:strCache>
                <c:ptCount val="6"/>
                <c:pt idx="0">
                  <c:v>2009</c:v>
                </c:pt>
                <c:pt idx="1">
                  <c:v>2010</c:v>
                </c:pt>
                <c:pt idx="2">
                  <c:v>2011</c:v>
                </c:pt>
                <c:pt idx="3">
                  <c:v>2012</c:v>
                </c:pt>
                <c:pt idx="4">
                  <c:v>2013</c:v>
                </c:pt>
                <c:pt idx="5">
                  <c:v>2014</c:v>
                </c:pt>
              </c:strCache>
            </c:strRef>
          </c:cat>
          <c:val>
            <c:numRef>
              <c:f>'VI.3.17 EC. Accid. Lab x tipo'!$H$4:$H$9</c:f>
              <c:numCache>
                <c:formatCode>0.00%</c:formatCode>
                <c:ptCount val="6"/>
                <c:pt idx="0">
                  <c:v>0.15192965315095261</c:v>
                </c:pt>
                <c:pt idx="1">
                  <c:v>0.14960583249362813</c:v>
                </c:pt>
                <c:pt idx="2">
                  <c:v>0.21987823870876397</c:v>
                </c:pt>
                <c:pt idx="3">
                  <c:v>0.21718607520248887</c:v>
                </c:pt>
                <c:pt idx="4">
                  <c:v>0.20922306461709675</c:v>
                </c:pt>
                <c:pt idx="5">
                  <c:v>0.24878836833602586</c:v>
                </c:pt>
              </c:numCache>
            </c:numRef>
          </c:val>
        </c:ser>
        <c:ser>
          <c:idx val="2"/>
          <c:order val="2"/>
          <c:tx>
            <c:strRef>
              <c:f>'VI.3.17 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879476946991748E-3"/>
                  <c:y val="-7.0711445466744454E-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227060395048E-3"/>
                  <c:y val="1.197337280124405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21702689125102E-2"/>
                  <c:y val="-6.990312557942223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4846969966622396E-3"/>
                  <c:y val="-6.217452769277553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3375177330530453E-3"/>
                  <c:y val="-3.89791088345826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'VI.3.17 EC. Accid. Lab x tipo'!$A$4:$A$9</c:f>
              <c:strCache>
                <c:ptCount val="6"/>
                <c:pt idx="0">
                  <c:v>2009</c:v>
                </c:pt>
                <c:pt idx="1">
                  <c:v>2010</c:v>
                </c:pt>
                <c:pt idx="2">
                  <c:v>2011</c:v>
                </c:pt>
                <c:pt idx="3">
                  <c:v>2012</c:v>
                </c:pt>
                <c:pt idx="4">
                  <c:v>2013</c:v>
                </c:pt>
                <c:pt idx="5">
                  <c:v>2014</c:v>
                </c:pt>
              </c:strCache>
            </c:strRef>
          </c:cat>
          <c:val>
            <c:numRef>
              <c:f>'VI.3.17 EC. Accid. Lab x tipo'!$I$4:$I$9</c:f>
              <c:numCache>
                <c:formatCode>0.00%</c:formatCode>
                <c:ptCount val="6"/>
                <c:pt idx="0">
                  <c:v>8.9329332123665294E-3</c:v>
                </c:pt>
                <c:pt idx="1">
                  <c:v>7.4684369628356352E-3</c:v>
                </c:pt>
                <c:pt idx="2">
                  <c:v>7.6926707253763748E-3</c:v>
                </c:pt>
                <c:pt idx="3">
                  <c:v>8.3141125355361261E-3</c:v>
                </c:pt>
                <c:pt idx="4">
                  <c:v>7.2685539403213465E-3</c:v>
                </c:pt>
                <c:pt idx="5">
                  <c:v>9.5611750354422861E-3</c:v>
                </c:pt>
              </c:numCache>
            </c:numRef>
          </c:val>
        </c:ser>
        <c:ser>
          <c:idx val="3"/>
          <c:order val="3"/>
          <c:tx>
            <c:strRef>
              <c:f>'VI.3.17 EC. Accid. Lab x tipo'!$J$3</c:f>
              <c:strCache>
                <c:ptCount val="1"/>
                <c:pt idx="0">
                  <c:v>% No Especificados</c:v>
                </c:pt>
              </c:strCache>
            </c:strRef>
          </c:tx>
          <c:spPr>
            <a:solidFill>
              <a:schemeClr val="accent4">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58822003123002E-2"/>
                  <c:y val="-2.24549522391074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504252650065367E-2"/>
                  <c:y val="-6.962974612858515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4749081076987993E-3"/>
                  <c:y val="-3.42559184814849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122839391411476E-2"/>
                  <c:y val="-6.496518139097103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'VI.3.17 EC. Accid. Lab x tipo'!$A$4:$A$9</c:f>
              <c:strCache>
                <c:ptCount val="6"/>
                <c:pt idx="0">
                  <c:v>2009</c:v>
                </c:pt>
                <c:pt idx="1">
                  <c:v>2010</c:v>
                </c:pt>
                <c:pt idx="2">
                  <c:v>2011</c:v>
                </c:pt>
                <c:pt idx="3">
                  <c:v>2012</c:v>
                </c:pt>
                <c:pt idx="4">
                  <c:v>2013</c:v>
                </c:pt>
                <c:pt idx="5">
                  <c:v>2014</c:v>
                </c:pt>
              </c:strCache>
            </c:strRef>
          </c:cat>
          <c:val>
            <c:numRef>
              <c:f>'VI.3.17 EC. Accid. Lab x tipo'!$J$4:$J$9</c:f>
              <c:numCache>
                <c:formatCode>0.00%</c:formatCode>
                <c:ptCount val="6"/>
                <c:pt idx="0">
                  <c:v>7.0486426128829646E-2</c:v>
                </c:pt>
                <c:pt idx="1">
                  <c:v>7.2550530496117593E-2</c:v>
                </c:pt>
                <c:pt idx="2">
                  <c:v>3.1053848695077636E-2</c:v>
                </c:pt>
                <c:pt idx="3">
                  <c:v>2.8482540363675375E-2</c:v>
                </c:pt>
                <c:pt idx="4">
                  <c:v>0.18825206927731794</c:v>
                </c:pt>
                <c:pt idx="5">
                  <c:v>5.3113975800336291E-2</c:v>
                </c:pt>
              </c:numCache>
            </c:numRef>
          </c:val>
        </c:ser>
        <c:dLbls>
          <c:showLegendKey val="0"/>
          <c:showVal val="0"/>
          <c:showCatName val="0"/>
          <c:showSerName val="0"/>
          <c:showPercent val="0"/>
          <c:showBubbleSize val="0"/>
        </c:dLbls>
        <c:gapWidth val="75"/>
        <c:shape val="cylinder"/>
        <c:axId val="287354304"/>
        <c:axId val="287354696"/>
        <c:axId val="0"/>
      </c:bar3DChart>
      <c:catAx>
        <c:axId val="287354304"/>
        <c:scaling>
          <c:orientation val="minMax"/>
        </c:scaling>
        <c:delete val="0"/>
        <c:axPos val="b"/>
        <c:numFmt formatCode="General" sourceLinked="1"/>
        <c:majorTickMark val="none"/>
        <c:minorTickMark val="none"/>
        <c:tickLblPos val="nextTo"/>
        <c:txPr>
          <a:bodyPr/>
          <a:lstStyle/>
          <a:p>
            <a:pPr>
              <a:defRPr sz="1600"/>
            </a:pPr>
            <a:endParaRPr lang="es-ES"/>
          </a:p>
        </c:txPr>
        <c:crossAx val="287354696"/>
        <c:crosses val="autoZero"/>
        <c:auto val="1"/>
        <c:lblAlgn val="ctr"/>
        <c:lblOffset val="100"/>
        <c:noMultiLvlLbl val="0"/>
      </c:catAx>
      <c:valAx>
        <c:axId val="287354696"/>
        <c:scaling>
          <c:orientation val="minMax"/>
        </c:scaling>
        <c:delete val="0"/>
        <c:axPos val="l"/>
        <c:numFmt formatCode="0.00%" sourceLinked="1"/>
        <c:majorTickMark val="none"/>
        <c:minorTickMark val="none"/>
        <c:tickLblPos val="nextTo"/>
        <c:spPr>
          <a:ln w="9525">
            <a:noFill/>
          </a:ln>
        </c:spPr>
        <c:crossAx val="287354304"/>
        <c:crosses val="autoZero"/>
        <c:crossBetween val="between"/>
      </c:valAx>
      <c:spPr>
        <a:noFill/>
        <a:ln w="25400">
          <a:noFill/>
        </a:ln>
      </c:spPr>
    </c:plotArea>
    <c:legend>
      <c:legendPos val="t"/>
      <c:layout>
        <c:manualLayout>
          <c:xMode val="edge"/>
          <c:yMode val="edge"/>
          <c:x val="4.6420416271738249E-2"/>
          <c:y val="0.11509994829913812"/>
          <c:w val="0.92238299715219152"/>
          <c:h val="4.4191273142102278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Seguro de Riesgos Laborales</a:t>
            </a:r>
          </a:p>
          <a:p>
            <a:pPr>
              <a:defRPr sz="1800"/>
            </a:pPr>
            <a:r>
              <a:rPr lang="en-US" sz="1800"/>
              <a:t>Cantidad de Expedientes Calificados  por la ARL por Grado de Lesión</a:t>
            </a:r>
          </a:p>
        </c:rich>
      </c:tx>
      <c:layout>
        <c:manualLayout>
          <c:xMode val="edge"/>
          <c:yMode val="edge"/>
          <c:x val="0.22416234387331174"/>
          <c:y val="1.66247780484833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20948204931661E-5"/>
          <c:y val="0.23989402095349507"/>
          <c:w val="0.99554662883874523"/>
          <c:h val="0.61053032889829884"/>
        </c:manualLayout>
      </c:layout>
      <c:bar3DChart>
        <c:barDir val="col"/>
        <c:grouping val="clustered"/>
        <c:varyColors val="0"/>
        <c:ser>
          <c:idx val="0"/>
          <c:order val="0"/>
          <c:tx>
            <c:strRef>
              <c:f>'VI.3.18 EC. Accid. Lab x Lesión'!$I$3</c:f>
              <c:strCache>
                <c:ptCount val="1"/>
                <c:pt idx="0">
                  <c:v>% Leve</c:v>
                </c:pt>
              </c:strCache>
            </c:strRef>
          </c:tx>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732308245280227E-3"/>
                  <c:y val="-1.671250416222722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695804689317956E-3"/>
                  <c:y val="-4.1816319322485612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Lesión'!$I$4:$I$9</c:f>
              <c:numCache>
                <c:formatCode>0.0%</c:formatCode>
                <c:ptCount val="6"/>
                <c:pt idx="0">
                  <c:v>0.47721404145439317</c:v>
                </c:pt>
                <c:pt idx="1">
                  <c:v>0.52800663861063368</c:v>
                </c:pt>
                <c:pt idx="2">
                  <c:v>0.53867572797206098</c:v>
                </c:pt>
                <c:pt idx="3">
                  <c:v>0.63004881188649897</c:v>
                </c:pt>
                <c:pt idx="4">
                  <c:v>0.50639910968908675</c:v>
                </c:pt>
                <c:pt idx="5">
                  <c:v>0.5528667040321783</c:v>
                </c:pt>
              </c:numCache>
            </c:numRef>
          </c:val>
        </c:ser>
        <c:ser>
          <c:idx val="1"/>
          <c:order val="1"/>
          <c:tx>
            <c:strRef>
              <c:f>'VI.3.18 EC. Accid. Lab x Lesión'!$J$3</c:f>
              <c:strCache>
                <c:ptCount val="1"/>
                <c:pt idx="0">
                  <c:v>% Moderado</c:v>
                </c:pt>
              </c:strCache>
            </c:strRef>
          </c:tx>
          <c:spPr>
            <a:solidFill>
              <a:schemeClr val="accent5">
                <a:lumMod val="50000"/>
              </a:schemeClr>
            </a:solidFill>
          </c:spPr>
          <c:invertIfNegative val="0"/>
          <c:dLbls>
            <c:dLbl>
              <c:idx val="0"/>
              <c:layout>
                <c:manualLayout>
                  <c:x val="1.5465658929536186E-2"/>
                  <c:y val="-3.792070292639225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021267569569703E-2"/>
                  <c:y val="-1.621352608888919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041951800785811E-2"/>
                  <c:y val="-3.8597421555265736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475772103802667E-2"/>
                  <c:y val="-2.1195153585777103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5225383858170833E-2"/>
                  <c:y val="-4.14184413816539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286618605259008E-2"/>
                  <c:y val="-4.141844138165473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Lesión'!$J$4:$J$9</c:f>
              <c:numCache>
                <c:formatCode>0.0%</c:formatCode>
                <c:ptCount val="6"/>
                <c:pt idx="0">
                  <c:v>0.36185358364156606</c:v>
                </c:pt>
                <c:pt idx="1">
                  <c:v>0.3096437674115346</c:v>
                </c:pt>
                <c:pt idx="2">
                  <c:v>0.33692010005191375</c:v>
                </c:pt>
                <c:pt idx="3">
                  <c:v>0.27726224320120152</c:v>
                </c:pt>
                <c:pt idx="4">
                  <c:v>0.25777283160603742</c:v>
                </c:pt>
                <c:pt idx="5">
                  <c:v>0.34598265800665984</c:v>
                </c:pt>
              </c:numCache>
            </c:numRef>
          </c:val>
        </c:ser>
        <c:ser>
          <c:idx val="2"/>
          <c:order val="2"/>
          <c:tx>
            <c:strRef>
              <c:f>'VI.3.18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0367040903987141E-3"/>
                  <c:y val="-2.447936998003281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659541835304646E-2"/>
                  <c:y val="-1.4496454483578893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Lesión'!$K$4:$K$9</c:f>
              <c:numCache>
                <c:formatCode>0.0%</c:formatCode>
                <c:ptCount val="6"/>
                <c:pt idx="0">
                  <c:v>5.9529625235536322E-2</c:v>
                </c:pt>
                <c:pt idx="1">
                  <c:v>5.2160512121391736E-2</c:v>
                </c:pt>
                <c:pt idx="2">
                  <c:v>5.2338477511916559E-2</c:v>
                </c:pt>
                <c:pt idx="3">
                  <c:v>4.2106957034811994E-2</c:v>
                </c:pt>
                <c:pt idx="4">
                  <c:v>3.3386659247409058E-2</c:v>
                </c:pt>
                <c:pt idx="5">
                  <c:v>2.9507764333520162E-2</c:v>
                </c:pt>
              </c:numCache>
            </c:numRef>
          </c:val>
        </c:ser>
        <c:ser>
          <c:idx val="3"/>
          <c:order val="3"/>
          <c:tx>
            <c:strRef>
              <c:f>'VI.3.18 EC. Accid. Lab x Lesión'!$L$3</c:f>
              <c:strCache>
                <c:ptCount val="1"/>
                <c:pt idx="0">
                  <c:v>% Mortal</c:v>
                </c:pt>
              </c:strCache>
            </c:strRef>
          </c:tx>
          <c:invertIfNegative val="0"/>
          <c:dLbls>
            <c:dLbl>
              <c:idx val="0"/>
              <c:layout>
                <c:manualLayout>
                  <c:x val="8.8264488419500711E-3"/>
                  <c:y val="-7.833955751407167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594655680065334E-2"/>
                  <c:y val="-2.637229569375400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212766207248096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Lesión'!$L$4:$L$9</c:f>
              <c:numCache>
                <c:formatCode>0.0%</c:formatCode>
                <c:ptCount val="6"/>
                <c:pt idx="0">
                  <c:v>9.7703957010258913E-3</c:v>
                </c:pt>
                <c:pt idx="1">
                  <c:v>8.7724497658704277E-3</c:v>
                </c:pt>
                <c:pt idx="2">
                  <c:v>8.4949738071640954E-3</c:v>
                </c:pt>
                <c:pt idx="3">
                  <c:v>4.6666309070428581E-3</c:v>
                </c:pt>
                <c:pt idx="4">
                  <c:v>4.5906656465187455E-3</c:v>
                </c:pt>
                <c:pt idx="5">
                  <c:v>7.2533051993010451E-3</c:v>
                </c:pt>
              </c:numCache>
            </c:numRef>
          </c:val>
        </c:ser>
        <c:ser>
          <c:idx val="4"/>
          <c:order val="4"/>
          <c:tx>
            <c:strRef>
              <c:f>'VI.3.18 EC. Accid. Lab x Lesión'!$M$3</c:f>
              <c:strCache>
                <c:ptCount val="1"/>
                <c:pt idx="0">
                  <c:v>% Sin lesión</c:v>
                </c:pt>
              </c:strCache>
            </c:strRef>
          </c:tx>
          <c:spPr>
            <a:solidFill>
              <a:schemeClr val="accent2">
                <a:lumMod val="60000"/>
                <a:lumOff val="40000"/>
              </a:schemeClr>
            </a:solidFill>
          </c:spPr>
          <c:invertIfNegative val="0"/>
          <c:dLbls>
            <c:dLbl>
              <c:idx val="0"/>
              <c:layout>
                <c:manualLayout>
                  <c:x val="1.0017086975429674E-2"/>
                  <c:y val="-3.806908562282971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440594456475657E-2"/>
                  <c:y val="-3.495440630144427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1072182171049173E-3"/>
                  <c:y val="-2.27801427599096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Lesión'!$M$4:$M$9</c:f>
              <c:numCache>
                <c:formatCode>0.0%</c:formatCode>
                <c:ptCount val="6"/>
                <c:pt idx="0">
                  <c:v>2.163444762370019E-2</c:v>
                </c:pt>
                <c:pt idx="1">
                  <c:v>2.8866101594452017E-2</c:v>
                </c:pt>
                <c:pt idx="2">
                  <c:v>3.2516871961867005E-2</c:v>
                </c:pt>
                <c:pt idx="3">
                  <c:v>1.7432816606769298E-2</c:v>
                </c:pt>
                <c:pt idx="4">
                  <c:v>9.5986645336301035E-3</c:v>
                </c:pt>
                <c:pt idx="5">
                  <c:v>1.1341531766179816E-2</c:v>
                </c:pt>
              </c:numCache>
            </c:numRef>
          </c:val>
        </c:ser>
        <c:ser>
          <c:idx val="5"/>
          <c:order val="5"/>
          <c:tx>
            <c:strRef>
              <c:f>'VI.3.18 EC. Accid. Lab x Lesión'!$N$3</c:f>
              <c:strCache>
                <c:ptCount val="1"/>
                <c:pt idx="0">
                  <c:v>% No Especificados</c:v>
                </c:pt>
              </c:strCache>
            </c:strRef>
          </c:tx>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860838997374925E-2"/>
                  <c:y val="-9.95493869255351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4.428872868419669E-3"/>
                  <c:y val="-4.141844138165549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'VI.3.18 EC. Accid. Lab x Lesión'!$A$4:$A$9</c:f>
              <c:strCache>
                <c:ptCount val="6"/>
                <c:pt idx="0">
                  <c:v>2009</c:v>
                </c:pt>
                <c:pt idx="1">
                  <c:v>2010</c:v>
                </c:pt>
                <c:pt idx="2">
                  <c:v>2011</c:v>
                </c:pt>
                <c:pt idx="3">
                  <c:v>2012</c:v>
                </c:pt>
                <c:pt idx="4">
                  <c:v>2013</c:v>
                </c:pt>
                <c:pt idx="5">
                  <c:v>2014</c:v>
                </c:pt>
              </c:strCache>
            </c:strRef>
          </c:cat>
          <c:val>
            <c:numRef>
              <c:f>'VI.3.18 EC. Accid. Lab x Lesión'!$N$4:$N$9</c:f>
              <c:numCache>
                <c:formatCode>0.0%</c:formatCode>
                <c:ptCount val="6"/>
                <c:pt idx="0">
                  <c:v>6.9997906343778352E-2</c:v>
                </c:pt>
                <c:pt idx="1">
                  <c:v>7.2550530496117593E-2</c:v>
                </c:pt>
                <c:pt idx="2">
                  <c:v>3.1053848695077636E-2</c:v>
                </c:pt>
                <c:pt idx="3">
                  <c:v>2.8482540363675375E-2</c:v>
                </c:pt>
                <c:pt idx="4">
                  <c:v>0.18825206927731794</c:v>
                </c:pt>
                <c:pt idx="5">
                  <c:v>5.3048036662160826E-2</c:v>
                </c:pt>
              </c:numCache>
            </c:numRef>
          </c:val>
        </c:ser>
        <c:dLbls>
          <c:showLegendKey val="0"/>
          <c:showVal val="0"/>
          <c:showCatName val="0"/>
          <c:showSerName val="0"/>
          <c:showPercent val="0"/>
          <c:showBubbleSize val="0"/>
        </c:dLbls>
        <c:gapWidth val="75"/>
        <c:shape val="cylinder"/>
        <c:axId val="287355480"/>
        <c:axId val="287355872"/>
        <c:axId val="0"/>
      </c:bar3DChart>
      <c:catAx>
        <c:axId val="287355480"/>
        <c:scaling>
          <c:orientation val="minMax"/>
        </c:scaling>
        <c:delete val="0"/>
        <c:axPos val="b"/>
        <c:numFmt formatCode="General" sourceLinked="1"/>
        <c:majorTickMark val="none"/>
        <c:minorTickMark val="none"/>
        <c:tickLblPos val="nextTo"/>
        <c:txPr>
          <a:bodyPr/>
          <a:lstStyle/>
          <a:p>
            <a:pPr>
              <a:defRPr sz="1600"/>
            </a:pPr>
            <a:endParaRPr lang="es-ES"/>
          </a:p>
        </c:txPr>
        <c:crossAx val="287355872"/>
        <c:crosses val="autoZero"/>
        <c:auto val="1"/>
        <c:lblAlgn val="ctr"/>
        <c:lblOffset val="100"/>
        <c:noMultiLvlLbl val="0"/>
      </c:catAx>
      <c:valAx>
        <c:axId val="287355872"/>
        <c:scaling>
          <c:orientation val="minMax"/>
        </c:scaling>
        <c:delete val="1"/>
        <c:axPos val="l"/>
        <c:numFmt formatCode="0.0%" sourceLinked="1"/>
        <c:majorTickMark val="out"/>
        <c:minorTickMark val="none"/>
        <c:tickLblPos val="nextTo"/>
        <c:crossAx val="287355480"/>
        <c:crosses val="autoZero"/>
        <c:crossBetween val="between"/>
      </c:valAx>
      <c:spPr>
        <a:noFill/>
        <a:ln w="25400">
          <a:noFill/>
        </a:ln>
      </c:spPr>
    </c:plotArea>
    <c:legend>
      <c:legendPos val="t"/>
      <c:layout>
        <c:manualLayout>
          <c:xMode val="edge"/>
          <c:yMode val="edge"/>
          <c:x val="5.9540160890521117E-2"/>
          <c:y val="0.1215845067609094"/>
          <c:w val="0.84309464297748848"/>
          <c:h val="5.902861688170012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Seguro de Riesgos Laborales</a:t>
            </a:r>
          </a:p>
          <a:p>
            <a:pPr>
              <a:defRPr sz="1600"/>
            </a:pPr>
            <a:r>
              <a:rPr lang="en-US" sz="1600"/>
              <a:t>Cantidad de Expedientes Calificados  por la ARL según Circunstancia del Suceso</a:t>
            </a:r>
          </a:p>
        </c:rich>
      </c:tx>
      <c:layout>
        <c:manualLayout>
          <c:xMode val="edge"/>
          <c:yMode val="edge"/>
          <c:x val="0.23452563443479443"/>
          <c:y val="1.705083846019956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666568728302E-4"/>
          <c:y val="0.30160349894804617"/>
          <c:w val="0.99385585525328279"/>
          <c:h val="0.56893584907143313"/>
        </c:manualLayout>
      </c:layout>
      <c:bar3DChart>
        <c:barDir val="col"/>
        <c:grouping val="clustered"/>
        <c:varyColors val="0"/>
        <c:ser>
          <c:idx val="0"/>
          <c:order val="0"/>
          <c:tx>
            <c:strRef>
              <c:f>'VI.3.19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suceso'!$I$4:$I$9</c:f>
              <c:numCache>
                <c:formatCode>0.00%</c:formatCode>
                <c:ptCount val="6"/>
                <c:pt idx="0">
                  <c:v>2.5961337148440226E-2</c:v>
                </c:pt>
                <c:pt idx="1">
                  <c:v>2.4598423329974514E-2</c:v>
                </c:pt>
                <c:pt idx="2">
                  <c:v>2.2275709094341404E-2</c:v>
                </c:pt>
                <c:pt idx="3">
                  <c:v>1.4804484256825618E-2</c:v>
                </c:pt>
                <c:pt idx="4">
                  <c:v>3.3838770258051057E-2</c:v>
                </c:pt>
                <c:pt idx="5">
                  <c:v>3.8970030661699254E-2</c:v>
                </c:pt>
              </c:numCache>
            </c:numRef>
          </c:val>
        </c:ser>
        <c:ser>
          <c:idx val="1"/>
          <c:order val="1"/>
          <c:tx>
            <c:strRef>
              <c:f>'VI.3.19 Accid.Lab suceso'!$J$3</c:f>
              <c:strCache>
                <c:ptCount val="1"/>
                <c:pt idx="0">
                  <c:v>% Condición Fuera de Norma</c:v>
                </c:pt>
              </c:strCache>
            </c:strRef>
          </c:tx>
          <c:spPr>
            <a:solidFill>
              <a:srgbClr val="00B05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suceso'!$J$4:$J$9</c:f>
              <c:numCache>
                <c:formatCode>0.00%</c:formatCode>
                <c:ptCount val="6"/>
                <c:pt idx="0">
                  <c:v>2.3658315304626979E-2</c:v>
                </c:pt>
                <c:pt idx="1">
                  <c:v>2.1160571394700966E-2</c:v>
                </c:pt>
                <c:pt idx="2">
                  <c:v>3.770824484402284E-2</c:v>
                </c:pt>
                <c:pt idx="3">
                  <c:v>6.2543582041516929E-2</c:v>
                </c:pt>
                <c:pt idx="4">
                  <c:v>3.1682548514989216E-2</c:v>
                </c:pt>
                <c:pt idx="5">
                  <c:v>3.7156704361873988E-2</c:v>
                </c:pt>
              </c:numCache>
            </c:numRef>
          </c:val>
        </c:ser>
        <c:ser>
          <c:idx val="2"/>
          <c:order val="2"/>
          <c:tx>
            <c:strRef>
              <c:f>'VI.3.19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suceso'!$K$4:$K$9</c:f>
              <c:numCache>
                <c:formatCode>0.00%</c:formatCode>
                <c:ptCount val="6"/>
                <c:pt idx="0">
                  <c:v>3.4754693279363529E-2</c:v>
                </c:pt>
                <c:pt idx="1">
                  <c:v>2.8688281666765455E-2</c:v>
                </c:pt>
                <c:pt idx="2">
                  <c:v>2.5956864410779178E-2</c:v>
                </c:pt>
                <c:pt idx="3">
                  <c:v>2.7463391085125785E-2</c:v>
                </c:pt>
                <c:pt idx="4">
                  <c:v>1.450233011059331E-2</c:v>
                </c:pt>
                <c:pt idx="5">
                  <c:v>2.070488938709571E-2</c:v>
                </c:pt>
              </c:numCache>
            </c:numRef>
          </c:val>
        </c:ser>
        <c:ser>
          <c:idx val="3"/>
          <c:order val="3"/>
          <c:tx>
            <c:strRef>
              <c:f>'VI.3.19 Accid.Lab suceso'!$L$3</c:f>
              <c:strCache>
                <c:ptCount val="1"/>
                <c:pt idx="0">
                  <c:v>% Factor de Trabajo</c:v>
                </c:pt>
              </c:strCache>
            </c:strRef>
          </c:tx>
          <c:spPr>
            <a:solidFill>
              <a:schemeClr val="accent5">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suceso'!$L$4:$L$9</c:f>
              <c:numCache>
                <c:formatCode>0.00%</c:formatCode>
                <c:ptCount val="6"/>
                <c:pt idx="0">
                  <c:v>0.81394375043617839</c:v>
                </c:pt>
                <c:pt idx="1">
                  <c:v>0.80510935925552729</c:v>
                </c:pt>
                <c:pt idx="2">
                  <c:v>0.82910944357921568</c:v>
                </c:pt>
                <c:pt idx="3">
                  <c:v>0.83580968728208982</c:v>
                </c:pt>
                <c:pt idx="4">
                  <c:v>0.70835362036586214</c:v>
                </c:pt>
                <c:pt idx="5">
                  <c:v>0.82331607925884409</c:v>
                </c:pt>
              </c:numCache>
            </c:numRef>
          </c:val>
        </c:ser>
        <c:ser>
          <c:idx val="4"/>
          <c:order val="4"/>
          <c:tx>
            <c:strRef>
              <c:f>'VI.3.19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suceso'!$M$4:$M$9</c:f>
              <c:numCache>
                <c:formatCode>0.00%</c:formatCode>
                <c:ptCount val="6"/>
                <c:pt idx="0">
                  <c:v>3.196315165049899E-2</c:v>
                </c:pt>
                <c:pt idx="1">
                  <c:v>3.0762847489775355E-2</c:v>
                </c:pt>
                <c:pt idx="2">
                  <c:v>2.5484921421492283E-2</c:v>
                </c:pt>
                <c:pt idx="3">
                  <c:v>2.0490264442418065E-2</c:v>
                </c:pt>
                <c:pt idx="4">
                  <c:v>1.905821798706267E-2</c:v>
                </c:pt>
                <c:pt idx="5">
                  <c:v>2.5617355181167784E-2</c:v>
                </c:pt>
              </c:numCache>
            </c:numRef>
          </c:val>
        </c:ser>
        <c:ser>
          <c:idx val="5"/>
          <c:order val="5"/>
          <c:tx>
            <c:strRef>
              <c:f>'VI.3.19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'VI.3.19 Accid.Lab suceso'!$A$4:$A$9</c:f>
              <c:strCache>
                <c:ptCount val="6"/>
                <c:pt idx="0">
                  <c:v>2009</c:v>
                </c:pt>
                <c:pt idx="1">
                  <c:v>2010</c:v>
                </c:pt>
                <c:pt idx="2">
                  <c:v>2011</c:v>
                </c:pt>
                <c:pt idx="3">
                  <c:v>2012</c:v>
                </c:pt>
                <c:pt idx="4">
                  <c:v>2013</c:v>
                </c:pt>
                <c:pt idx="5">
                  <c:v>2014</c:v>
                </c:pt>
              </c:strCache>
            </c:strRef>
          </c:cat>
          <c:val>
            <c:numRef>
              <c:f>'VI.3.19 Accid.Lab suceso'!$N$4:$N$9</c:f>
              <c:numCache>
                <c:formatCode>0.00%</c:formatCode>
                <c:ptCount val="6"/>
                <c:pt idx="0">
                  <c:v>6.9718752180891894E-2</c:v>
                </c:pt>
                <c:pt idx="1">
                  <c:v>8.9680516863256482E-2</c:v>
                </c:pt>
                <c:pt idx="2">
                  <c:v>5.9464816650148661E-2</c:v>
                </c:pt>
                <c:pt idx="3">
                  <c:v>3.8888590892023817E-2</c:v>
                </c:pt>
                <c:pt idx="4">
                  <c:v>0.19256451276344161</c:v>
                </c:pt>
                <c:pt idx="5">
                  <c:v>5.4234941149319177E-2</c:v>
                </c:pt>
              </c:numCache>
            </c:numRef>
          </c:val>
        </c:ser>
        <c:dLbls>
          <c:showLegendKey val="0"/>
          <c:showVal val="0"/>
          <c:showCatName val="0"/>
          <c:showSerName val="0"/>
          <c:showPercent val="0"/>
          <c:showBubbleSize val="0"/>
        </c:dLbls>
        <c:gapWidth val="75"/>
        <c:shape val="cylinder"/>
        <c:axId val="287356656"/>
        <c:axId val="287357048"/>
        <c:axId val="0"/>
      </c:bar3DChart>
      <c:catAx>
        <c:axId val="287356656"/>
        <c:scaling>
          <c:orientation val="minMax"/>
        </c:scaling>
        <c:delete val="0"/>
        <c:axPos val="b"/>
        <c:numFmt formatCode="General" sourceLinked="1"/>
        <c:majorTickMark val="none"/>
        <c:minorTickMark val="none"/>
        <c:tickLblPos val="nextTo"/>
        <c:txPr>
          <a:bodyPr/>
          <a:lstStyle/>
          <a:p>
            <a:pPr>
              <a:defRPr sz="1600"/>
            </a:pPr>
            <a:endParaRPr lang="es-ES"/>
          </a:p>
        </c:txPr>
        <c:crossAx val="287357048"/>
        <c:crosses val="autoZero"/>
        <c:auto val="1"/>
        <c:lblAlgn val="ctr"/>
        <c:lblOffset val="100"/>
        <c:noMultiLvlLbl val="0"/>
      </c:catAx>
      <c:valAx>
        <c:axId val="287357048"/>
        <c:scaling>
          <c:orientation val="minMax"/>
        </c:scaling>
        <c:delete val="1"/>
        <c:axPos val="l"/>
        <c:numFmt formatCode="0.00%" sourceLinked="1"/>
        <c:majorTickMark val="out"/>
        <c:minorTickMark val="none"/>
        <c:tickLblPos val="nextTo"/>
        <c:crossAx val="287356656"/>
        <c:crosses val="autoZero"/>
        <c:crossBetween val="between"/>
      </c:valAx>
      <c:spPr>
        <a:noFill/>
        <a:ln w="25400">
          <a:noFill/>
        </a:ln>
      </c:spPr>
    </c:plotArea>
    <c:legend>
      <c:legendPos val="t"/>
      <c:layout>
        <c:manualLayout>
          <c:xMode val="edge"/>
          <c:yMode val="edge"/>
          <c:x val="2.1782332567950913E-2"/>
          <c:y val="0.101927607824657"/>
          <c:w val="0.96606265937825386"/>
          <c:h val="6.340787204363630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Seguro de Riesgos Laborales</a:t>
            </a:r>
          </a:p>
          <a:p>
            <a:pPr>
              <a:defRPr/>
            </a:pPr>
            <a:r>
              <a:rPr lang="es-DO"/>
              <a:t>Cantidad de Expedientes Calificados por la ARL Según Mecanismo de Producción del Accidente </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2417103694724189E-4"/>
          <c:y val="0.16859465511165977"/>
          <c:w val="0.98499955585647647"/>
          <c:h val="0.5921708286398838"/>
        </c:manualLayout>
      </c:layout>
      <c:bar3DChart>
        <c:barDir val="col"/>
        <c:grouping val="clustered"/>
        <c:varyColors val="0"/>
        <c:ser>
          <c:idx val="0"/>
          <c:order val="0"/>
          <c:tx>
            <c:strRef>
              <c:f>'VI.3.20 EC. x mecanismo causal'!$I$3</c:f>
              <c:strCache>
                <c:ptCount val="1"/>
                <c:pt idx="0">
                  <c:v>% Mecanismo</c:v>
                </c:pt>
              </c:strCache>
            </c:strRef>
          </c:tx>
          <c:spPr>
            <a:solidFill>
              <a:schemeClr val="accent3">
                <a:lumMod val="50000"/>
              </a:schemeClr>
            </a:solidFill>
          </c:spPr>
          <c:invertIfNegative val="0"/>
          <c:dLbls>
            <c:dLbl>
              <c:idx val="0"/>
              <c:layout>
                <c:manualLayout>
                  <c:x val="1.0477612386278216E-3"/>
                  <c:y val="-2.581996068818545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669192961474004E-2"/>
                  <c:y val="-1.9360629509528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8246904512483968E-3"/>
                  <c:y val="-1.76359905205758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12850845691269E-2"/>
                  <c:y val="-2.204254349682606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68725510269302E-2"/>
                  <c:y val="-2.46192944780329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9865352369648283E-3"/>
                  <c:y val="-1.777580756782499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308431851969896E-2"/>
                  <c:y val="-2.00312366723474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310045994E-2"/>
                  <c:y val="-2.049220404162190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'VI.3.20 EC. x mecanismo causal'!$A$4:$A$12</c:f>
              <c:strCache>
                <c:ptCount val="9"/>
                <c:pt idx="0">
                  <c:v>Atrapamiento</c:v>
                </c:pt>
                <c:pt idx="1">
                  <c:v>Caída de objeto</c:v>
                </c:pt>
                <c:pt idx="2">
                  <c:v>Caída personales</c:v>
                </c:pt>
                <c:pt idx="3">
                  <c:v>Contacto con electricidad</c:v>
                </c:pt>
                <c:pt idx="4">
                  <c:v>Contacto con sustancias nocivas o radiaciones</c:v>
                </c:pt>
                <c:pt idx="5">
                  <c:v>Exposición o contacto con temperatura extrema</c:v>
                </c:pt>
                <c:pt idx="6">
                  <c:v>Pisadas, choques o golpes</c:v>
                </c:pt>
                <c:pt idx="7">
                  <c:v>Sobreesfuerzo o falso movimiento</c:v>
                </c:pt>
                <c:pt idx="8">
                  <c:v>Otros</c:v>
                </c:pt>
              </c:strCache>
            </c:strRef>
          </c:cat>
          <c:val>
            <c:numRef>
              <c:f>'VI.3.20 EC. x mecanismo causal'!$I$4:$I$12</c:f>
              <c:numCache>
                <c:formatCode>0.00%</c:formatCode>
                <c:ptCount val="9"/>
                <c:pt idx="0">
                  <c:v>8.3032962641315128E-2</c:v>
                </c:pt>
                <c:pt idx="1">
                  <c:v>9.2370712512584829E-2</c:v>
                </c:pt>
                <c:pt idx="2">
                  <c:v>0.21436860671549451</c:v>
                </c:pt>
                <c:pt idx="3">
                  <c:v>4.8802231837500095E-3</c:v>
                </c:pt>
                <c:pt idx="4">
                  <c:v>1.6162376937679166E-2</c:v>
                </c:pt>
                <c:pt idx="5">
                  <c:v>1.5509118716232314E-2</c:v>
                </c:pt>
                <c:pt idx="6">
                  <c:v>0.33758079267121127</c:v>
                </c:pt>
                <c:pt idx="7">
                  <c:v>0.1184702998070967</c:v>
                </c:pt>
                <c:pt idx="8">
                  <c:v>0.11762490681463605</c:v>
                </c:pt>
              </c:numCache>
            </c:numRef>
          </c:val>
        </c:ser>
        <c:dLbls>
          <c:showLegendKey val="0"/>
          <c:showVal val="0"/>
          <c:showCatName val="0"/>
          <c:showSerName val="0"/>
          <c:showPercent val="0"/>
          <c:showBubbleSize val="0"/>
        </c:dLbls>
        <c:gapWidth val="75"/>
        <c:shape val="cylinder"/>
        <c:axId val="290452056"/>
        <c:axId val="290452448"/>
        <c:axId val="0"/>
      </c:bar3DChart>
      <c:catAx>
        <c:axId val="290452056"/>
        <c:scaling>
          <c:orientation val="minMax"/>
        </c:scaling>
        <c:delete val="0"/>
        <c:axPos val="b"/>
        <c:numFmt formatCode="General" sourceLinked="1"/>
        <c:majorTickMark val="none"/>
        <c:minorTickMark val="none"/>
        <c:tickLblPos val="nextTo"/>
        <c:txPr>
          <a:bodyPr/>
          <a:lstStyle/>
          <a:p>
            <a:pPr>
              <a:defRPr sz="1400" b="0"/>
            </a:pPr>
            <a:endParaRPr lang="es-ES"/>
          </a:p>
        </c:txPr>
        <c:crossAx val="290452448"/>
        <c:crosses val="autoZero"/>
        <c:auto val="1"/>
        <c:lblAlgn val="ctr"/>
        <c:lblOffset val="100"/>
        <c:noMultiLvlLbl val="0"/>
      </c:catAx>
      <c:valAx>
        <c:axId val="290452448"/>
        <c:scaling>
          <c:orientation val="minMax"/>
        </c:scaling>
        <c:delete val="1"/>
        <c:axPos val="l"/>
        <c:numFmt formatCode="0.00%" sourceLinked="1"/>
        <c:majorTickMark val="out"/>
        <c:minorTickMark val="none"/>
        <c:tickLblPos val="nextTo"/>
        <c:crossAx val="290452056"/>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n-US" sz="1600"/>
              <a:t>Seguro de Riesgos Laborales</a:t>
            </a:r>
          </a:p>
          <a:p>
            <a:pPr>
              <a:defRPr sz="1600"/>
            </a:pPr>
            <a:r>
              <a:rPr lang="en-US" sz="1600"/>
              <a:t>Cantidad de Expedientes Calificados  por la ARL Según Agente Dañino</a:t>
            </a:r>
          </a:p>
        </c:rich>
      </c:tx>
      <c:layout>
        <c:manualLayout>
          <c:xMode val="edge"/>
          <c:yMode val="edge"/>
          <c:x val="0.27506357848543739"/>
          <c:y val="2.868369399000572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16657283665645858"/>
          <c:w val="0.99709826480114261"/>
          <c:h val="0.58899856127317685"/>
        </c:manualLayout>
      </c:layout>
      <c:bar3DChart>
        <c:barDir val="col"/>
        <c:grouping val="clustered"/>
        <c:varyColors val="0"/>
        <c:ser>
          <c:idx val="0"/>
          <c:order val="0"/>
          <c:tx>
            <c:strRef>
              <c:f>'VI.3.21 EC. x Agente daño'!$I$3</c:f>
              <c:strCache>
                <c:ptCount val="1"/>
                <c:pt idx="0">
                  <c:v>% por Mecanismo</c:v>
                </c:pt>
              </c:strCache>
            </c:strRef>
          </c:tx>
          <c:invertIfNegative val="0"/>
          <c:dLbls>
            <c:dLbl>
              <c:idx val="0"/>
              <c:layout>
                <c:manualLayout>
                  <c:x val="1.0477612386278216E-3"/>
                  <c:y val="-2.581996068818545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743497351275955E-2"/>
                  <c:y val="-3.17729042073577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367065307105129E-3"/>
                  <c:y val="-3.025428029683405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86078634721446E-3"/>
                  <c:y val="-4.16021231661949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77215726944289E-3"/>
                  <c:y val="-3.947225311794644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1431647180832868E-3"/>
                  <c:y val="-3.76917166735131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177817223479993E-2"/>
                  <c:y val="-2.63440121779446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873214959594035E-2"/>
                  <c:y val="-2.438875911446607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'VI.3.21 EC. x Agente daño'!$A$4:$A$11</c:f>
              <c:strCache>
                <c:ptCount val="8"/>
                <c:pt idx="0">
                  <c:v>Ambiente de trabajo</c:v>
                </c:pt>
                <c:pt idx="1">
                  <c:v>Animales o productos animales</c:v>
                </c:pt>
                <c:pt idx="2">
                  <c:v>Herramientas e implementos</c:v>
                </c:pt>
                <c:pt idx="3">
                  <c:v>Maquinarias y/o equipos</c:v>
                </c:pt>
                <c:pt idx="4">
                  <c:v>Materiales o sustancias</c:v>
                </c:pt>
                <c:pt idx="5">
                  <c:v>Medio de Transporte</c:v>
                </c:pt>
                <c:pt idx="6">
                  <c:v>Radiaciones</c:v>
                </c:pt>
                <c:pt idx="7">
                  <c:v>Otros agentes no clasificados</c:v>
                </c:pt>
              </c:strCache>
            </c:strRef>
          </c:cat>
          <c:val>
            <c:numRef>
              <c:f>'VI.3.21 EC. x Agente daño'!$I$4:$I$11</c:f>
              <c:numCache>
                <c:formatCode>0.00%</c:formatCode>
                <c:ptCount val="8"/>
                <c:pt idx="0">
                  <c:v>0.21951013318782325</c:v>
                </c:pt>
                <c:pt idx="1">
                  <c:v>7.8775256115649755E-3</c:v>
                </c:pt>
                <c:pt idx="2">
                  <c:v>0.22866343367891975</c:v>
                </c:pt>
                <c:pt idx="3">
                  <c:v>9.2808779790496246E-2</c:v>
                </c:pt>
                <c:pt idx="4">
                  <c:v>3.3854146652628023E-2</c:v>
                </c:pt>
                <c:pt idx="5">
                  <c:v>0.25508580738873476</c:v>
                </c:pt>
                <c:pt idx="6">
                  <c:v>8.1465142909842682E-4</c:v>
                </c:pt>
                <c:pt idx="7">
                  <c:v>0.16138552226073458</c:v>
                </c:pt>
              </c:numCache>
            </c:numRef>
          </c:val>
        </c:ser>
        <c:dLbls>
          <c:showLegendKey val="0"/>
          <c:showVal val="0"/>
          <c:showCatName val="0"/>
          <c:showSerName val="0"/>
          <c:showPercent val="0"/>
          <c:showBubbleSize val="0"/>
        </c:dLbls>
        <c:gapWidth val="35"/>
        <c:shape val="cylinder"/>
        <c:axId val="290453232"/>
        <c:axId val="290453624"/>
        <c:axId val="0"/>
      </c:bar3DChart>
      <c:catAx>
        <c:axId val="290453232"/>
        <c:scaling>
          <c:orientation val="minMax"/>
        </c:scaling>
        <c:delete val="0"/>
        <c:axPos val="b"/>
        <c:numFmt formatCode="General" sourceLinked="1"/>
        <c:majorTickMark val="none"/>
        <c:minorTickMark val="none"/>
        <c:tickLblPos val="nextTo"/>
        <c:txPr>
          <a:bodyPr/>
          <a:lstStyle/>
          <a:p>
            <a:pPr>
              <a:defRPr sz="1300" b="1"/>
            </a:pPr>
            <a:endParaRPr lang="es-ES"/>
          </a:p>
        </c:txPr>
        <c:crossAx val="290453624"/>
        <c:crosses val="autoZero"/>
        <c:auto val="1"/>
        <c:lblAlgn val="ctr"/>
        <c:lblOffset val="100"/>
        <c:noMultiLvlLbl val="0"/>
      </c:catAx>
      <c:valAx>
        <c:axId val="290453624"/>
        <c:scaling>
          <c:orientation val="minMax"/>
        </c:scaling>
        <c:delete val="1"/>
        <c:axPos val="l"/>
        <c:numFmt formatCode="0.00%" sourceLinked="1"/>
        <c:majorTickMark val="out"/>
        <c:minorTickMark val="none"/>
        <c:tickLblPos val="nextTo"/>
        <c:crossAx val="2904532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Cantidad de Expedientes Calificados  por la ARL Según Lugar del Accidente</a:t>
            </a:r>
          </a:p>
        </c:rich>
      </c:tx>
      <c:layout>
        <c:manualLayout>
          <c:xMode val="edge"/>
          <c:yMode val="edge"/>
          <c:x val="0.23971495344442886"/>
          <c:y val="2.088697956677772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680771665525889E-3"/>
          <c:y val="0.17745084446716247"/>
          <c:w val="0.98021743691033969"/>
          <c:h val="0.5963030375095616"/>
        </c:manualLayout>
      </c:layout>
      <c:bar3DChart>
        <c:barDir val="col"/>
        <c:grouping val="clustered"/>
        <c:varyColors val="0"/>
        <c:ser>
          <c:idx val="0"/>
          <c:order val="0"/>
          <c:tx>
            <c:strRef>
              <c:f>'VI.3.22 EC. x  lugar de accid.'!$I$3</c:f>
              <c:strCache>
                <c:ptCount val="1"/>
                <c:pt idx="0">
                  <c:v>% por Mecanismo</c:v>
                </c:pt>
              </c:strCache>
            </c:strRef>
          </c:tx>
          <c:invertIfNegative val="0"/>
          <c:dLbls>
            <c:dLbl>
              <c:idx val="0"/>
              <c:layout>
                <c:manualLayout>
                  <c:x val="9.9424436447782556E-3"/>
                  <c:y val="-1.298473794707466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289236143141893E-2"/>
                  <c:y val="-1.68640901116019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367132225535752E-3"/>
                  <c:y val="-1.74191014173253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591813522451741E-2"/>
                  <c:y val="-1.37925783787134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483783947653994E-2"/>
                  <c:y val="-1.380201104430388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512053657098754E-2"/>
                  <c:y val="-1.369286162818588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'VI.3.22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'VI.3.22 EC. x  lugar de accid.'!$I$4:$I$12</c:f>
              <c:numCache>
                <c:formatCode>0.00%</c:formatCode>
                <c:ptCount val="9"/>
                <c:pt idx="0">
                  <c:v>3.1902057379128018E-2</c:v>
                </c:pt>
                <c:pt idx="1">
                  <c:v>0.43183442593973115</c:v>
                </c:pt>
                <c:pt idx="2">
                  <c:v>3.9502908920433146E-3</c:v>
                </c:pt>
                <c:pt idx="3">
                  <c:v>3.0995181259942974E-2</c:v>
                </c:pt>
                <c:pt idx="4">
                  <c:v>3.3615899536570931E-2</c:v>
                </c:pt>
                <c:pt idx="5">
                  <c:v>7.2012112175964711E-3</c:v>
                </c:pt>
                <c:pt idx="6">
                  <c:v>5.6433824942167435E-2</c:v>
                </c:pt>
                <c:pt idx="7">
                  <c:v>0.27382279025799855</c:v>
                </c:pt>
                <c:pt idx="8">
                  <c:v>0.13024431857482113</c:v>
                </c:pt>
              </c:numCache>
            </c:numRef>
          </c:val>
        </c:ser>
        <c:dLbls>
          <c:showLegendKey val="0"/>
          <c:showVal val="0"/>
          <c:showCatName val="0"/>
          <c:showSerName val="0"/>
          <c:showPercent val="0"/>
          <c:showBubbleSize val="0"/>
        </c:dLbls>
        <c:gapWidth val="45"/>
        <c:shape val="cylinder"/>
        <c:axId val="290454408"/>
        <c:axId val="290454800"/>
        <c:axId val="0"/>
      </c:bar3DChart>
      <c:catAx>
        <c:axId val="290454408"/>
        <c:scaling>
          <c:orientation val="minMax"/>
        </c:scaling>
        <c:delete val="0"/>
        <c:axPos val="b"/>
        <c:numFmt formatCode="General" sourceLinked="1"/>
        <c:majorTickMark val="none"/>
        <c:minorTickMark val="none"/>
        <c:tickLblPos val="nextTo"/>
        <c:txPr>
          <a:bodyPr/>
          <a:lstStyle/>
          <a:p>
            <a:pPr>
              <a:defRPr sz="1400"/>
            </a:pPr>
            <a:endParaRPr lang="es-ES"/>
          </a:p>
        </c:txPr>
        <c:crossAx val="290454800"/>
        <c:crosses val="autoZero"/>
        <c:auto val="1"/>
        <c:lblAlgn val="ctr"/>
        <c:lblOffset val="100"/>
        <c:noMultiLvlLbl val="0"/>
      </c:catAx>
      <c:valAx>
        <c:axId val="290454800"/>
        <c:scaling>
          <c:orientation val="minMax"/>
        </c:scaling>
        <c:delete val="1"/>
        <c:axPos val="l"/>
        <c:numFmt formatCode="0.00%" sourceLinked="1"/>
        <c:majorTickMark val="out"/>
        <c:minorTickMark val="none"/>
        <c:tickLblPos val="nextTo"/>
        <c:crossAx val="2904544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2.640388275779176E-2"/>
          <c:y val="0.14355325495701002"/>
          <c:w val="0.94893283564067199"/>
          <c:h val="0.76325013160203548"/>
        </c:manualLayout>
      </c:layout>
      <c:bar3DChart>
        <c:barDir val="col"/>
        <c:grouping val="clustered"/>
        <c:varyColors val="0"/>
        <c:ser>
          <c:idx val="0"/>
          <c:order val="0"/>
          <c:tx>
            <c:strRef>
              <c:f>'VI.3.23 Exped. Calif. x antig.'!$K$3</c:f>
              <c:strCache>
                <c:ptCount val="1"/>
                <c:pt idx="0">
                  <c:v>% de 0 - 6 meses</c:v>
                </c:pt>
              </c:strCache>
            </c:strRef>
          </c:tx>
          <c:invertIfNegative val="0"/>
          <c:dLbls>
            <c:dLbl>
              <c:idx val="0"/>
              <c:layout>
                <c:manualLayout>
                  <c:x val="1.0275111891702528E-2"/>
                  <c:y val="-2.2398883551138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3410108106386606E-3"/>
                  <c:y val="-1.425383498708817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209212972766393E-2"/>
                  <c:y val="-1.018131070506298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antig.'!$K$4:$K$7</c:f>
              <c:numCache>
                <c:formatCode>0.0%</c:formatCode>
                <c:ptCount val="4"/>
                <c:pt idx="0">
                  <c:v>0.1869635005932026</c:v>
                </c:pt>
                <c:pt idx="1">
                  <c:v>0.19370517455989567</c:v>
                </c:pt>
                <c:pt idx="2">
                  <c:v>0.21525319741375243</c:v>
                </c:pt>
                <c:pt idx="3">
                  <c:v>0.20323841429369069</c:v>
                </c:pt>
              </c:numCache>
            </c:numRef>
          </c:val>
        </c:ser>
        <c:ser>
          <c:idx val="1"/>
          <c:order val="1"/>
          <c:tx>
            <c:strRef>
              <c:f>'VI.3.23 Exped. Calif. x antig.'!$L$3</c:f>
              <c:strCache>
                <c:ptCount val="1"/>
                <c:pt idx="0">
                  <c:v>% de 7- 11 meses</c:v>
                </c:pt>
              </c:strCache>
            </c:strRef>
          </c:tx>
          <c:spPr>
            <a:solidFill>
              <a:srgbClr val="00CC66"/>
            </a:solidFill>
          </c:spPr>
          <c:invertIfNegative val="0"/>
          <c:dLbls>
            <c:dLbl>
              <c:idx val="0"/>
              <c:layout>
                <c:manualLayout>
                  <c:x val="6.5387075674470628E-3"/>
                  <c:y val="-1.01813107050629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5387075674470628E-3"/>
                  <c:y val="-1.83263592691133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804359545597832E-3"/>
                  <c:y val="-2.12139073211081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48717405146858E-3"/>
                  <c:y val="-1.1032546446369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antig.'!$L$4:$L$7</c:f>
              <c:numCache>
                <c:formatCode>0.0%</c:formatCode>
                <c:ptCount val="4"/>
                <c:pt idx="0">
                  <c:v>0.13950729290250541</c:v>
                </c:pt>
                <c:pt idx="1">
                  <c:v>0.13935154999703633</c:v>
                </c:pt>
                <c:pt idx="2">
                  <c:v>0.13983670772570672</c:v>
                </c:pt>
                <c:pt idx="3">
                  <c:v>0.14154103852596314</c:v>
                </c:pt>
              </c:numCache>
            </c:numRef>
          </c:val>
        </c:ser>
        <c:ser>
          <c:idx val="2"/>
          <c:order val="2"/>
          <c:tx>
            <c:strRef>
              <c:f>'VI.3.23 Exped. Calif. x antig.'!$M$3</c:f>
              <c:strCache>
                <c:ptCount val="1"/>
                <c:pt idx="0">
                  <c:v>% de 1-2 años</c:v>
                </c:pt>
              </c:strCache>
            </c:strRef>
          </c:tx>
          <c:invertIfNegative val="0"/>
          <c:dLbls>
            <c:dLbl>
              <c:idx val="0"/>
              <c:layout>
                <c:manualLayout>
                  <c:x val="1.0275111891702528E-2"/>
                  <c:y val="-1.221757284607557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3410108106386606E-3"/>
                  <c:y val="-1.425383498708817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3410108106386606E-3"/>
                  <c:y val="-1.221757284607554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antig.'!$M$4:$M$7</c:f>
              <c:numCache>
                <c:formatCode>0.0%</c:formatCode>
                <c:ptCount val="4"/>
                <c:pt idx="0">
                  <c:v>0.26024146835089679</c:v>
                </c:pt>
                <c:pt idx="1">
                  <c:v>0.2308695394463873</c:v>
                </c:pt>
                <c:pt idx="2">
                  <c:v>0.23469724857237245</c:v>
                </c:pt>
                <c:pt idx="3">
                  <c:v>0.24713847012841988</c:v>
                </c:pt>
              </c:numCache>
            </c:numRef>
          </c:val>
        </c:ser>
        <c:ser>
          <c:idx val="3"/>
          <c:order val="3"/>
          <c:tx>
            <c:strRef>
              <c:f>'VI.3.23 Exped. Calif. x antig.'!$N$3</c:f>
              <c:strCache>
                <c:ptCount val="1"/>
                <c:pt idx="0">
                  <c:v>% de 3-5 años</c:v>
                </c:pt>
              </c:strCache>
            </c:strRef>
          </c:tx>
          <c:invertIfNegative val="0"/>
          <c:dLbls>
            <c:dLbl>
              <c:idx val="0"/>
              <c:layout>
                <c:manualLayout>
                  <c:x val="1.1209212972766393E-2"/>
                  <c:y val="-1.629009712810076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3410108106386606E-3"/>
                  <c:y val="-1.629009712810076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14331405383026E-2"/>
                  <c:y val="-1.425383498708817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569048933082826E-2"/>
                  <c:y val="-9.893896914631166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antig.'!$N$4:$N$7</c:f>
              <c:numCache>
                <c:formatCode>0.0%</c:formatCode>
                <c:ptCount val="4"/>
                <c:pt idx="0">
                  <c:v>0.18047316630609253</c:v>
                </c:pt>
                <c:pt idx="1">
                  <c:v>0.18866694327544306</c:v>
                </c:pt>
                <c:pt idx="2">
                  <c:v>0.19118410496012081</c:v>
                </c:pt>
                <c:pt idx="3">
                  <c:v>0.18530150753768845</c:v>
                </c:pt>
              </c:numCache>
            </c:numRef>
          </c:val>
        </c:ser>
        <c:ser>
          <c:idx val="4"/>
          <c:order val="4"/>
          <c:tx>
            <c:strRef>
              <c:f>'VI.3.23 Exped. Calif. x antig.'!$O$3</c:f>
              <c:strCache>
                <c:ptCount val="1"/>
                <c:pt idx="0">
                  <c:v>% de 6-10 años</c:v>
                </c:pt>
              </c:strCache>
            </c:strRef>
          </c:tx>
          <c:invertIfNegative val="0"/>
          <c:dLbls>
            <c:dLbl>
              <c:idx val="0"/>
              <c:layout>
                <c:manualLayout>
                  <c:x val="8.4069097295747953E-3"/>
                  <c:y val="-1.221757284607550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069097295747953E-3"/>
                  <c:y val="-1.629009712810076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33343063799423E-2"/>
                  <c:y val="-1.550014862085199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502058767351338E-2"/>
                  <c:y val="-1.664032320438429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antig.'!$O$4:$O$7</c:f>
              <c:numCache>
                <c:formatCode>0.0%</c:formatCode>
                <c:ptCount val="4"/>
                <c:pt idx="0">
                  <c:v>9.1841719589643378E-2</c:v>
                </c:pt>
                <c:pt idx="1">
                  <c:v>0.10449884417047003</c:v>
                </c:pt>
                <c:pt idx="2">
                  <c:v>0.12931237906460899</c:v>
                </c:pt>
                <c:pt idx="3">
                  <c:v>0.13058347292015635</c:v>
                </c:pt>
              </c:numCache>
            </c:numRef>
          </c:val>
        </c:ser>
        <c:ser>
          <c:idx val="5"/>
          <c:order val="5"/>
          <c:tx>
            <c:strRef>
              <c:f>'VI.3.23 Exped. Calif. x antig.'!$P$3</c:f>
              <c:strCache>
                <c:ptCount val="1"/>
                <c:pt idx="0">
                  <c:v>% de 11-15 años</c:v>
                </c:pt>
              </c:strCache>
            </c:strRef>
          </c:tx>
          <c:invertIfNegative val="0"/>
          <c:dLbls>
            <c:dLbl>
              <c:idx val="0"/>
              <c:layout>
                <c:manualLayout>
                  <c:x val="3.8830000843024402E-3"/>
                  <c:y val="-1.185202430577122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6704725957466952E-3"/>
                  <c:y val="-3.36791710824851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895111864674589E-3"/>
                  <c:y val="-1.81288482701996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627798648461577E-3"/>
                  <c:y val="-7.2392037049665425E-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antig.'!$P$4:$P$7</c:f>
              <c:numCache>
                <c:formatCode>0.0%</c:formatCode>
                <c:ptCount val="4"/>
                <c:pt idx="0">
                  <c:v>3.817433177472259E-2</c:v>
                </c:pt>
                <c:pt idx="1">
                  <c:v>3.6690178412660777E-2</c:v>
                </c:pt>
                <c:pt idx="2">
                  <c:v>4.1955731747604891E-2</c:v>
                </c:pt>
                <c:pt idx="3">
                  <c:v>4.487716359575656E-2</c:v>
                </c:pt>
              </c:numCache>
            </c:numRef>
          </c:val>
        </c:ser>
        <c:ser>
          <c:idx val="6"/>
          <c:order val="6"/>
          <c:tx>
            <c:strRef>
              <c:f>'VI.3.23 Exped. Calif. x antig.'!$Q$3</c:f>
              <c:strCache>
                <c:ptCount val="1"/>
                <c:pt idx="0">
                  <c:v>% más de 15 años</c:v>
                </c:pt>
              </c:strCache>
            </c:strRef>
          </c:tx>
          <c:invertIfNegative val="0"/>
          <c:dLbls>
            <c:dLbl>
              <c:idx val="0"/>
              <c:layout>
                <c:manualLayout>
                  <c:x val="-6.4078334421209331E-4"/>
                  <c:y val="-2.28551795850980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736404324255533E-3"/>
                  <c:y val="-8.145048564050384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82821480431424E-2"/>
                  <c:y val="-1.753639183898505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7884492926543923E-3"/>
                  <c:y val="-7.384125554554370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antig.'!$Q$4:$Q$7</c:f>
              <c:numCache>
                <c:formatCode>0.0%</c:formatCode>
                <c:ptCount val="4"/>
                <c:pt idx="0">
                  <c:v>3.733686928606323E-2</c:v>
                </c:pt>
                <c:pt idx="1">
                  <c:v>3.8942564163357243E-2</c:v>
                </c:pt>
                <c:pt idx="2">
                  <c:v>4.7760630515833687E-2</c:v>
                </c:pt>
                <c:pt idx="3">
                  <c:v>4.7319932998324959E-2</c:v>
                </c:pt>
              </c:numCache>
            </c:numRef>
          </c:val>
        </c:ser>
        <c:ser>
          <c:idx val="7"/>
          <c:order val="7"/>
          <c:tx>
            <c:strRef>
              <c:f>'VI.3.23 Exped. Calif. x antig.'!$R$3</c:f>
              <c:strCache>
                <c:ptCount val="1"/>
                <c:pt idx="0">
                  <c:v>% No Especificados</c:v>
                </c:pt>
              </c:strCache>
            </c:strRef>
          </c:tx>
          <c:invertIfNegative val="0"/>
          <c:dLbls>
            <c:dLbl>
              <c:idx val="0"/>
              <c:layout>
                <c:manualLayout>
                  <c:x val="9.3410108106386606E-3"/>
                  <c:y val="-1.42538349870881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72808648510929E-3"/>
                  <c:y val="-1.629009712810076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069097295747953E-3"/>
                  <c:y val="-1.83263592691133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095351630006933E-3"/>
                  <c:y val="-1.10761883318315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'VI.3.23 Exped. Calif. x antig.'!$A$4:$A$7</c:f>
              <c:strCache>
                <c:ptCount val="4"/>
                <c:pt idx="0">
                  <c:v>2009</c:v>
                </c:pt>
                <c:pt idx="1">
                  <c:v>2010</c:v>
                </c:pt>
                <c:pt idx="2">
                  <c:v>2011</c:v>
                </c:pt>
                <c:pt idx="3">
                  <c:v>Ene-Jul.12</c:v>
                </c:pt>
              </c:strCache>
            </c:strRef>
          </c:cat>
          <c:val>
            <c:numRef>
              <c:f>'VI.3.23 Exped. Calif. x antig.'!$R$4:$R$7</c:f>
              <c:numCache>
                <c:formatCode>0.0%</c:formatCode>
                <c:ptCount val="4"/>
                <c:pt idx="0">
                  <c:v>6.5461651196873472E-2</c:v>
                </c:pt>
                <c:pt idx="1">
                  <c:v>6.7275205974749563E-2</c:v>
                </c:pt>
                <c:pt idx="2">
                  <c:v>0</c:v>
                </c:pt>
                <c:pt idx="3">
                  <c:v>0</c:v>
                </c:pt>
              </c:numCache>
            </c:numRef>
          </c:val>
        </c:ser>
        <c:dLbls>
          <c:showLegendKey val="0"/>
          <c:showVal val="0"/>
          <c:showCatName val="0"/>
          <c:showSerName val="0"/>
          <c:showPercent val="0"/>
          <c:showBubbleSize val="0"/>
        </c:dLbls>
        <c:gapWidth val="75"/>
        <c:shape val="cylinder"/>
        <c:axId val="290455584"/>
        <c:axId val="290455976"/>
        <c:axId val="0"/>
      </c:bar3DChart>
      <c:catAx>
        <c:axId val="290455584"/>
        <c:scaling>
          <c:orientation val="minMax"/>
        </c:scaling>
        <c:delete val="0"/>
        <c:axPos val="b"/>
        <c:numFmt formatCode="General" sourceLinked="1"/>
        <c:majorTickMark val="none"/>
        <c:minorTickMark val="none"/>
        <c:tickLblPos val="nextTo"/>
        <c:txPr>
          <a:bodyPr/>
          <a:lstStyle/>
          <a:p>
            <a:pPr>
              <a:defRPr sz="1200"/>
            </a:pPr>
            <a:endParaRPr lang="es-ES"/>
          </a:p>
        </c:txPr>
        <c:crossAx val="290455976"/>
        <c:crosses val="autoZero"/>
        <c:auto val="1"/>
        <c:lblAlgn val="ctr"/>
        <c:lblOffset val="100"/>
        <c:noMultiLvlLbl val="0"/>
      </c:catAx>
      <c:valAx>
        <c:axId val="290455976"/>
        <c:scaling>
          <c:orientation val="minMax"/>
        </c:scaling>
        <c:delete val="1"/>
        <c:axPos val="l"/>
        <c:numFmt formatCode="0.0%" sourceLinked="1"/>
        <c:majorTickMark val="out"/>
        <c:minorTickMark val="none"/>
        <c:tickLblPos val="nextTo"/>
        <c:crossAx val="290455584"/>
        <c:crosses val="autoZero"/>
        <c:crossBetween val="between"/>
      </c:valAx>
      <c:spPr>
        <a:noFill/>
        <a:ln w="25400">
          <a:noFill/>
        </a:ln>
      </c:spPr>
    </c:plotArea>
    <c:legend>
      <c:legendPos val="t"/>
      <c:layout>
        <c:manualLayout>
          <c:xMode val="edge"/>
          <c:yMode val="edge"/>
          <c:x val="9.2534824574959894E-3"/>
          <c:y val="5.8669692074679036E-2"/>
          <c:w val="0.98715677406147451"/>
          <c:h val="3.427661605449788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Seguro de Riesgos Laborales</a:t>
            </a:r>
          </a:p>
          <a:p>
            <a:pPr>
              <a:defRPr/>
            </a:pPr>
            <a:r>
              <a:rPr lang="en-US"/>
              <a:t>Accidentes Laborales con Lesiones Discapacitantes </a:t>
            </a:r>
          </a:p>
        </c:rich>
      </c:tx>
      <c:layout>
        <c:manualLayout>
          <c:xMode val="edge"/>
          <c:yMode val="edge"/>
          <c:x val="0.33806038447123238"/>
          <c:y val="3.7419984349669207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0118366375690483E-3"/>
          <c:y val="0.15526998371385514"/>
          <c:w val="0.99228437296216265"/>
          <c:h val="0.72778799043363451"/>
        </c:manualLayout>
      </c:layout>
      <c:bar3DChart>
        <c:barDir val="col"/>
        <c:grouping val="clustered"/>
        <c:varyColors val="0"/>
        <c:ser>
          <c:idx val="0"/>
          <c:order val="0"/>
          <c:tx>
            <c:strRef>
              <c:f>'VI.3.24 EC. Accid incapac.'!$B$3</c:f>
              <c:strCache>
                <c:ptCount val="1"/>
                <c:pt idx="0">
                  <c:v>Lesión Discapacitante</c:v>
                </c:pt>
              </c:strCache>
            </c:strRef>
          </c:tx>
          <c:spPr>
            <a:solidFill>
              <a:schemeClr val="accent5">
                <a:lumMod val="50000"/>
              </a:schemeClr>
            </a:solidFill>
          </c:spPr>
          <c:invertIfNegative val="0"/>
          <c:dPt>
            <c:idx val="0"/>
            <c:invertIfNegative val="0"/>
            <c:bubble3D val="0"/>
          </c:dPt>
          <c:dPt>
            <c:idx val="1"/>
            <c:invertIfNegative val="0"/>
            <c:bubble3D val="0"/>
          </c:dPt>
          <c:dPt>
            <c:idx val="2"/>
            <c:invertIfNegative val="0"/>
            <c:bubble3D val="0"/>
          </c:dPt>
          <c:dLbls>
            <c:dLbl>
              <c:idx val="0"/>
              <c:layout>
                <c:manualLayout>
                  <c:x val="2.1504350111136897E-2"/>
                  <c:y val="-3.8383630361889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140004613800072E-2"/>
                  <c:y val="-3.440048780896299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531537624571089E-2"/>
                  <c:y val="-3.770982252103071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57729585803834E-2"/>
                  <c:y val="-3.4278806919101158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2.1588306290908715E-2"/>
                  <c:y val="-3.5611441959451873E-2"/>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2.418672690844513E-2"/>
                  <c:y val="-3.53973202142662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'VI.3.24 EC. Accid incapac.'!$A$4:$A$9</c:f>
              <c:strCache>
                <c:ptCount val="6"/>
                <c:pt idx="0">
                  <c:v>2009</c:v>
                </c:pt>
                <c:pt idx="1">
                  <c:v>2010</c:v>
                </c:pt>
                <c:pt idx="2">
                  <c:v>2011</c:v>
                </c:pt>
                <c:pt idx="3">
                  <c:v>2012</c:v>
                </c:pt>
                <c:pt idx="4">
                  <c:v>2013</c:v>
                </c:pt>
                <c:pt idx="5">
                  <c:v>2014</c:v>
                </c:pt>
              </c:strCache>
            </c:strRef>
          </c:cat>
          <c:val>
            <c:numRef>
              <c:f>'VI.3.24 EC. Accid incapac.'!$B$4:$B$9</c:f>
              <c:numCache>
                <c:formatCode>_(* #,##0_);_(* \(#,##0\);_(* "-"??_);_(@_)</c:formatCode>
                <c:ptCount val="6"/>
                <c:pt idx="0">
                  <c:v>10304</c:v>
                </c:pt>
                <c:pt idx="1">
                  <c:v>12867</c:v>
                </c:pt>
                <c:pt idx="2">
                  <c:v>16348</c:v>
                </c:pt>
                <c:pt idx="3">
                  <c:v>20578</c:v>
                </c:pt>
                <c:pt idx="4">
                  <c:v>21956</c:v>
                </c:pt>
                <c:pt idx="5">
                  <c:v>25386</c:v>
                </c:pt>
              </c:numCache>
            </c:numRef>
          </c:val>
        </c:ser>
        <c:dLbls>
          <c:showLegendKey val="0"/>
          <c:showVal val="0"/>
          <c:showCatName val="0"/>
          <c:showSerName val="0"/>
          <c:showPercent val="0"/>
          <c:showBubbleSize val="0"/>
        </c:dLbls>
        <c:gapWidth val="47"/>
        <c:shape val="cylinder"/>
        <c:axId val="290456760"/>
        <c:axId val="290457152"/>
        <c:axId val="0"/>
      </c:bar3DChart>
      <c:catAx>
        <c:axId val="290456760"/>
        <c:scaling>
          <c:orientation val="minMax"/>
        </c:scaling>
        <c:delete val="0"/>
        <c:axPos val="b"/>
        <c:numFmt formatCode="General" sourceLinked="1"/>
        <c:majorTickMark val="out"/>
        <c:minorTickMark val="none"/>
        <c:tickLblPos val="nextTo"/>
        <c:txPr>
          <a:bodyPr/>
          <a:lstStyle/>
          <a:p>
            <a:pPr>
              <a:defRPr sz="1600"/>
            </a:pPr>
            <a:endParaRPr lang="es-ES"/>
          </a:p>
        </c:txPr>
        <c:crossAx val="290457152"/>
        <c:crosses val="autoZero"/>
        <c:auto val="1"/>
        <c:lblAlgn val="ctr"/>
        <c:lblOffset val="100"/>
        <c:noMultiLvlLbl val="0"/>
      </c:catAx>
      <c:valAx>
        <c:axId val="290457152"/>
        <c:scaling>
          <c:orientation val="minMax"/>
        </c:scaling>
        <c:delete val="1"/>
        <c:axPos val="l"/>
        <c:numFmt formatCode="_(* #,##0_);_(* \(#,##0\);_(* &quot;-&quot;??_);_(@_)" sourceLinked="1"/>
        <c:majorTickMark val="out"/>
        <c:minorTickMark val="none"/>
        <c:tickLblPos val="nextTo"/>
        <c:crossAx val="2904567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Cantidad de Expedientes de Enfermedades Profesionales Calificados en Proceso de Investigación</a:t>
            </a:r>
          </a:p>
        </c:rich>
      </c:tx>
      <c:layout>
        <c:manualLayout>
          <c:xMode val="edge"/>
          <c:yMode val="edge"/>
          <c:x val="0.10407377031939724"/>
          <c:y val="4.4343203827900881E-3"/>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834761896530158E-3"/>
          <c:y val="0.2016657332480454"/>
          <c:w val="0.98738762705171723"/>
          <c:h val="0.67396921254849818"/>
        </c:manualLayout>
      </c:layout>
      <c:bar3DChart>
        <c:barDir val="col"/>
        <c:grouping val="clustered"/>
        <c:varyColors val="0"/>
        <c:ser>
          <c:idx val="0"/>
          <c:order val="0"/>
          <c:tx>
            <c:strRef>
              <c:f>'VI.3.25 EC. Enferm. Prof (R)'!$E$3</c:f>
              <c:strCache>
                <c:ptCount val="1"/>
                <c:pt idx="0">
                  <c:v>% Aprobados</c:v>
                </c:pt>
              </c:strCache>
            </c:strRef>
          </c:tx>
          <c:spPr>
            <a:solidFill>
              <a:schemeClr val="accent3">
                <a:lumMod val="75000"/>
              </a:schemeClr>
            </a:solidFill>
          </c:spPr>
          <c:invertIfNegative val="0"/>
          <c:dLbls>
            <c:dLbl>
              <c:idx val="0"/>
              <c:layout>
                <c:manualLayout>
                  <c:x val="2.9956084561401814E-4"/>
                  <c:y val="-2.17166361376734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322483447071741E-2"/>
                  <c:y val="-2.37711934746776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9293967431E-3"/>
                  <c:y val="-2.554262627211632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827506154448857E-2"/>
                  <c:y val="-1.611905450369569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0739412891163179E-3"/>
                  <c:y val="-2.0155304245573817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5.9640524487225332E-3"/>
                  <c:y val="-2.03626181452733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'VI.3.25 EC. Enferm. Prof (R)'!$A$4:$A$10</c:f>
              <c:strCache>
                <c:ptCount val="7"/>
                <c:pt idx="0">
                  <c:v>2008</c:v>
                </c:pt>
                <c:pt idx="1">
                  <c:v>2009</c:v>
                </c:pt>
                <c:pt idx="2">
                  <c:v>2010</c:v>
                </c:pt>
                <c:pt idx="3">
                  <c:v>2011</c:v>
                </c:pt>
                <c:pt idx="4">
                  <c:v>2012</c:v>
                </c:pt>
                <c:pt idx="5">
                  <c:v>2013</c:v>
                </c:pt>
                <c:pt idx="6">
                  <c:v>2014</c:v>
                </c:pt>
              </c:strCache>
            </c:strRef>
          </c:cat>
          <c:val>
            <c:numRef>
              <c:f>'VI.3.25 EC. Enferm. Prof (R)'!$E$4:$E$10</c:f>
              <c:numCache>
                <c:formatCode>0.0%</c:formatCode>
                <c:ptCount val="7"/>
                <c:pt idx="0">
                  <c:v>0.4</c:v>
                </c:pt>
                <c:pt idx="1">
                  <c:v>0.54081632653061229</c:v>
                </c:pt>
                <c:pt idx="2">
                  <c:v>0.38306451612903225</c:v>
                </c:pt>
                <c:pt idx="3">
                  <c:v>0.57215189873417727</c:v>
                </c:pt>
                <c:pt idx="4">
                  <c:v>0.43340857787810383</c:v>
                </c:pt>
                <c:pt idx="5">
                  <c:v>0.23505976095617531</c:v>
                </c:pt>
                <c:pt idx="6">
                  <c:v>0.2890995260663507</c:v>
                </c:pt>
              </c:numCache>
            </c:numRef>
          </c:val>
        </c:ser>
        <c:ser>
          <c:idx val="1"/>
          <c:order val="1"/>
          <c:tx>
            <c:strRef>
              <c:f>'VI.3.25 EC. Enferm. Prof (R)'!$F$3</c:f>
              <c:strCache>
                <c:ptCount val="1"/>
                <c:pt idx="0">
                  <c:v>% Declinados</c:v>
                </c:pt>
              </c:strCache>
            </c:strRef>
          </c:tx>
          <c:spPr>
            <a:solidFill>
              <a:schemeClr val="tx2">
                <a:lumMod val="60000"/>
                <a:lumOff val="40000"/>
              </a:schemeClr>
            </a:solidFill>
          </c:spPr>
          <c:invertIfNegative val="0"/>
          <c:dLbls>
            <c:dLbl>
              <c:idx val="0"/>
              <c:layout>
                <c:manualLayout>
                  <c:x val="1.9795198320766514E-2"/>
                  <c:y val="-1.96178009158380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294763035582147E-2"/>
                  <c:y val="-2.37302483338660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058295165271335E-2"/>
                  <c:y val="-2.36507385836853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892432164028355E-2"/>
                  <c:y val="-2.41788991597358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91520967042463E-2"/>
                  <c:y val="-2.0155166213466382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9.4087579565513054E-3"/>
                  <c:y val="-1.149396792764306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591222028540926E-2"/>
                  <c:y val="-2.217160191395044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'VI.3.25 EC. Enferm. Prof (R)'!$A$4:$A$10</c:f>
              <c:strCache>
                <c:ptCount val="7"/>
                <c:pt idx="0">
                  <c:v>2008</c:v>
                </c:pt>
                <c:pt idx="1">
                  <c:v>2009</c:v>
                </c:pt>
                <c:pt idx="2">
                  <c:v>2010</c:v>
                </c:pt>
                <c:pt idx="3">
                  <c:v>2011</c:v>
                </c:pt>
                <c:pt idx="4">
                  <c:v>2012</c:v>
                </c:pt>
                <c:pt idx="5">
                  <c:v>2013</c:v>
                </c:pt>
                <c:pt idx="6">
                  <c:v>2014</c:v>
                </c:pt>
              </c:strCache>
            </c:strRef>
          </c:cat>
          <c:val>
            <c:numRef>
              <c:f>'VI.3.25 EC. Enferm. Prof (R)'!$F$4:$F$10</c:f>
              <c:numCache>
                <c:formatCode>0.0%</c:formatCode>
                <c:ptCount val="7"/>
                <c:pt idx="0">
                  <c:v>0.6</c:v>
                </c:pt>
                <c:pt idx="1">
                  <c:v>0.45918367346938777</c:v>
                </c:pt>
                <c:pt idx="2">
                  <c:v>0.61693548387096775</c:v>
                </c:pt>
                <c:pt idx="3">
                  <c:v>0.42784810126582279</c:v>
                </c:pt>
                <c:pt idx="4">
                  <c:v>0.56659142212189617</c:v>
                </c:pt>
                <c:pt idx="5">
                  <c:v>0.76494023904382469</c:v>
                </c:pt>
                <c:pt idx="6">
                  <c:v>0.7109004739336493</c:v>
                </c:pt>
              </c:numCache>
            </c:numRef>
          </c:val>
        </c:ser>
        <c:dLbls>
          <c:showLegendKey val="0"/>
          <c:showVal val="0"/>
          <c:showCatName val="0"/>
          <c:showSerName val="0"/>
          <c:showPercent val="0"/>
          <c:showBubbleSize val="0"/>
        </c:dLbls>
        <c:gapWidth val="75"/>
        <c:shape val="cylinder"/>
        <c:axId val="290457936"/>
        <c:axId val="290458328"/>
        <c:axId val="0"/>
      </c:bar3DChart>
      <c:catAx>
        <c:axId val="290457936"/>
        <c:scaling>
          <c:orientation val="minMax"/>
        </c:scaling>
        <c:delete val="0"/>
        <c:axPos val="b"/>
        <c:numFmt formatCode="General" sourceLinked="1"/>
        <c:majorTickMark val="none"/>
        <c:minorTickMark val="none"/>
        <c:tickLblPos val="nextTo"/>
        <c:txPr>
          <a:bodyPr/>
          <a:lstStyle/>
          <a:p>
            <a:pPr>
              <a:defRPr sz="1600"/>
            </a:pPr>
            <a:endParaRPr lang="es-ES"/>
          </a:p>
        </c:txPr>
        <c:crossAx val="290458328"/>
        <c:crosses val="autoZero"/>
        <c:auto val="1"/>
        <c:lblAlgn val="ctr"/>
        <c:lblOffset val="100"/>
        <c:noMultiLvlLbl val="0"/>
      </c:catAx>
      <c:valAx>
        <c:axId val="290458328"/>
        <c:scaling>
          <c:orientation val="minMax"/>
        </c:scaling>
        <c:delete val="1"/>
        <c:axPos val="l"/>
        <c:numFmt formatCode="0.0%" sourceLinked="1"/>
        <c:majorTickMark val="out"/>
        <c:minorTickMark val="none"/>
        <c:tickLblPos val="nextTo"/>
        <c:crossAx val="290457936"/>
        <c:crosses val="autoZero"/>
        <c:crossBetween val="between"/>
      </c:valAx>
      <c:spPr>
        <a:noFill/>
        <a:ln w="25400">
          <a:noFill/>
        </a:ln>
      </c:spPr>
    </c:plotArea>
    <c:legend>
      <c:legendPos val="t"/>
      <c:layout>
        <c:manualLayout>
          <c:xMode val="edge"/>
          <c:yMode val="edge"/>
          <c:x val="0.16422883432223601"/>
          <c:y val="0.12557768370656111"/>
          <c:w val="0.62983333619795689"/>
          <c:h val="5.68453686142294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Afiliación Total  Mensual al SDSS</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0526317859600402E-2"/>
          <c:y val="0.2497719789708637"/>
          <c:w val="0.93894736428079961"/>
          <c:h val="0.56406653267448281"/>
        </c:manualLayout>
      </c:layout>
      <c:bar3DChart>
        <c:barDir val="col"/>
        <c:grouping val="stacked"/>
        <c:varyColors val="0"/>
        <c:ser>
          <c:idx val="0"/>
          <c:order val="0"/>
          <c:tx>
            <c:strRef>
              <c:f>'Afil. mensual (Mod.)'!$B$2</c:f>
              <c:strCache>
                <c:ptCount val="1"/>
                <c:pt idx="0">
                  <c:v>Afiliación  RC</c:v>
                </c:pt>
              </c:strCache>
            </c:strRef>
          </c:tx>
          <c:invertIfNegative val="0"/>
          <c:dLbls>
            <c:dLbl>
              <c:idx val="0"/>
              <c:layout>
                <c:manualLayout>
                  <c:x val="1.440993854596156E-2"/>
                  <c:y val="9.9192402018214068E-2"/>
                </c:manualLayout>
              </c:layout>
              <c:tx>
                <c:rich>
                  <a:bodyPr/>
                  <a:lstStyle/>
                  <a:p>
                    <a:r>
                      <a:rPr lang="en-US" sz="1200"/>
                      <a:t>62.29%</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921325139461549E-2"/>
                  <c:y val="9.9192185061954027E-2"/>
                </c:manualLayout>
              </c:layout>
              <c:tx>
                <c:rich>
                  <a:bodyPr/>
                  <a:lstStyle/>
                  <a:p>
                    <a:r>
                      <a:rPr lang="en-US" sz="1200"/>
                      <a:t>62.59%</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440993854596156E-2"/>
                  <c:y val="0.10470309101922592"/>
                </c:manualLayout>
              </c:layout>
              <c:tx>
                <c:rich>
                  <a:bodyPr/>
                  <a:lstStyle/>
                  <a:p>
                    <a:r>
                      <a:rPr lang="en-US" sz="1200"/>
                      <a:t>62.89%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6811594970288484E-2"/>
                  <c:y val="0.10470309101922592"/>
                </c:manualLayout>
              </c:layout>
              <c:tx>
                <c:rich>
                  <a:bodyPr/>
                  <a:lstStyle/>
                  <a:p>
                    <a:r>
                      <a:rPr lang="en-US" sz="1200"/>
                      <a:t>63.30%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4409749439156495E-2"/>
                  <c:y val="0.10470287406296599"/>
                </c:manualLayout>
              </c:layout>
              <c:tx>
                <c:rich>
                  <a:bodyPr/>
                  <a:lstStyle/>
                  <a:p>
                    <a:r>
                      <a:rPr lang="en-US" sz="1200"/>
                      <a:t>63.40%</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4409749439156495E-2"/>
                  <c:y val="0.10470309101922592"/>
                </c:manualLayout>
              </c:layout>
              <c:tx>
                <c:rich>
                  <a:bodyPr/>
                  <a:lstStyle/>
                  <a:p>
                    <a:pPr>
                      <a:defRPr sz="1200" b="1"/>
                    </a:pPr>
                    <a:r>
                      <a:rPr lang="en-US" sz="1200" b="1"/>
                      <a:t>63.64%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(Mod.)'!$B$3:$B$8</c:f>
              <c:numCache>
                <c:formatCode>_(* #,##0_);_(* \(#,##0\);_(* "-"??_);_(@_)</c:formatCode>
                <c:ptCount val="6"/>
                <c:pt idx="0">
                  <c:v>3378252</c:v>
                </c:pt>
                <c:pt idx="1">
                  <c:v>3416064</c:v>
                </c:pt>
                <c:pt idx="2">
                  <c:v>3449774</c:v>
                </c:pt>
                <c:pt idx="3">
                  <c:v>3500663</c:v>
                </c:pt>
                <c:pt idx="4">
                  <c:v>3530131</c:v>
                </c:pt>
                <c:pt idx="5">
                  <c:v>3567172</c:v>
                </c:pt>
              </c:numCache>
            </c:numRef>
          </c:val>
        </c:ser>
        <c:ser>
          <c:idx val="1"/>
          <c:order val="1"/>
          <c:tx>
            <c:strRef>
              <c:f>'Afil. mensual (Mod.)'!$F$2</c:f>
              <c:strCache>
                <c:ptCount val="1"/>
                <c:pt idx="0">
                  <c:v>Afiliación Total RS</c:v>
                </c:pt>
              </c:strCache>
            </c:strRef>
          </c:tx>
          <c:spPr>
            <a:solidFill>
              <a:srgbClr val="00B050"/>
            </a:solidFill>
          </c:spPr>
          <c:invertIfNegative val="0"/>
          <c:dLbls>
            <c:dLbl>
              <c:idx val="0"/>
              <c:layout>
                <c:manualLayout>
                  <c:x val="1.440993854596156E-2"/>
                  <c:y val="5.5106890010119008E-2"/>
                </c:manualLayout>
              </c:layout>
              <c:tx>
                <c:rich>
                  <a:bodyPr/>
                  <a:lstStyle/>
                  <a:p>
                    <a:r>
                      <a:rPr lang="en-US"/>
                      <a:t>37.21%</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6066256973077382E-3"/>
                  <c:y val="5.7862234510625075E-2"/>
                </c:manualLayout>
              </c:layout>
              <c:tx>
                <c:rich>
                  <a:bodyPr/>
                  <a:lstStyle/>
                  <a:p>
                    <a:r>
                      <a:rPr lang="en-US"/>
                      <a:t>36.91%</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11594970288484E-2"/>
                  <c:y val="5.2351545509612886E-2"/>
                </c:manualLayout>
              </c:layout>
              <c:tx>
                <c:rich>
                  <a:bodyPr/>
                  <a:lstStyle/>
                  <a:p>
                    <a:r>
                      <a:rPr lang="en-US"/>
                      <a:t>36.60%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40993854596156E-2"/>
                  <c:y val="5.2351545509612886E-2"/>
                </c:manualLayout>
              </c:layout>
              <c:tx>
                <c:rich>
                  <a:bodyPr/>
                  <a:lstStyle/>
                  <a:p>
                    <a:r>
                      <a:rPr lang="en-US"/>
                      <a:t>36.19%</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811594970288571E-2"/>
                  <c:y val="5.2351545509612886E-2"/>
                </c:manualLayout>
              </c:layout>
              <c:tx>
                <c:rich>
                  <a:bodyPr/>
                  <a:lstStyle/>
                  <a:p>
                    <a:r>
                      <a:rPr lang="en-US"/>
                      <a:t>36.09%</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440993854596156E-2"/>
                  <c:y val="5.5106890010119008E-2"/>
                </c:manualLayout>
              </c:layout>
              <c:tx>
                <c:rich>
                  <a:bodyPr/>
                  <a:lstStyle/>
                  <a:p>
                    <a:pPr>
                      <a:defRPr sz="1200" b="1"/>
                    </a:pPr>
                    <a:r>
                      <a:rPr lang="en-US" b="1"/>
                      <a:t>35.84%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(Mod.)'!$F$3:$F$8</c:f>
              <c:numCache>
                <c:formatCode>_(* #,##0_);_(* \(#,##0\);_(* "-"??_);_(@_)</c:formatCode>
                <c:ptCount val="6"/>
                <c:pt idx="0">
                  <c:v>2017888</c:v>
                </c:pt>
                <c:pt idx="1">
                  <c:v>2014774</c:v>
                </c:pt>
                <c:pt idx="2">
                  <c:v>2007727</c:v>
                </c:pt>
                <c:pt idx="3">
                  <c:v>2001625</c:v>
                </c:pt>
                <c:pt idx="4">
                  <c:v>2009402</c:v>
                </c:pt>
                <c:pt idx="5">
                  <c:v>2008905</c:v>
                </c:pt>
              </c:numCache>
            </c:numRef>
          </c:val>
        </c:ser>
        <c:ser>
          <c:idx val="2"/>
          <c:order val="2"/>
          <c:tx>
            <c:strRef>
              <c:f>'Afil. mensual (Mod.)'!$J$2</c:f>
              <c:strCache>
                <c:ptCount val="1"/>
                <c:pt idx="0">
                  <c:v>Afiliación Total SFSP</c:v>
                </c:pt>
              </c:strCache>
            </c:strRef>
          </c:tx>
          <c:spPr>
            <a:solidFill>
              <a:srgbClr val="FFC000"/>
            </a:solidFill>
          </c:spPr>
          <c:invertIfNegative val="0"/>
          <c:dLbls>
            <c:dLbl>
              <c:idx val="0"/>
              <c:layout>
                <c:manualLayout>
                  <c:x val="1.921325139461549E-2"/>
                  <c:y val="-1.1021378002023801E-2"/>
                </c:manualLayout>
              </c:layout>
              <c:tx>
                <c:rich>
                  <a:bodyPr/>
                  <a:lstStyle/>
                  <a:p>
                    <a:r>
                      <a:rPr lang="en-US"/>
                      <a:t>0.50%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811594970288484E-2"/>
                  <c:y val="-1.6532067003035663E-2"/>
                </c:manualLayout>
              </c:layout>
              <c:tx>
                <c:rich>
                  <a:bodyPr/>
                  <a:lstStyle/>
                  <a:p>
                    <a:r>
                      <a:rPr lang="en-US"/>
                      <a:t>0.50%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11594970288484E-2"/>
                  <c:y val="-1.6532067003035663E-2"/>
                </c:manualLayout>
              </c:layout>
              <c:tx>
                <c:rich>
                  <a:bodyPr/>
                  <a:lstStyle/>
                  <a:p>
                    <a:r>
                      <a:rPr lang="en-US"/>
                      <a:t>0.51%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1614907818942427E-2"/>
                  <c:y val="-1.6532067003035663E-2"/>
                </c:manualLayout>
              </c:layout>
              <c:tx>
                <c:rich>
                  <a:bodyPr/>
                  <a:lstStyle/>
                  <a:p>
                    <a:r>
                      <a:rPr lang="en-US"/>
                      <a:t> 0.51% </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21325139461549E-2"/>
                  <c:y val="-1.3776722502529704E-2"/>
                </c:manualLayout>
              </c:layout>
              <c:tx>
                <c:rich>
                  <a:bodyPr/>
                  <a:lstStyle/>
                  <a:p>
                    <a:r>
                      <a:rPr lang="en-US"/>
                      <a:t>0.52%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1614907818942427E-2"/>
                  <c:y val="-1.6532067003035663E-2"/>
                </c:manualLayout>
              </c:layout>
              <c:tx>
                <c:rich>
                  <a:bodyPr/>
                  <a:lstStyle/>
                  <a:p>
                    <a:pPr>
                      <a:defRPr sz="1200" b="1"/>
                    </a:pPr>
                    <a:r>
                      <a:rPr lang="en-US" b="1"/>
                      <a:t>0.52%</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(Mod.)'!$J$3:$J$8</c:f>
              <c:numCache>
                <c:formatCode>_(* #,##0_);_(* \(#,##0\);_(* "-"??_);_(@_)</c:formatCode>
                <c:ptCount val="6"/>
                <c:pt idx="0">
                  <c:v>27105</c:v>
                </c:pt>
                <c:pt idx="1">
                  <c:v>27293</c:v>
                </c:pt>
                <c:pt idx="2">
                  <c:v>27749</c:v>
                </c:pt>
                <c:pt idx="3">
                  <c:v>28295</c:v>
                </c:pt>
                <c:pt idx="4">
                  <c:v>28783</c:v>
                </c:pt>
                <c:pt idx="5">
                  <c:v>29178</c:v>
                </c:pt>
              </c:numCache>
            </c:numRef>
          </c:val>
        </c:ser>
        <c:dLbls>
          <c:showLegendKey val="0"/>
          <c:showVal val="0"/>
          <c:showCatName val="0"/>
          <c:showSerName val="0"/>
          <c:showPercent val="0"/>
          <c:showBubbleSize val="0"/>
        </c:dLbls>
        <c:gapWidth val="22"/>
        <c:shape val="cylinder"/>
        <c:axId val="242520456"/>
        <c:axId val="242520848"/>
        <c:axId val="0"/>
      </c:bar3DChart>
      <c:dateAx>
        <c:axId val="242520456"/>
        <c:scaling>
          <c:orientation val="minMax"/>
        </c:scaling>
        <c:delete val="0"/>
        <c:axPos val="b"/>
        <c:numFmt formatCode="mmm\-yy" sourceLinked="0"/>
        <c:majorTickMark val="none"/>
        <c:minorTickMark val="none"/>
        <c:tickLblPos val="nextTo"/>
        <c:crossAx val="242520848"/>
        <c:crosses val="autoZero"/>
        <c:auto val="1"/>
        <c:lblOffset val="100"/>
        <c:baseTimeUnit val="months"/>
      </c:dateAx>
      <c:valAx>
        <c:axId val="242520848"/>
        <c:scaling>
          <c:orientation val="minMax"/>
        </c:scaling>
        <c:delete val="1"/>
        <c:axPos val="l"/>
        <c:numFmt formatCode="_(* #,##0_);_(* \(#,##0\);_(* &quot;-&quot;??_);_(@_)" sourceLinked="1"/>
        <c:majorTickMark val="out"/>
        <c:minorTickMark val="none"/>
        <c:tickLblPos val="nextTo"/>
        <c:crossAx val="242520456"/>
        <c:crosses val="autoZero"/>
        <c:crossBetween val="between"/>
      </c:valAx>
      <c:spPr>
        <a:noFill/>
        <a:ln w="25400">
          <a:noFill/>
        </a:ln>
      </c:spPr>
    </c:plotArea>
    <c:legend>
      <c:legendPos val="b"/>
      <c:layout>
        <c:manualLayout>
          <c:xMode val="edge"/>
          <c:yMode val="edge"/>
          <c:x val="8.9093114263244164E-2"/>
          <c:y val="8.3305407719557453E-2"/>
          <c:w val="0.69200413125254645"/>
          <c:h val="4.9824667438958206E-2"/>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Cantidad de Expedientes de Accidentes Laborales Calificados en  Proceso de Reinvestigación</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748690661300313E-4"/>
          <c:y val="0.2428878039551978"/>
          <c:w val="0.9796177744340242"/>
          <c:h val="0.61780166979442419"/>
        </c:manualLayout>
      </c:layout>
      <c:bar3DChart>
        <c:barDir val="col"/>
        <c:grouping val="clustered"/>
        <c:varyColors val="0"/>
        <c:ser>
          <c:idx val="0"/>
          <c:order val="0"/>
          <c:tx>
            <c:strRef>
              <c:f>'VI.3.26 EC. Accid Lab.(R)'!$E$3</c:f>
              <c:strCache>
                <c:ptCount val="1"/>
                <c:pt idx="0">
                  <c:v>% Aprobados</c:v>
                </c:pt>
              </c:strCache>
            </c:strRef>
          </c:tx>
          <c:spPr>
            <a:solidFill>
              <a:schemeClr val="accent3">
                <a:lumMod val="75000"/>
              </a:schemeClr>
            </a:solidFill>
          </c:spPr>
          <c:invertIfNegative val="0"/>
          <c:dLbls>
            <c:dLbl>
              <c:idx val="0"/>
              <c:layout>
                <c:manualLayout>
                  <c:x val="2.3574902226882601E-2"/>
                  <c:y val="-4.791470602842804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161439292710757E-2"/>
                  <c:y val="-3.586454605938887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548463853342534E-2"/>
                  <c:y val="-3.96495993355925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267337695505714E-2"/>
                  <c:y val="-1.8141715598498233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9.7747544922503204E-3"/>
                  <c:y val="-1.6766322651955455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1.0695970819370319E-2"/>
                  <c:y val="-2.67889913417418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'VI.3.26 EC. Accid Lab.(R)'!$A$4:$A$9</c:f>
              <c:strCache>
                <c:ptCount val="6"/>
                <c:pt idx="0">
                  <c:v>2009</c:v>
                </c:pt>
                <c:pt idx="1">
                  <c:v>2010</c:v>
                </c:pt>
                <c:pt idx="2">
                  <c:v>2011</c:v>
                </c:pt>
                <c:pt idx="3">
                  <c:v>2012</c:v>
                </c:pt>
                <c:pt idx="4">
                  <c:v>2013</c:v>
                </c:pt>
                <c:pt idx="5">
                  <c:v>2014</c:v>
                </c:pt>
              </c:strCache>
            </c:strRef>
          </c:cat>
          <c:val>
            <c:numRef>
              <c:f>'VI.3.26 EC. Accid Lab.(R)'!$E$4:$E$9</c:f>
              <c:numCache>
                <c:formatCode>0.0%</c:formatCode>
                <c:ptCount val="6"/>
                <c:pt idx="0">
                  <c:v>0.58552631578947367</c:v>
                </c:pt>
                <c:pt idx="1">
                  <c:v>0.6095890410958904</c:v>
                </c:pt>
                <c:pt idx="2">
                  <c:v>0.5</c:v>
                </c:pt>
                <c:pt idx="3">
                  <c:v>0.35537190082644626</c:v>
                </c:pt>
                <c:pt idx="4">
                  <c:v>0.36792452830188677</c:v>
                </c:pt>
                <c:pt idx="5">
                  <c:v>0.36464088397790057</c:v>
                </c:pt>
              </c:numCache>
            </c:numRef>
          </c:val>
        </c:ser>
        <c:ser>
          <c:idx val="1"/>
          <c:order val="1"/>
          <c:tx>
            <c:strRef>
              <c:f>'VI.3.26 EC. Accid Lab.(R)'!$F$3</c:f>
              <c:strCache>
                <c:ptCount val="1"/>
                <c:pt idx="0">
                  <c:v>% Declinados</c:v>
                </c:pt>
              </c:strCache>
            </c:strRef>
          </c:tx>
          <c:spPr>
            <a:solidFill>
              <a:schemeClr val="accent5">
                <a:lumMod val="50000"/>
              </a:schemeClr>
            </a:solidFill>
          </c:spPr>
          <c:invertIfNegative val="0"/>
          <c:dLbls>
            <c:dLbl>
              <c:idx val="0"/>
              <c:layout>
                <c:manualLayout>
                  <c:x val="1.702127178041048E-2"/>
                  <c:y val="-3.3726706586332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440266918527325E-2"/>
                  <c:y val="-2.977805852821502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6161439292710757E-2"/>
                  <c:y val="-3.574188964191148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71145086413696E-2"/>
                  <c:y val="-2.4188583826381147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228245049974378E-2"/>
                  <c:y val="-2.7096959273701909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8.7512488522120783E-3"/>
                  <c:y val="-2.45565753965966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'VI.3.26 EC. Accid Lab.(R)'!$A$4:$A$9</c:f>
              <c:strCache>
                <c:ptCount val="6"/>
                <c:pt idx="0">
                  <c:v>2009</c:v>
                </c:pt>
                <c:pt idx="1">
                  <c:v>2010</c:v>
                </c:pt>
                <c:pt idx="2">
                  <c:v>2011</c:v>
                </c:pt>
                <c:pt idx="3">
                  <c:v>2012</c:v>
                </c:pt>
                <c:pt idx="4">
                  <c:v>2013</c:v>
                </c:pt>
                <c:pt idx="5">
                  <c:v>2014</c:v>
                </c:pt>
              </c:strCache>
            </c:strRef>
          </c:cat>
          <c:val>
            <c:numRef>
              <c:f>'VI.3.26 EC. Accid Lab.(R)'!$F$4:$F$9</c:f>
              <c:numCache>
                <c:formatCode>0.0%</c:formatCode>
                <c:ptCount val="6"/>
                <c:pt idx="0">
                  <c:v>0.375</c:v>
                </c:pt>
                <c:pt idx="1">
                  <c:v>0.3904109589041096</c:v>
                </c:pt>
                <c:pt idx="2">
                  <c:v>0.5</c:v>
                </c:pt>
                <c:pt idx="3">
                  <c:v>0.64462809917355368</c:v>
                </c:pt>
                <c:pt idx="4">
                  <c:v>0.63207547169811318</c:v>
                </c:pt>
                <c:pt idx="5">
                  <c:v>0.63535911602209949</c:v>
                </c:pt>
              </c:numCache>
            </c:numRef>
          </c:val>
        </c:ser>
        <c:dLbls>
          <c:showLegendKey val="0"/>
          <c:showVal val="0"/>
          <c:showCatName val="0"/>
          <c:showSerName val="0"/>
          <c:showPercent val="0"/>
          <c:showBubbleSize val="0"/>
        </c:dLbls>
        <c:gapWidth val="75"/>
        <c:shape val="cylinder"/>
        <c:axId val="290459112"/>
        <c:axId val="290459504"/>
        <c:axId val="0"/>
      </c:bar3DChart>
      <c:catAx>
        <c:axId val="290459112"/>
        <c:scaling>
          <c:orientation val="minMax"/>
        </c:scaling>
        <c:delete val="0"/>
        <c:axPos val="b"/>
        <c:numFmt formatCode="General" sourceLinked="1"/>
        <c:majorTickMark val="none"/>
        <c:minorTickMark val="none"/>
        <c:tickLblPos val="nextTo"/>
        <c:txPr>
          <a:bodyPr/>
          <a:lstStyle/>
          <a:p>
            <a:pPr>
              <a:defRPr sz="1400"/>
            </a:pPr>
            <a:endParaRPr lang="es-ES"/>
          </a:p>
        </c:txPr>
        <c:crossAx val="290459504"/>
        <c:crosses val="autoZero"/>
        <c:auto val="1"/>
        <c:lblAlgn val="ctr"/>
        <c:lblOffset val="100"/>
        <c:noMultiLvlLbl val="0"/>
      </c:catAx>
      <c:valAx>
        <c:axId val="290459504"/>
        <c:scaling>
          <c:orientation val="minMax"/>
        </c:scaling>
        <c:delete val="1"/>
        <c:axPos val="l"/>
        <c:numFmt formatCode="0.0%" sourceLinked="1"/>
        <c:majorTickMark val="out"/>
        <c:minorTickMark val="none"/>
        <c:tickLblPos val="nextTo"/>
        <c:crossAx val="290459112"/>
        <c:crosses val="autoZero"/>
        <c:crossBetween val="between"/>
      </c:valAx>
      <c:spPr>
        <a:noFill/>
        <a:ln w="25400">
          <a:noFill/>
        </a:ln>
      </c:spPr>
    </c:plotArea>
    <c:legend>
      <c:legendPos val="t"/>
      <c:layout>
        <c:manualLayout>
          <c:xMode val="edge"/>
          <c:yMode val="edge"/>
          <c:x val="0.25627708346753048"/>
          <c:y val="0.12420235279171345"/>
          <c:w val="0.49227362961412774"/>
          <c:h val="6.312953159290590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Casos Aprobados en Proceso de Reinvestigación por Tipo de Accidente </a:t>
            </a:r>
          </a:p>
        </c:rich>
      </c:tx>
      <c:layout>
        <c:manualLayout>
          <c:xMode val="edge"/>
          <c:yMode val="edge"/>
          <c:x val="0.18986240123474271"/>
          <c:y val="2.2021115301866143E-3"/>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1631757708083929"/>
          <c:w val="0.93373081334428365"/>
          <c:h val="0.68235980352310088"/>
        </c:manualLayout>
      </c:layout>
      <c:bar3DChart>
        <c:barDir val="col"/>
        <c:grouping val="clustered"/>
        <c:varyColors val="0"/>
        <c:ser>
          <c:idx val="0"/>
          <c:order val="0"/>
          <c:tx>
            <c:strRef>
              <c:f>'VI.3.27. Accid. Aprobxtipo'!$G$3</c:f>
              <c:strCache>
                <c:ptCount val="1"/>
                <c:pt idx="0">
                  <c:v>%   Trabajo</c:v>
                </c:pt>
              </c:strCache>
            </c:strRef>
          </c:tx>
          <c:spPr>
            <a:solidFill>
              <a:schemeClr val="accent6">
                <a:lumMod val="50000"/>
              </a:schemeClr>
            </a:solidFill>
          </c:spPr>
          <c:invertIfNegative val="0"/>
          <c:dLbls>
            <c:dLbl>
              <c:idx val="0"/>
              <c:layout>
                <c:manualLayout>
                  <c:x val="3.2555365183653817E-3"/>
                  <c:y val="-7.128945941109682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248824728838042E-3"/>
                  <c:y val="-4.6468021179111082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351434397213744E-3"/>
                  <c:y val="-7.408804839512966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2349621930842258E-3"/>
                  <c:y val="-1.057776470767745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859123219393389E-2"/>
                  <c:y val="2.20211153018661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'VI.3.27. Accid. Aprobxtipo'!$A$4:$A$9</c:f>
              <c:strCache>
                <c:ptCount val="6"/>
                <c:pt idx="0">
                  <c:v>2009</c:v>
                </c:pt>
                <c:pt idx="1">
                  <c:v>2010</c:v>
                </c:pt>
                <c:pt idx="2">
                  <c:v>2011</c:v>
                </c:pt>
                <c:pt idx="3">
                  <c:v>2012</c:v>
                </c:pt>
                <c:pt idx="4">
                  <c:v>2013</c:v>
                </c:pt>
                <c:pt idx="5">
                  <c:v>2014</c:v>
                </c:pt>
              </c:strCache>
            </c:strRef>
          </c:cat>
          <c:val>
            <c:numRef>
              <c:f>'VI.3.27. Accid. Aprobxtipo'!$G$4:$G$9</c:f>
              <c:numCache>
                <c:formatCode>0.0%</c:formatCode>
                <c:ptCount val="6"/>
                <c:pt idx="0">
                  <c:v>0.51515151515151514</c:v>
                </c:pt>
                <c:pt idx="1">
                  <c:v>0.2247191011235955</c:v>
                </c:pt>
                <c:pt idx="2">
                  <c:v>0.33720930232558138</c:v>
                </c:pt>
                <c:pt idx="3">
                  <c:v>0.32558139534883723</c:v>
                </c:pt>
                <c:pt idx="4">
                  <c:v>0.5</c:v>
                </c:pt>
                <c:pt idx="5">
                  <c:v>0.46969696969696972</c:v>
                </c:pt>
              </c:numCache>
            </c:numRef>
          </c:val>
        </c:ser>
        <c:ser>
          <c:idx val="1"/>
          <c:order val="1"/>
          <c:tx>
            <c:strRef>
              <c:f>'VI.3.27. Accid. Aprobxtipo'!$H$3</c:f>
              <c:strCache>
                <c:ptCount val="1"/>
                <c:pt idx="0">
                  <c:v>%   Trayecto</c:v>
                </c:pt>
              </c:strCache>
            </c:strRef>
          </c:tx>
          <c:spPr>
            <a:solidFill>
              <a:schemeClr val="accent5">
                <a:lumMod val="50000"/>
              </a:schemeClr>
            </a:solidFill>
          </c:spPr>
          <c:invertIfNegative val="0"/>
          <c:dLbls>
            <c:dLbl>
              <c:idx val="0"/>
              <c:layout>
                <c:manualLayout>
                  <c:x val="1.4436807935204327E-2"/>
                  <c:y val="-7.12911933571831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9811779615417298E-3"/>
                  <c:y val="-5.88466622924986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983064767352949E-2"/>
                  <c:y val="-2.202111530186614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487298575514712E-2"/>
                  <c:y val="-1.32126691811196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'VI.3.27. Accid. Aprobxtipo'!$A$4:$A$9</c:f>
              <c:strCache>
                <c:ptCount val="6"/>
                <c:pt idx="0">
                  <c:v>2009</c:v>
                </c:pt>
                <c:pt idx="1">
                  <c:v>2010</c:v>
                </c:pt>
                <c:pt idx="2">
                  <c:v>2011</c:v>
                </c:pt>
                <c:pt idx="3">
                  <c:v>2012</c:v>
                </c:pt>
                <c:pt idx="4">
                  <c:v>2013</c:v>
                </c:pt>
                <c:pt idx="5">
                  <c:v>2014</c:v>
                </c:pt>
              </c:strCache>
            </c:strRef>
          </c:cat>
          <c:val>
            <c:numRef>
              <c:f>'VI.3.27. Accid. Aprobxtipo'!$H$4:$H$9</c:f>
              <c:numCache>
                <c:formatCode>0.0%</c:formatCode>
                <c:ptCount val="6"/>
                <c:pt idx="0">
                  <c:v>0.43939393939393939</c:v>
                </c:pt>
                <c:pt idx="1">
                  <c:v>0.7191011235955056</c:v>
                </c:pt>
                <c:pt idx="2">
                  <c:v>0.62790697674418605</c:v>
                </c:pt>
                <c:pt idx="3">
                  <c:v>0.58139534883720934</c:v>
                </c:pt>
                <c:pt idx="4">
                  <c:v>0.48717948717948717</c:v>
                </c:pt>
                <c:pt idx="5">
                  <c:v>0.48484848484848486</c:v>
                </c:pt>
              </c:numCache>
            </c:numRef>
          </c:val>
        </c:ser>
        <c:ser>
          <c:idx val="2"/>
          <c:order val="2"/>
          <c:tx>
            <c:strRef>
              <c:f>'VI.3.27. Accid. Aprobxtipo'!$I$3</c:f>
              <c:strCache>
                <c:ptCount val="1"/>
                <c:pt idx="0">
                  <c:v>%  Conexo</c:v>
                </c:pt>
              </c:strCache>
            </c:strRef>
          </c:tx>
          <c:spPr>
            <a:solidFill>
              <a:schemeClr val="accent4">
                <a:lumMod val="50000"/>
              </a:schemeClr>
            </a:solidFill>
          </c:spPr>
          <c:invertIfNegative val="0"/>
          <c:dLbls>
            <c:dLbl>
              <c:idx val="0"/>
              <c:layout>
                <c:manualLayout>
                  <c:x val="7.6639538670668994E-3"/>
                  <c:y val="-1.74396829514259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3895669904563E-3"/>
                  <c:y val="-1.11132072592693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6058098043101895E-3"/>
                  <c:y val="-6.708984198896100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1.3487298575514547E-2"/>
                  <c:y val="-1.101055765093315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'VI.3.27. Accid. Aprobxtipo'!$A$4:$A$9</c:f>
              <c:strCache>
                <c:ptCount val="6"/>
                <c:pt idx="0">
                  <c:v>2009</c:v>
                </c:pt>
                <c:pt idx="1">
                  <c:v>2010</c:v>
                </c:pt>
                <c:pt idx="2">
                  <c:v>2011</c:v>
                </c:pt>
                <c:pt idx="3">
                  <c:v>2012</c:v>
                </c:pt>
                <c:pt idx="4">
                  <c:v>2013</c:v>
                </c:pt>
                <c:pt idx="5">
                  <c:v>2014</c:v>
                </c:pt>
              </c:strCache>
            </c:strRef>
          </c:cat>
          <c:val>
            <c:numRef>
              <c:f>'VI.3.27. Accid. Aprobxtipo'!$I$4:$I$9</c:f>
              <c:numCache>
                <c:formatCode>0.0%</c:formatCode>
                <c:ptCount val="6"/>
                <c:pt idx="0">
                  <c:v>3.0303030303030304E-2</c:v>
                </c:pt>
                <c:pt idx="1">
                  <c:v>5.6179775280898875E-2</c:v>
                </c:pt>
                <c:pt idx="2">
                  <c:v>3.4883720930232558E-2</c:v>
                </c:pt>
                <c:pt idx="3">
                  <c:v>9.3023255813953487E-2</c:v>
                </c:pt>
                <c:pt idx="4">
                  <c:v>1.282051282051282E-2</c:v>
                </c:pt>
                <c:pt idx="5">
                  <c:v>4.5454545454545456E-2</c:v>
                </c:pt>
              </c:numCache>
            </c:numRef>
          </c:val>
        </c:ser>
        <c:ser>
          <c:idx val="3"/>
          <c:order val="3"/>
          <c:tx>
            <c:strRef>
              <c:f>'VI.3.27. Accid. Aprobxtipo'!$J$3</c:f>
              <c:strCache>
                <c:ptCount val="1"/>
                <c:pt idx="0">
                  <c:v>% No Especificados</c:v>
                </c:pt>
              </c:strCache>
            </c:strRef>
          </c:tx>
          <c:spPr>
            <a:solidFill>
              <a:srgbClr val="C00000"/>
            </a:solidFill>
          </c:spPr>
          <c:invertIfNegative val="0"/>
          <c:dLbls>
            <c:dLbl>
              <c:idx val="0"/>
              <c:layout>
                <c:manualLayout>
                  <c:x val="1.8845225283905823E-2"/>
                  <c:y val="-3.0045817791396574E-3"/>
                </c:manualLayout>
              </c:layout>
              <c:spPr/>
              <c:txPr>
                <a:bodyPr/>
                <a:lstStyle/>
                <a:p>
                  <a:pPr>
                    <a:defRPr sz="1400"/>
                  </a:pPr>
                  <a:endParaRPr lang="es-ES"/>
                </a:p>
              </c:txP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'VI.3.27. Accid. Aprobxtipo'!$A$4:$A$9</c:f>
              <c:strCache>
                <c:ptCount val="6"/>
                <c:pt idx="0">
                  <c:v>2009</c:v>
                </c:pt>
                <c:pt idx="1">
                  <c:v>2010</c:v>
                </c:pt>
                <c:pt idx="2">
                  <c:v>2011</c:v>
                </c:pt>
                <c:pt idx="3">
                  <c:v>2012</c:v>
                </c:pt>
                <c:pt idx="4">
                  <c:v>2013</c:v>
                </c:pt>
                <c:pt idx="5">
                  <c:v>2014</c:v>
                </c:pt>
              </c:strCache>
            </c:strRef>
          </c:cat>
          <c:val>
            <c:numRef>
              <c:f>'VI.3.27. Accid. Aprobxtipo'!$J$4:$J$9</c:f>
              <c:numCache>
                <c:formatCode>0.00%</c:formatCode>
                <c:ptCount val="6"/>
                <c:pt idx="0">
                  <c:v>1.5151515151515152E-2</c:v>
                </c:pt>
                <c:pt idx="1">
                  <c:v>0</c:v>
                </c:pt>
                <c:pt idx="2">
                  <c:v>0</c:v>
                </c:pt>
                <c:pt idx="3">
                  <c:v>0</c:v>
                </c:pt>
                <c:pt idx="4">
                  <c:v>0</c:v>
                </c:pt>
                <c:pt idx="5">
                  <c:v>0</c:v>
                </c:pt>
              </c:numCache>
            </c:numRef>
          </c:val>
        </c:ser>
        <c:dLbls>
          <c:showLegendKey val="0"/>
          <c:showVal val="0"/>
          <c:showCatName val="0"/>
          <c:showSerName val="0"/>
          <c:showPercent val="0"/>
          <c:showBubbleSize val="0"/>
        </c:dLbls>
        <c:gapWidth val="75"/>
        <c:shape val="cylinder"/>
        <c:axId val="290460288"/>
        <c:axId val="290460680"/>
        <c:axId val="0"/>
      </c:bar3DChart>
      <c:catAx>
        <c:axId val="290460288"/>
        <c:scaling>
          <c:orientation val="minMax"/>
        </c:scaling>
        <c:delete val="0"/>
        <c:axPos val="b"/>
        <c:numFmt formatCode="General" sourceLinked="1"/>
        <c:majorTickMark val="none"/>
        <c:minorTickMark val="none"/>
        <c:tickLblPos val="nextTo"/>
        <c:txPr>
          <a:bodyPr/>
          <a:lstStyle/>
          <a:p>
            <a:pPr>
              <a:defRPr sz="1400"/>
            </a:pPr>
            <a:endParaRPr lang="es-ES"/>
          </a:p>
        </c:txPr>
        <c:crossAx val="290460680"/>
        <c:crosses val="autoZero"/>
        <c:auto val="1"/>
        <c:lblAlgn val="ctr"/>
        <c:lblOffset val="100"/>
        <c:noMultiLvlLbl val="0"/>
      </c:catAx>
      <c:valAx>
        <c:axId val="290460680"/>
        <c:scaling>
          <c:orientation val="minMax"/>
        </c:scaling>
        <c:delete val="0"/>
        <c:axPos val="l"/>
        <c:numFmt formatCode="0.0%" sourceLinked="1"/>
        <c:majorTickMark val="none"/>
        <c:minorTickMark val="none"/>
        <c:tickLblPos val="nextTo"/>
        <c:spPr>
          <a:ln w="9525">
            <a:noFill/>
          </a:ln>
        </c:spPr>
        <c:crossAx val="290460288"/>
        <c:crosses val="autoZero"/>
        <c:crossBetween val="between"/>
      </c:valAx>
      <c:spPr>
        <a:noFill/>
        <a:ln w="25400">
          <a:noFill/>
        </a:ln>
      </c:spPr>
    </c:plotArea>
    <c:legend>
      <c:legendPos val="t"/>
      <c:layout>
        <c:manualLayout>
          <c:xMode val="edge"/>
          <c:yMode val="edge"/>
          <c:x val="0.1136709346945711"/>
          <c:y val="0.12870440241975648"/>
          <c:w val="0.73889941174060647"/>
          <c:h val="6.427564749014771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Casos Aprobados en Proceso de Reinvestigación por Grado de Lesión</a:t>
            </a:r>
          </a:p>
        </c:rich>
      </c:tx>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40400522654974E-2"/>
          <c:y val="0.25542178705947438"/>
          <c:w val="0.93624470387247316"/>
          <c:h val="0.66510593099296711"/>
        </c:manualLayout>
      </c:layout>
      <c:bar3DChart>
        <c:barDir val="col"/>
        <c:grouping val="clustered"/>
        <c:varyColors val="0"/>
        <c:ser>
          <c:idx val="0"/>
          <c:order val="0"/>
          <c:tx>
            <c:strRef>
              <c:f>'VI.3.28. Accid. Aprob xLesión '!$G$3</c:f>
              <c:strCache>
                <c:ptCount val="1"/>
                <c:pt idx="0">
                  <c:v>%   Leve</c:v>
                </c:pt>
              </c:strCache>
            </c:strRef>
          </c:tx>
          <c:spPr>
            <a:solidFill>
              <a:schemeClr val="accent2">
                <a:lumMod val="50000"/>
              </a:schemeClr>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490980323755727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'VI.3.28. Accid. Aprob xLesión '!$A$4:$A$9</c:f>
              <c:strCache>
                <c:ptCount val="6"/>
                <c:pt idx="0">
                  <c:v>2009</c:v>
                </c:pt>
                <c:pt idx="1">
                  <c:v>2010</c:v>
                </c:pt>
                <c:pt idx="2">
                  <c:v>2011</c:v>
                </c:pt>
                <c:pt idx="3">
                  <c:v>2012</c:v>
                </c:pt>
                <c:pt idx="4">
                  <c:v>2013</c:v>
                </c:pt>
                <c:pt idx="5">
                  <c:v>2014</c:v>
                </c:pt>
              </c:strCache>
            </c:strRef>
          </c:cat>
          <c:val>
            <c:numRef>
              <c:f>'VI.3.28. Accid. Aprob xLesión '!$G$4:$G$9</c:f>
              <c:numCache>
                <c:formatCode>0.00%</c:formatCode>
                <c:ptCount val="6"/>
                <c:pt idx="0">
                  <c:v>0.16666666666666666</c:v>
                </c:pt>
                <c:pt idx="1">
                  <c:v>7.8651685393258425E-2</c:v>
                </c:pt>
                <c:pt idx="2">
                  <c:v>6.9767441860465115E-2</c:v>
                </c:pt>
                <c:pt idx="3">
                  <c:v>0.13953488372093023</c:v>
                </c:pt>
                <c:pt idx="4">
                  <c:v>0.10256410256410256</c:v>
                </c:pt>
                <c:pt idx="5">
                  <c:v>0.10606060606060606</c:v>
                </c:pt>
              </c:numCache>
            </c:numRef>
          </c:val>
        </c:ser>
        <c:ser>
          <c:idx val="1"/>
          <c:order val="1"/>
          <c:tx>
            <c:strRef>
              <c:f>'VI.3.28. Accid. Aprob xLesión '!$H$3</c:f>
              <c:strCache>
                <c:ptCount val="1"/>
                <c:pt idx="0">
                  <c:v>% Moderado</c:v>
                </c:pt>
              </c:strCache>
            </c:strRef>
          </c:tx>
          <c:spPr>
            <a:solidFill>
              <a:schemeClr val="accent5">
                <a:lumMod val="50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'VI.3.28. Accid. Aprob xLesión '!$A$4:$A$9</c:f>
              <c:strCache>
                <c:ptCount val="6"/>
                <c:pt idx="0">
                  <c:v>2009</c:v>
                </c:pt>
                <c:pt idx="1">
                  <c:v>2010</c:v>
                </c:pt>
                <c:pt idx="2">
                  <c:v>2011</c:v>
                </c:pt>
                <c:pt idx="3">
                  <c:v>2012</c:v>
                </c:pt>
                <c:pt idx="4">
                  <c:v>2013</c:v>
                </c:pt>
                <c:pt idx="5">
                  <c:v>2014</c:v>
                </c:pt>
              </c:strCache>
            </c:strRef>
          </c:cat>
          <c:val>
            <c:numRef>
              <c:f>'VI.3.28. Accid. Aprob xLesión '!$H$4:$H$9</c:f>
              <c:numCache>
                <c:formatCode>0.00%</c:formatCode>
                <c:ptCount val="6"/>
                <c:pt idx="0">
                  <c:v>0.77272727272727271</c:v>
                </c:pt>
                <c:pt idx="1">
                  <c:v>0.6741573033707865</c:v>
                </c:pt>
                <c:pt idx="2">
                  <c:v>0.7441860465116279</c:v>
                </c:pt>
                <c:pt idx="3">
                  <c:v>0.60465116279069764</c:v>
                </c:pt>
                <c:pt idx="4">
                  <c:v>0.74358974358974361</c:v>
                </c:pt>
                <c:pt idx="5">
                  <c:v>0.74242424242424243</c:v>
                </c:pt>
              </c:numCache>
            </c:numRef>
          </c:val>
        </c:ser>
        <c:ser>
          <c:idx val="2"/>
          <c:order val="2"/>
          <c:tx>
            <c:strRef>
              <c:f>'VI.3.28. Accid. Aprob xLesión '!$I$3</c:f>
              <c:strCache>
                <c:ptCount val="1"/>
                <c:pt idx="0">
                  <c:v>%  Grave</c:v>
                </c:pt>
              </c:strCache>
            </c:strRef>
          </c:tx>
          <c:spPr>
            <a:solidFill>
              <a:schemeClr val="accent6">
                <a:lumMod val="50000"/>
              </a:schemeClr>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463354308369487E-2"/>
                  <c:y val="-3.30621951792195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6988506165205683E-3"/>
                  <c:y val="-1.176247626842341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422780725373126E-2"/>
                  <c:y val="-1.4909803237557353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0838758956825376E-3"/>
                  <c:y val="-2.342969080187571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'VI.3.28. Accid. Aprob xLesión '!$A$4:$A$9</c:f>
              <c:strCache>
                <c:ptCount val="6"/>
                <c:pt idx="0">
                  <c:v>2009</c:v>
                </c:pt>
                <c:pt idx="1">
                  <c:v>2010</c:v>
                </c:pt>
                <c:pt idx="2">
                  <c:v>2011</c:v>
                </c:pt>
                <c:pt idx="3">
                  <c:v>2012</c:v>
                </c:pt>
                <c:pt idx="4">
                  <c:v>2013</c:v>
                </c:pt>
                <c:pt idx="5">
                  <c:v>2014</c:v>
                </c:pt>
              </c:strCache>
            </c:strRef>
          </c:cat>
          <c:val>
            <c:numRef>
              <c:f>'VI.3.28. Accid. Aprob xLesión '!$I$4:$I$9</c:f>
              <c:numCache>
                <c:formatCode>0.00%</c:formatCode>
                <c:ptCount val="6"/>
                <c:pt idx="0">
                  <c:v>3.0303030303030304E-2</c:v>
                </c:pt>
                <c:pt idx="1">
                  <c:v>0.15730337078651685</c:v>
                </c:pt>
                <c:pt idx="2">
                  <c:v>0.11627906976744186</c:v>
                </c:pt>
                <c:pt idx="3">
                  <c:v>0.18604651162790697</c:v>
                </c:pt>
                <c:pt idx="4">
                  <c:v>8.9743589743589744E-2</c:v>
                </c:pt>
                <c:pt idx="5">
                  <c:v>0.12121212121212122</c:v>
                </c:pt>
              </c:numCache>
            </c:numRef>
          </c:val>
        </c:ser>
        <c:ser>
          <c:idx val="3"/>
          <c:order val="3"/>
          <c:tx>
            <c:strRef>
              <c:f>'VI.3.28. Accid. Aprob xLesión '!$J$3</c:f>
              <c:strCache>
                <c:ptCount val="1"/>
                <c:pt idx="0">
                  <c:v>% Mortal</c:v>
                </c:pt>
              </c:strCache>
            </c:strRef>
          </c:tx>
          <c:spPr>
            <a:solidFill>
              <a:schemeClr val="accent4">
                <a:lumMod val="5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05099479867E-2"/>
                  <c:y val="-9.903698436231660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548394136689339E-2"/>
                  <c:y val="-1.703977512863704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1.3858072964027038E-2"/>
                  <c:y val="-3.194957836619415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'VI.3.28. Accid. Aprob xLesión '!$A$4:$A$9</c:f>
              <c:strCache>
                <c:ptCount val="6"/>
                <c:pt idx="0">
                  <c:v>2009</c:v>
                </c:pt>
                <c:pt idx="1">
                  <c:v>2010</c:v>
                </c:pt>
                <c:pt idx="2">
                  <c:v>2011</c:v>
                </c:pt>
                <c:pt idx="3">
                  <c:v>2012</c:v>
                </c:pt>
                <c:pt idx="4">
                  <c:v>2013</c:v>
                </c:pt>
                <c:pt idx="5">
                  <c:v>2014</c:v>
                </c:pt>
              </c:strCache>
            </c:strRef>
          </c:cat>
          <c:val>
            <c:numRef>
              <c:f>'VI.3.28. Accid. Aprob xLesión '!$J$4:$J$9</c:f>
              <c:numCache>
                <c:formatCode>0.00%</c:formatCode>
                <c:ptCount val="6"/>
                <c:pt idx="0">
                  <c:v>3.0303030303030304E-2</c:v>
                </c:pt>
                <c:pt idx="1">
                  <c:v>8.98876404494382E-2</c:v>
                </c:pt>
                <c:pt idx="2">
                  <c:v>6.9767441860465115E-2</c:v>
                </c:pt>
                <c:pt idx="3">
                  <c:v>6.9767441860465115E-2</c:v>
                </c:pt>
                <c:pt idx="4">
                  <c:v>6.4102564102564097E-2</c:v>
                </c:pt>
                <c:pt idx="5">
                  <c:v>3.0303030303030304E-2</c:v>
                </c:pt>
              </c:numCache>
            </c:numRef>
          </c:val>
        </c:ser>
        <c:dLbls>
          <c:showLegendKey val="0"/>
          <c:showVal val="0"/>
          <c:showCatName val="0"/>
          <c:showSerName val="0"/>
          <c:showPercent val="0"/>
          <c:showBubbleSize val="0"/>
        </c:dLbls>
        <c:gapWidth val="75"/>
        <c:shape val="cylinder"/>
        <c:axId val="290461464"/>
        <c:axId val="290461856"/>
        <c:axId val="0"/>
      </c:bar3DChart>
      <c:catAx>
        <c:axId val="290461464"/>
        <c:scaling>
          <c:orientation val="minMax"/>
        </c:scaling>
        <c:delete val="0"/>
        <c:axPos val="b"/>
        <c:numFmt formatCode="General" sourceLinked="1"/>
        <c:majorTickMark val="none"/>
        <c:minorTickMark val="none"/>
        <c:tickLblPos val="nextTo"/>
        <c:txPr>
          <a:bodyPr/>
          <a:lstStyle/>
          <a:p>
            <a:pPr>
              <a:defRPr sz="1400"/>
            </a:pPr>
            <a:endParaRPr lang="es-ES"/>
          </a:p>
        </c:txPr>
        <c:crossAx val="290461856"/>
        <c:crosses val="autoZero"/>
        <c:auto val="1"/>
        <c:lblAlgn val="ctr"/>
        <c:lblOffset val="100"/>
        <c:noMultiLvlLbl val="0"/>
      </c:catAx>
      <c:valAx>
        <c:axId val="290461856"/>
        <c:scaling>
          <c:orientation val="minMax"/>
        </c:scaling>
        <c:delete val="0"/>
        <c:axPos val="l"/>
        <c:numFmt formatCode="0.00%" sourceLinked="1"/>
        <c:majorTickMark val="none"/>
        <c:minorTickMark val="none"/>
        <c:tickLblPos val="nextTo"/>
        <c:spPr>
          <a:ln w="9525">
            <a:noFill/>
          </a:ln>
        </c:spPr>
        <c:crossAx val="290461464"/>
        <c:crosses val="autoZero"/>
        <c:crossBetween val="between"/>
      </c:valAx>
      <c:spPr>
        <a:noFill/>
        <a:ln w="25400">
          <a:noFill/>
        </a:ln>
      </c:spPr>
    </c:plotArea>
    <c:legend>
      <c:legendPos val="t"/>
      <c:layout>
        <c:manualLayout>
          <c:xMode val="edge"/>
          <c:yMode val="edge"/>
          <c:x val="0.17985321200278964"/>
          <c:y val="0.13154195644873382"/>
          <c:w val="0.66046815172727469"/>
          <c:h val="4.3671970911627972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Riesgos Laborales</a:t>
            </a:r>
          </a:p>
          <a:p>
            <a:pPr>
              <a:defRPr/>
            </a:pPr>
            <a:r>
              <a:rPr lang="es-DO"/>
              <a:t>Casos Aprobados en Proceso de Reinvestigación por Circunstancia del Suceso</a:t>
            </a:r>
          </a:p>
        </c:rich>
      </c:tx>
      <c:layout>
        <c:manualLayout>
          <c:xMode val="edge"/>
          <c:yMode val="edge"/>
          <c:x val="0.24408340300523501"/>
          <c:y val="6.0377985204065707E-3"/>
        </c:manualLayout>
      </c:layout>
      <c:overlay val="1"/>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7.1035418128773925E-2"/>
          <c:y val="0.25755346819229102"/>
          <c:w val="0.91426683180002377"/>
          <c:h val="0.59122138959061354"/>
        </c:manualLayout>
      </c:layout>
      <c:bar3DChart>
        <c:barDir val="col"/>
        <c:grouping val="clustered"/>
        <c:varyColors val="0"/>
        <c:ser>
          <c:idx val="0"/>
          <c:order val="0"/>
          <c:tx>
            <c:strRef>
              <c:f>'VI.3.29 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suc.'!$I$4:$I$9</c:f>
              <c:numCache>
                <c:formatCode>0.00%</c:formatCode>
                <c:ptCount val="6"/>
                <c:pt idx="0">
                  <c:v>0.19696969696969696</c:v>
                </c:pt>
                <c:pt idx="1">
                  <c:v>7.8651685393258425E-2</c:v>
                </c:pt>
                <c:pt idx="2">
                  <c:v>0.16279069767441862</c:v>
                </c:pt>
                <c:pt idx="3">
                  <c:v>2.3255813953488372E-2</c:v>
                </c:pt>
                <c:pt idx="4">
                  <c:v>2.564102564102564E-2</c:v>
                </c:pt>
                <c:pt idx="5">
                  <c:v>3.0303030303030304E-2</c:v>
                </c:pt>
              </c:numCache>
            </c:numRef>
          </c:val>
        </c:ser>
        <c:ser>
          <c:idx val="1"/>
          <c:order val="1"/>
          <c:tx>
            <c:strRef>
              <c:f>'VI.3.29 Accid.Aprob Según suc.'!$J$3</c:f>
              <c:strCache>
                <c:ptCount val="1"/>
                <c:pt idx="0">
                  <c:v>% Condición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suc.'!$J$4:$J$9</c:f>
              <c:numCache>
                <c:formatCode>0.00%</c:formatCode>
                <c:ptCount val="6"/>
                <c:pt idx="0">
                  <c:v>6.0606060606060608E-2</c:v>
                </c:pt>
                <c:pt idx="1">
                  <c:v>8.98876404494382E-2</c:v>
                </c:pt>
                <c:pt idx="2">
                  <c:v>6.9767441860465115E-2</c:v>
                </c:pt>
                <c:pt idx="3">
                  <c:v>0</c:v>
                </c:pt>
                <c:pt idx="4">
                  <c:v>2.564102564102564E-2</c:v>
                </c:pt>
                <c:pt idx="5">
                  <c:v>0.18181818181818182</c:v>
                </c:pt>
              </c:numCache>
            </c:numRef>
          </c:val>
        </c:ser>
        <c:ser>
          <c:idx val="2"/>
          <c:order val="2"/>
          <c:tx>
            <c:strRef>
              <c:f>'VI.3.29 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suc.'!$K$4:$K$9</c:f>
              <c:numCache>
                <c:formatCode>0.00%</c:formatCode>
                <c:ptCount val="6"/>
                <c:pt idx="0">
                  <c:v>9.0909090909090912E-2</c:v>
                </c:pt>
                <c:pt idx="1">
                  <c:v>0</c:v>
                </c:pt>
                <c:pt idx="2">
                  <c:v>1.1627906976744186E-2</c:v>
                </c:pt>
                <c:pt idx="3">
                  <c:v>0</c:v>
                </c:pt>
                <c:pt idx="4">
                  <c:v>1.282051282051282E-2</c:v>
                </c:pt>
                <c:pt idx="5">
                  <c:v>1.5151515151515152E-2</c:v>
                </c:pt>
              </c:numCache>
            </c:numRef>
          </c:val>
        </c:ser>
        <c:ser>
          <c:idx val="3"/>
          <c:order val="3"/>
          <c:tx>
            <c:strRef>
              <c:f>'VI.3.29 Accid.Aprob Según suc.'!$L$3</c:f>
              <c:strCache>
                <c:ptCount val="1"/>
                <c:pt idx="0">
                  <c:v>% Factor de Trabajo</c:v>
                </c:pt>
              </c:strCache>
            </c:strRef>
          </c:tx>
          <c:spPr>
            <a:solidFill>
              <a:schemeClr val="accent5">
                <a:lumMod val="50000"/>
              </a:schemeClr>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suc.'!$L$4:$L$9</c:f>
              <c:numCache>
                <c:formatCode>0.00%</c:formatCode>
                <c:ptCount val="6"/>
                <c:pt idx="0">
                  <c:v>0.43939393939393939</c:v>
                </c:pt>
                <c:pt idx="1">
                  <c:v>0.6179775280898876</c:v>
                </c:pt>
                <c:pt idx="2">
                  <c:v>0.63953488372093026</c:v>
                </c:pt>
                <c:pt idx="3">
                  <c:v>0.83720930232558144</c:v>
                </c:pt>
                <c:pt idx="4">
                  <c:v>0.82051282051282048</c:v>
                </c:pt>
                <c:pt idx="5">
                  <c:v>0.69696969696969702</c:v>
                </c:pt>
              </c:numCache>
            </c:numRef>
          </c:val>
        </c:ser>
        <c:ser>
          <c:idx val="4"/>
          <c:order val="4"/>
          <c:tx>
            <c:strRef>
              <c:f>'VI.3.29 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suc.'!$M$4:$M$9</c:f>
              <c:numCache>
                <c:formatCode>0.00%</c:formatCode>
                <c:ptCount val="6"/>
                <c:pt idx="0">
                  <c:v>0.21212121212121213</c:v>
                </c:pt>
                <c:pt idx="1">
                  <c:v>0.19101123595505617</c:v>
                </c:pt>
                <c:pt idx="2">
                  <c:v>4.6511627906976744E-2</c:v>
                </c:pt>
                <c:pt idx="3">
                  <c:v>2.3255813953488372E-2</c:v>
                </c:pt>
                <c:pt idx="4">
                  <c:v>7.6923076923076927E-2</c:v>
                </c:pt>
                <c:pt idx="5">
                  <c:v>7.575757575757576E-2</c:v>
                </c:pt>
              </c:numCache>
            </c:numRef>
          </c:val>
        </c:ser>
        <c:ser>
          <c:idx val="5"/>
          <c:order val="5"/>
          <c:tx>
            <c:strRef>
              <c:f>'VI.3.29 Accid.Aprob Según suc.'!$N$3</c:f>
              <c:strCache>
                <c:ptCount val="1"/>
                <c:pt idx="0">
                  <c:v>% No Especificados</c:v>
                </c:pt>
              </c:strCache>
            </c:strRef>
          </c:tx>
          <c:invertIfNegative val="0"/>
          <c:dLbls>
            <c:dLbl>
              <c:idx val="4"/>
              <c:spPr/>
              <c:txPr>
                <a:bodyPr rot="-5400000" vert="horz"/>
                <a:lstStyle/>
                <a:p>
                  <a:pPr>
                    <a:defRPr sz="1100"/>
                  </a:pPr>
                  <a:endParaRPr lang="es-ES"/>
                </a:p>
              </c:txPr>
              <c:showLegendKey val="0"/>
              <c:showVal val="1"/>
              <c:showCatName val="0"/>
              <c:showSerName val="0"/>
              <c:showPercent val="0"/>
              <c:showBubbleSize val="0"/>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'VI.3.29 Accid.Aprob Según suc.'!$A$4:$A$9</c:f>
              <c:strCache>
                <c:ptCount val="6"/>
                <c:pt idx="0">
                  <c:v>2009</c:v>
                </c:pt>
                <c:pt idx="1">
                  <c:v>2010</c:v>
                </c:pt>
                <c:pt idx="2">
                  <c:v>2011</c:v>
                </c:pt>
                <c:pt idx="3">
                  <c:v>2012</c:v>
                </c:pt>
                <c:pt idx="4">
                  <c:v>2013</c:v>
                </c:pt>
                <c:pt idx="5">
                  <c:v>2014</c:v>
                </c:pt>
              </c:strCache>
            </c:strRef>
          </c:cat>
          <c:val>
            <c:numRef>
              <c:f>'VI.3.29 Accid.Aprob Según suc.'!$N$4:$N$9</c:f>
              <c:numCache>
                <c:formatCode>0.00%</c:formatCode>
                <c:ptCount val="6"/>
                <c:pt idx="0">
                  <c:v>0</c:v>
                </c:pt>
                <c:pt idx="1">
                  <c:v>2.247191011235955E-2</c:v>
                </c:pt>
                <c:pt idx="2">
                  <c:v>6.9767441860465115E-2</c:v>
                </c:pt>
                <c:pt idx="3">
                  <c:v>0.11627906976744186</c:v>
                </c:pt>
                <c:pt idx="4">
                  <c:v>3.8461538461538464E-2</c:v>
                </c:pt>
                <c:pt idx="5">
                  <c:v>0</c:v>
                </c:pt>
              </c:numCache>
            </c:numRef>
          </c:val>
        </c:ser>
        <c:dLbls>
          <c:showLegendKey val="0"/>
          <c:showVal val="0"/>
          <c:showCatName val="0"/>
          <c:showSerName val="0"/>
          <c:showPercent val="0"/>
          <c:showBubbleSize val="0"/>
        </c:dLbls>
        <c:gapWidth val="150"/>
        <c:shape val="cylinder"/>
        <c:axId val="290462640"/>
        <c:axId val="290463032"/>
        <c:axId val="0"/>
      </c:bar3DChart>
      <c:catAx>
        <c:axId val="290462640"/>
        <c:scaling>
          <c:orientation val="minMax"/>
        </c:scaling>
        <c:delete val="0"/>
        <c:axPos val="b"/>
        <c:numFmt formatCode="General" sourceLinked="0"/>
        <c:majorTickMark val="out"/>
        <c:minorTickMark val="none"/>
        <c:tickLblPos val="nextTo"/>
        <c:txPr>
          <a:bodyPr/>
          <a:lstStyle/>
          <a:p>
            <a:pPr>
              <a:defRPr sz="1600"/>
            </a:pPr>
            <a:endParaRPr lang="es-ES"/>
          </a:p>
        </c:txPr>
        <c:crossAx val="290463032"/>
        <c:crosses val="autoZero"/>
        <c:auto val="1"/>
        <c:lblAlgn val="ctr"/>
        <c:lblOffset val="100"/>
        <c:noMultiLvlLbl val="0"/>
      </c:catAx>
      <c:valAx>
        <c:axId val="290463032"/>
        <c:scaling>
          <c:orientation val="minMax"/>
        </c:scaling>
        <c:delete val="0"/>
        <c:axPos val="l"/>
        <c:numFmt formatCode="0.00%" sourceLinked="1"/>
        <c:majorTickMark val="out"/>
        <c:minorTickMark val="none"/>
        <c:tickLblPos val="nextTo"/>
        <c:txPr>
          <a:bodyPr/>
          <a:lstStyle/>
          <a:p>
            <a:pPr>
              <a:defRPr sz="1200"/>
            </a:pPr>
            <a:endParaRPr lang="es-ES"/>
          </a:p>
        </c:txPr>
        <c:crossAx val="290462640"/>
        <c:crosses val="autoZero"/>
        <c:crossBetween val="between"/>
      </c:valAx>
      <c:spPr>
        <a:ln>
          <a:noFill/>
        </a:ln>
      </c:spPr>
    </c:plotArea>
    <c:legend>
      <c:legendPos val="r"/>
      <c:layout>
        <c:manualLayout>
          <c:xMode val="edge"/>
          <c:yMode val="edge"/>
          <c:x val="4.3937230537554675E-3"/>
          <c:y val="8.6211046889289752E-2"/>
          <c:w val="0.98842850111398528"/>
          <c:h val="8.258408902218883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3.9928973551097537E-3"/>
          <c:y val="0.17905356922925739"/>
          <c:w val="0.98550610152077633"/>
          <c:h val="0.64244503237807704"/>
        </c:manualLayout>
      </c:layout>
      <c:bar3DChart>
        <c:barDir val="col"/>
        <c:grouping val="clustered"/>
        <c:varyColors val="0"/>
        <c:ser>
          <c:idx val="0"/>
          <c:order val="0"/>
          <c:tx>
            <c:strRef>
              <c:f>'VI.3.30 Pagos de ARLSS'!$B$3</c:f>
              <c:strCache>
                <c:ptCount val="1"/>
                <c:pt idx="0">
                  <c:v>Gastos Administrativos</c:v>
                </c:pt>
              </c:strCache>
            </c:strRef>
          </c:tx>
          <c:spPr>
            <a:solidFill>
              <a:schemeClr val="accent1">
                <a:lumMod val="50000"/>
              </a:schemeClr>
            </a:solidFill>
          </c:spPr>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'VI.3.30 Pagos de ARLSS'!$A$4:$A$9</c:f>
              <c:numCache>
                <c:formatCode>General</c:formatCode>
                <c:ptCount val="6"/>
                <c:pt idx="0">
                  <c:v>2004</c:v>
                </c:pt>
                <c:pt idx="1">
                  <c:v>2005</c:v>
                </c:pt>
                <c:pt idx="2">
                  <c:v>2006</c:v>
                </c:pt>
                <c:pt idx="3">
                  <c:v>2007</c:v>
                </c:pt>
                <c:pt idx="4">
                  <c:v>2008</c:v>
                </c:pt>
                <c:pt idx="5">
                  <c:v>2009</c:v>
                </c:pt>
              </c:numCache>
            </c:numRef>
          </c:cat>
          <c:val>
            <c:numRef>
              <c:f>'VI.3.30 Pagos de ARLSS'!$B$4:$B$9</c:f>
              <c:numCache>
                <c:formatCode>_(* #,##0.00_);_(* \(#,##0.00\);_(* "-"??_);_(@_)</c:formatCode>
                <c:ptCount val="6"/>
                <c:pt idx="0">
                  <c:v>37781164.280000001</c:v>
                </c:pt>
                <c:pt idx="1">
                  <c:v>86299655</c:v>
                </c:pt>
                <c:pt idx="2">
                  <c:v>117709441</c:v>
                </c:pt>
                <c:pt idx="3">
                  <c:v>133322996</c:v>
                </c:pt>
                <c:pt idx="4">
                  <c:v>188485522</c:v>
                </c:pt>
                <c:pt idx="5">
                  <c:v>221538962</c:v>
                </c:pt>
              </c:numCache>
            </c:numRef>
          </c:val>
        </c:ser>
        <c:ser>
          <c:idx val="1"/>
          <c:order val="1"/>
          <c:tx>
            <c:strRef>
              <c:f>'VI.3.30 Pagos de ARLSS'!$C$3</c:f>
              <c:strCache>
                <c:ptCount val="1"/>
                <c:pt idx="0">
                  <c:v>Gastos Médicos</c:v>
                </c:pt>
              </c:strCache>
            </c:strRef>
          </c:tx>
          <c:spPr>
            <a:solidFill>
              <a:schemeClr val="accent6">
                <a:lumMod val="50000"/>
              </a:schemeClr>
            </a:solidFill>
          </c:spPr>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'VI.3.30 Pagos de ARLSS'!$A$4:$A$9</c:f>
              <c:numCache>
                <c:formatCode>General</c:formatCode>
                <c:ptCount val="6"/>
                <c:pt idx="0">
                  <c:v>2004</c:v>
                </c:pt>
                <c:pt idx="1">
                  <c:v>2005</c:v>
                </c:pt>
                <c:pt idx="2">
                  <c:v>2006</c:v>
                </c:pt>
                <c:pt idx="3">
                  <c:v>2007</c:v>
                </c:pt>
                <c:pt idx="4">
                  <c:v>2008</c:v>
                </c:pt>
                <c:pt idx="5">
                  <c:v>2009</c:v>
                </c:pt>
              </c:numCache>
            </c:numRef>
          </c:cat>
          <c:val>
            <c:numRef>
              <c:f>'VI.3.30 Pagos de ARLSS'!$C$4:$C$9</c:f>
              <c:numCache>
                <c:formatCode>_(* #,##0.00_);_(* \(#,##0.00\);_(* "-"??_);_(@_)</c:formatCode>
                <c:ptCount val="6"/>
                <c:pt idx="0">
                  <c:v>1699109.42</c:v>
                </c:pt>
                <c:pt idx="1">
                  <c:v>5468463.0499999998</c:v>
                </c:pt>
                <c:pt idx="2">
                  <c:v>24841392</c:v>
                </c:pt>
                <c:pt idx="3">
                  <c:v>63910755.219999999</c:v>
                </c:pt>
                <c:pt idx="4">
                  <c:v>113080268.63</c:v>
                </c:pt>
                <c:pt idx="5">
                  <c:v>139932946.46000001</c:v>
                </c:pt>
              </c:numCache>
            </c:numRef>
          </c:val>
        </c:ser>
        <c:ser>
          <c:idx val="2"/>
          <c:order val="2"/>
          <c:tx>
            <c:strRef>
              <c:f>'VI.3.30 Pagos de ARLSS'!$D$3</c:f>
              <c:strCache>
                <c:ptCount val="1"/>
                <c:pt idx="0">
                  <c:v>Prestaciones Económicas</c:v>
                </c:pt>
              </c:strCache>
            </c:strRef>
          </c:tx>
          <c:spPr>
            <a:solidFill>
              <a:schemeClr val="accent5">
                <a:lumMod val="50000"/>
              </a:schemeClr>
            </a:solidFill>
          </c:spPr>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'VI.3.30 Pagos de ARLSS'!$A$4:$A$9</c:f>
              <c:numCache>
                <c:formatCode>General</c:formatCode>
                <c:ptCount val="6"/>
                <c:pt idx="0">
                  <c:v>2004</c:v>
                </c:pt>
                <c:pt idx="1">
                  <c:v>2005</c:v>
                </c:pt>
                <c:pt idx="2">
                  <c:v>2006</c:v>
                </c:pt>
                <c:pt idx="3">
                  <c:v>2007</c:v>
                </c:pt>
                <c:pt idx="4">
                  <c:v>2008</c:v>
                </c:pt>
                <c:pt idx="5">
                  <c:v>2009</c:v>
                </c:pt>
              </c:numCache>
            </c:numRef>
          </c:cat>
          <c:val>
            <c:numRef>
              <c:f>'VI.3.30 Pagos de ARLSS'!$D$4:$D$9</c:f>
              <c:numCache>
                <c:formatCode>_(* #,##0.00_);_(* \(#,##0.00\);_(* "-"??_);_(@_)</c:formatCode>
                <c:ptCount val="6"/>
                <c:pt idx="0">
                  <c:v>6004865.8300000001</c:v>
                </c:pt>
                <c:pt idx="1">
                  <c:v>19261550.260000002</c:v>
                </c:pt>
                <c:pt idx="2">
                  <c:v>36830287.409999996</c:v>
                </c:pt>
                <c:pt idx="3">
                  <c:v>67563892.930000007</c:v>
                </c:pt>
                <c:pt idx="4">
                  <c:v>109121263.67</c:v>
                </c:pt>
                <c:pt idx="5">
                  <c:v>145409227.71000001</c:v>
                </c:pt>
              </c:numCache>
            </c:numRef>
          </c:val>
        </c:ser>
        <c:dLbls>
          <c:showLegendKey val="0"/>
          <c:showVal val="0"/>
          <c:showCatName val="0"/>
          <c:showSerName val="0"/>
          <c:showPercent val="0"/>
          <c:showBubbleSize val="0"/>
        </c:dLbls>
        <c:gapWidth val="26"/>
        <c:shape val="cylinder"/>
        <c:axId val="290463816"/>
        <c:axId val="290464208"/>
        <c:axId val="0"/>
      </c:bar3DChart>
      <c:catAx>
        <c:axId val="290463816"/>
        <c:scaling>
          <c:orientation val="minMax"/>
        </c:scaling>
        <c:delete val="0"/>
        <c:axPos val="b"/>
        <c:numFmt formatCode="General" sourceLinked="1"/>
        <c:majorTickMark val="none"/>
        <c:minorTickMark val="none"/>
        <c:tickLblPos val="nextTo"/>
        <c:txPr>
          <a:bodyPr/>
          <a:lstStyle/>
          <a:p>
            <a:pPr>
              <a:defRPr lang="en-US" sz="1200"/>
            </a:pPr>
            <a:endParaRPr lang="es-ES"/>
          </a:p>
        </c:txPr>
        <c:crossAx val="290464208"/>
        <c:crosses val="autoZero"/>
        <c:auto val="1"/>
        <c:lblAlgn val="ctr"/>
        <c:lblOffset val="100"/>
        <c:noMultiLvlLbl val="0"/>
      </c:catAx>
      <c:valAx>
        <c:axId val="290464208"/>
        <c:scaling>
          <c:orientation val="minMax"/>
        </c:scaling>
        <c:delete val="1"/>
        <c:axPos val="l"/>
        <c:numFmt formatCode="_(* #,##0.00_);_(* \(#,##0.00\);_(* &quot;-&quot;??_);_(@_)" sourceLinked="1"/>
        <c:majorTickMark val="out"/>
        <c:minorTickMark val="none"/>
        <c:tickLblPos val="nextTo"/>
        <c:crossAx val="290463816"/>
        <c:crosses val="autoZero"/>
        <c:crossBetween val="between"/>
        <c:dispUnits>
          <c:builtInUnit val="millions"/>
          <c:dispUnitsLbl>
            <c:txPr>
              <a:bodyPr/>
              <a:lstStyle/>
              <a:p>
                <a:pPr>
                  <a:defRPr lang="en-US"/>
                </a:pPr>
                <a:endParaRPr lang="es-ES"/>
              </a:p>
            </c:txPr>
          </c:dispUnitsLbl>
        </c:dispUnits>
      </c:valAx>
      <c:spPr>
        <a:noFill/>
        <a:ln w="25400">
          <a:noFill/>
        </a:ln>
      </c:spPr>
    </c:plotArea>
    <c:legend>
      <c:legendPos val="t"/>
      <c:layout>
        <c:manualLayout>
          <c:xMode val="edge"/>
          <c:yMode val="edge"/>
          <c:x val="0.18666776516656813"/>
          <c:y val="1.4731554279735245E-2"/>
          <c:w val="0.62670947881694872"/>
          <c:h val="5.5408260755771273E-2"/>
        </c:manualLayout>
      </c:layout>
      <c:overlay val="0"/>
      <c:txPr>
        <a:bodyPr/>
        <a:lstStyle/>
        <a:p>
          <a:pPr>
            <a:defRPr lang="en-US" sz="11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lgn="ctr" rtl="0">
              <a:defRPr lang="en-US" sz="1100"/>
            </a:pPr>
            <a:r>
              <a:rPr lang="en-US" sz="1100"/>
              <a:t>(Millones RD$)</a:t>
            </a:r>
          </a:p>
        </c:rich>
      </c:tx>
      <c:layout>
        <c:manualLayout>
          <c:xMode val="edge"/>
          <c:yMode val="edge"/>
          <c:x val="0.46219033012603566"/>
          <c:y val="8.938771567683982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5496756514458E-2"/>
          <c:y val="0.20651886937576697"/>
          <c:w val="0.97727039759127854"/>
          <c:h val="0.65191913482418518"/>
        </c:manualLayout>
      </c:layout>
      <c:bar3DChart>
        <c:barDir val="col"/>
        <c:grouping val="stacked"/>
        <c:varyColors val="0"/>
        <c:ser>
          <c:idx val="2"/>
          <c:order val="0"/>
          <c:tx>
            <c:strRef>
              <c:f>'VI.4.1 Prest. econ. SRL'!$F$3</c:f>
              <c:strCache>
                <c:ptCount val="1"/>
                <c:pt idx="0">
                  <c:v>Indemnización Por Pérdida de Miembros</c:v>
                </c:pt>
              </c:strCache>
            </c:strRef>
          </c:tx>
          <c:spPr>
            <a:solidFill>
              <a:schemeClr val="accent3">
                <a:lumMod val="50000"/>
              </a:schemeClr>
            </a:solidFill>
          </c:spPr>
          <c:invertIfNegative val="0"/>
          <c:cat>
            <c:strRef>
              <c:f>'VI.4.1 Prest. econ. SRL'!$A$4:$A$14</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'VI.4.1 Prest. econ. SRL'!$F$4:$F$14</c:f>
              <c:numCache>
                <c:formatCode>_(* #,##0.00_);_(* \(#,##0.00\);_(* "-"??_);_(@_)</c:formatCode>
                <c:ptCount val="11"/>
                <c:pt idx="0">
                  <c:v>1223094.78</c:v>
                </c:pt>
                <c:pt idx="1">
                  <c:v>614996</c:v>
                </c:pt>
                <c:pt idx="2">
                  <c:v>206426</c:v>
                </c:pt>
                <c:pt idx="3">
                  <c:v>46875</c:v>
                </c:pt>
                <c:pt idx="4">
                  <c:v>38255</c:v>
                </c:pt>
                <c:pt idx="5">
                  <c:v>1119310</c:v>
                </c:pt>
                <c:pt idx="6">
                  <c:v>1076754</c:v>
                </c:pt>
                <c:pt idx="7">
                  <c:v>2571227</c:v>
                </c:pt>
                <c:pt idx="8">
                  <c:v>98000</c:v>
                </c:pt>
                <c:pt idx="9">
                  <c:v>2116143.4</c:v>
                </c:pt>
                <c:pt idx="10">
                  <c:v>1119950</c:v>
                </c:pt>
              </c:numCache>
            </c:numRef>
          </c:val>
        </c:ser>
        <c:ser>
          <c:idx val="0"/>
          <c:order val="1"/>
          <c:tx>
            <c:strRef>
              <c:f>'VI.4.1 Prest. econ. SRL'!$B$3</c:f>
              <c:strCache>
                <c:ptCount val="1"/>
                <c:pt idx="0">
                  <c:v> Pensión por Sobrevivencia</c:v>
                </c:pt>
              </c:strCache>
            </c:strRef>
          </c:tx>
          <c:spPr>
            <a:solidFill>
              <a:srgbClr val="002060"/>
            </a:solidFill>
          </c:spPr>
          <c:invertIfNegative val="0"/>
          <c:cat>
            <c:strRef>
              <c:f>'VI.4.1 Prest. econ. SRL'!$A$4:$A$14</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'VI.4.1 Prest. econ. SRL'!$B$4:$B$14</c:f>
              <c:numCache>
                <c:formatCode>_(* #,##0.00_);_(* \(#,##0.00\);_(* "-"??_);_(@_)</c:formatCode>
                <c:ptCount val="11"/>
                <c:pt idx="0">
                  <c:v>877695.23</c:v>
                </c:pt>
                <c:pt idx="1">
                  <c:v>992627.75</c:v>
                </c:pt>
                <c:pt idx="2">
                  <c:v>1634121.86</c:v>
                </c:pt>
                <c:pt idx="3">
                  <c:v>779568.29</c:v>
                </c:pt>
                <c:pt idx="4">
                  <c:v>1243211.67</c:v>
                </c:pt>
                <c:pt idx="5">
                  <c:v>2522691.44</c:v>
                </c:pt>
                <c:pt idx="6">
                  <c:v>1358174.81</c:v>
                </c:pt>
                <c:pt idx="7">
                  <c:v>1043127.25</c:v>
                </c:pt>
                <c:pt idx="8">
                  <c:v>2284757.4700000002</c:v>
                </c:pt>
                <c:pt idx="9">
                  <c:v>1408841.71</c:v>
                </c:pt>
                <c:pt idx="10">
                  <c:v>1181305.04</c:v>
                </c:pt>
              </c:numCache>
            </c:numRef>
          </c:val>
        </c:ser>
        <c:ser>
          <c:idx val="4"/>
          <c:order val="2"/>
          <c:tx>
            <c:strRef>
              <c:f>'VI.4.1 Prest. econ. SRL'!$J$3</c:f>
              <c:strCache>
                <c:ptCount val="1"/>
                <c:pt idx="0">
                  <c:v> Subsidio Por Discapacidad Temporal</c:v>
                </c:pt>
              </c:strCache>
            </c:strRef>
          </c:tx>
          <c:spPr>
            <a:solidFill>
              <a:srgbClr val="00B050"/>
            </a:solidFill>
          </c:spPr>
          <c:invertIfNegative val="0"/>
          <c:cat>
            <c:strRef>
              <c:f>'VI.4.1 Prest. econ. SRL'!$A$4:$A$14</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'VI.4.1 Prest. econ. SRL'!$J$4:$J$14</c:f>
              <c:numCache>
                <c:formatCode>_(* #,##0_);_(* \(#,##0\);_(* "-"??_);_(@_)</c:formatCode>
                <c:ptCount val="11"/>
                <c:pt idx="0">
                  <c:v>3874130</c:v>
                </c:pt>
                <c:pt idx="1">
                  <c:v>6478355</c:v>
                </c:pt>
                <c:pt idx="2">
                  <c:v>9832872</c:v>
                </c:pt>
                <c:pt idx="3">
                  <c:v>8812112</c:v>
                </c:pt>
                <c:pt idx="4">
                  <c:v>9400649</c:v>
                </c:pt>
                <c:pt idx="5">
                  <c:v>8317545</c:v>
                </c:pt>
                <c:pt idx="6">
                  <c:v>8663513</c:v>
                </c:pt>
                <c:pt idx="7">
                  <c:v>11258070</c:v>
                </c:pt>
                <c:pt idx="8">
                  <c:v>7778456</c:v>
                </c:pt>
                <c:pt idx="9">
                  <c:v>10001066</c:v>
                </c:pt>
                <c:pt idx="10">
                  <c:v>6762455</c:v>
                </c:pt>
              </c:numCache>
            </c:numRef>
          </c:val>
        </c:ser>
        <c:ser>
          <c:idx val="3"/>
          <c:order val="3"/>
          <c:tx>
            <c:strRef>
              <c:f>'VI.4.1 Prest. econ. SRL'!$H$3</c:f>
              <c:strCache>
                <c:ptCount val="1"/>
                <c:pt idx="0">
                  <c:v>Gastos Médicos</c:v>
                </c:pt>
              </c:strCache>
            </c:strRef>
          </c:tx>
          <c:spPr>
            <a:solidFill>
              <a:srgbClr val="0070C0"/>
            </a:solidFill>
          </c:spPr>
          <c:invertIfNegative val="0"/>
          <c:cat>
            <c:strRef>
              <c:f>'VI.4.1 Prest. econ. SRL'!$A$4:$A$14</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'VI.4.1 Prest. econ. SRL'!$H$4:$H$14</c:f>
              <c:numCache>
                <c:formatCode>_(* #,##0.00_);_(* \(#,##0.00\);_(* "-"??_);_(@_)</c:formatCode>
                <c:ptCount val="11"/>
                <c:pt idx="0">
                  <c:v>9075743.9499999993</c:v>
                </c:pt>
                <c:pt idx="1">
                  <c:v>10368156.57</c:v>
                </c:pt>
                <c:pt idx="2">
                  <c:v>9829602.4399999995</c:v>
                </c:pt>
                <c:pt idx="3">
                  <c:v>12062745.02</c:v>
                </c:pt>
                <c:pt idx="4">
                  <c:v>9821353.6899999995</c:v>
                </c:pt>
                <c:pt idx="5">
                  <c:v>16160229.34</c:v>
                </c:pt>
                <c:pt idx="6">
                  <c:v>12515747.58</c:v>
                </c:pt>
                <c:pt idx="7">
                  <c:v>11908445.640000001</c:v>
                </c:pt>
                <c:pt idx="8">
                  <c:v>13842692.390000001</c:v>
                </c:pt>
                <c:pt idx="9">
                  <c:v>7460592.5</c:v>
                </c:pt>
                <c:pt idx="10">
                  <c:v>12384344.75</c:v>
                </c:pt>
              </c:numCache>
            </c:numRef>
          </c:val>
        </c:ser>
        <c:ser>
          <c:idx val="1"/>
          <c:order val="4"/>
          <c:tx>
            <c:strRef>
              <c:f>'VI.4.1 Prest. econ. SRL'!$D$3</c:f>
              <c:strCache>
                <c:ptCount val="1"/>
                <c:pt idx="0">
                  <c:v>Pensión Por Discapacidad Permanente</c:v>
                </c:pt>
              </c:strCache>
            </c:strRef>
          </c:tx>
          <c:spPr>
            <a:solidFill>
              <a:schemeClr val="accent3">
                <a:lumMod val="40000"/>
                <a:lumOff val="60000"/>
              </a:schemeClr>
            </a:solidFill>
          </c:spPr>
          <c:invertIfNegative val="0"/>
          <c:dLbls>
            <c:dLbl>
              <c:idx val="0"/>
              <c:layout>
                <c:manualLayout>
                  <c:x val="7.6355468460124068E-3"/>
                  <c:y val="-4.8624860380236876E-2"/>
                </c:manualLayout>
              </c:layout>
              <c:tx>
                <c:rich>
                  <a:bodyPr/>
                  <a:lstStyle/>
                  <a:p>
                    <a:r>
                      <a:rPr lang="es-DO" sz="1800" b="0"/>
                      <a:t> 15.8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7263392525857748E-3"/>
                  <c:y val="-4.1144112629431295E-2"/>
                </c:manualLayout>
              </c:layout>
              <c:tx>
                <c:rich>
                  <a:bodyPr/>
                  <a:lstStyle/>
                  <a:p>
                    <a:r>
                      <a:rPr lang="es-DO" sz="1800" b="0"/>
                      <a:t>18.9</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6.5447544394392054E-3"/>
                  <c:y val="-4.8624860380236966E-2"/>
                </c:manualLayout>
              </c:layout>
              <c:tx>
                <c:rich>
                  <a:bodyPr/>
                  <a:lstStyle/>
                  <a:p>
                    <a:r>
                      <a:rPr lang="es-DO" sz="1800" b="0"/>
                      <a:t> 22.0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6355468460124068E-3"/>
                  <c:y val="-4.1144112629431295E-2"/>
                </c:manualLayout>
              </c:layout>
              <c:tx>
                <c:rich>
                  <a:bodyPr/>
                  <a:lstStyle/>
                  <a:p>
                    <a:r>
                      <a:rPr lang="es-DO" sz="1800" b="0"/>
                      <a:t> 22.2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6355468460124467E-3"/>
                  <c:y val="-4.4884486504834523E-2"/>
                </c:manualLayout>
              </c:layout>
              <c:tx>
                <c:rich>
                  <a:bodyPr/>
                  <a:lstStyle/>
                  <a:p>
                    <a:r>
                      <a:rPr lang="es-DO" sz="1800" b="0"/>
                      <a:t> 20.9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199871647230521E-2"/>
                  <c:y val="-3.9273925691730042E-2"/>
                </c:manualLayout>
              </c:layout>
              <c:tx>
                <c:rich>
                  <a:bodyPr/>
                  <a:lstStyle/>
                  <a:p>
                    <a:r>
                      <a:rPr lang="es-DO" sz="1800" b="0"/>
                      <a:t> 28.6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0907924065732688E-2"/>
                  <c:y val="-5.0495047317938434E-2"/>
                </c:manualLayout>
              </c:layout>
              <c:tx>
                <c:rich>
                  <a:bodyPr/>
                  <a:lstStyle/>
                  <a:p>
                    <a:r>
                      <a:rPr lang="es-DO" sz="1800" b="0"/>
                      <a:t> 24.1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5271093692024892E-2"/>
                  <c:y val="-5.4235421193342924E-2"/>
                </c:manualLayout>
              </c:layout>
              <c:tx>
                <c:rich>
                  <a:bodyPr/>
                  <a:lstStyle/>
                  <a:p>
                    <a:r>
                      <a:rPr lang="es-DO" sz="1800" b="0"/>
                      <a:t>27.6</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4180301285451545E-2"/>
                  <c:y val="-5.7975795068744097E-2"/>
                </c:manualLayout>
              </c:layout>
              <c:tx>
                <c:rich>
                  <a:bodyPr/>
                  <a:lstStyle/>
                  <a:p>
                    <a:r>
                      <a:rPr lang="es-DO" sz="1800" b="0"/>
                      <a:t> 25.3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9"/>
              <c:layout>
                <c:manualLayout>
                  <c:x val="1.0907924065732688E-2"/>
                  <c:y val="-5.0495047317938434E-2"/>
                </c:manualLayout>
              </c:layout>
              <c:tx>
                <c:rich>
                  <a:bodyPr/>
                  <a:lstStyle/>
                  <a:p>
                    <a:r>
                      <a:rPr lang="es-DO" sz="1800" b="0"/>
                      <a:t> 21.6 </a:t>
                    </a:r>
                    <a:endParaRPr lang="es-DO" sz="1200" b="0"/>
                  </a:p>
                </c:rich>
              </c:tx>
              <c:showLegendKey val="0"/>
              <c:showVal val="0"/>
              <c:showCatName val="0"/>
              <c:showSerName val="0"/>
              <c:showPercent val="0"/>
              <c:showBubbleSize val="0"/>
              <c:extLst>
                <c:ext xmlns:c15="http://schemas.microsoft.com/office/drawing/2012/chart" uri="{CE6537A1-D6FC-4f65-9D91-7224C49458BB}"/>
              </c:extLst>
            </c:dLbl>
            <c:dLbl>
              <c:idx val="10"/>
              <c:layout>
                <c:manualLayout>
                  <c:x val="1.199871647230521E-2"/>
                  <c:y val="-5.0495047317938434E-2"/>
                </c:manualLayout>
              </c:layout>
              <c:tx>
                <c:rich>
                  <a:bodyPr/>
                  <a:lstStyle/>
                  <a:p>
                    <a:r>
                      <a:rPr lang="es-DO" sz="1800" b="0"/>
                      <a:t>22.3</a:t>
                    </a:r>
                    <a:endParaRPr lang="es-DO" sz="1200" b="0"/>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'VI.4.1 Prest. econ. SRL'!$A$4:$A$14</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'VI.4.1 Prest. econ. SRL'!$D$4:$D$14</c:f>
              <c:numCache>
                <c:formatCode>_(* #,##0.00_);_(* \(#,##0.00\);_(* "-"??_);_(@_)</c:formatCode>
                <c:ptCount val="11"/>
                <c:pt idx="0">
                  <c:v>808326.34</c:v>
                </c:pt>
                <c:pt idx="1">
                  <c:v>495297.79</c:v>
                </c:pt>
                <c:pt idx="2">
                  <c:v>514083.71</c:v>
                </c:pt>
                <c:pt idx="3">
                  <c:v>542588.81000000006</c:v>
                </c:pt>
                <c:pt idx="4">
                  <c:v>493308.81</c:v>
                </c:pt>
                <c:pt idx="5">
                  <c:v>493308.01</c:v>
                </c:pt>
                <c:pt idx="6">
                  <c:v>510638.23</c:v>
                </c:pt>
                <c:pt idx="7">
                  <c:v>910094.88</c:v>
                </c:pt>
                <c:pt idx="8">
                  <c:v>1277902.5900000001</c:v>
                </c:pt>
                <c:pt idx="9">
                  <c:v>634165.11</c:v>
                </c:pt>
                <c:pt idx="10">
                  <c:v>888214.91</c:v>
                </c:pt>
              </c:numCache>
            </c:numRef>
          </c:val>
        </c:ser>
        <c:dLbls>
          <c:showLegendKey val="0"/>
          <c:showVal val="0"/>
          <c:showCatName val="0"/>
          <c:showSerName val="0"/>
          <c:showPercent val="0"/>
          <c:showBubbleSize val="0"/>
        </c:dLbls>
        <c:gapWidth val="75"/>
        <c:shape val="cylinder"/>
        <c:axId val="290464992"/>
        <c:axId val="290465384"/>
        <c:axId val="0"/>
      </c:bar3DChart>
      <c:catAx>
        <c:axId val="2904649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290465384"/>
        <c:crosses val="autoZero"/>
        <c:auto val="1"/>
        <c:lblAlgn val="ctr"/>
        <c:lblOffset val="100"/>
        <c:noMultiLvlLbl val="0"/>
      </c:catAx>
      <c:valAx>
        <c:axId val="29046538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290464992"/>
        <c:crosses val="autoZero"/>
        <c:crossBetween val="between"/>
      </c:valAx>
      <c:spPr>
        <a:noFill/>
        <a:ln w="25400">
          <a:noFill/>
        </a:ln>
      </c:spPr>
    </c:plotArea>
    <c:legend>
      <c:legendPos val="b"/>
      <c:layout>
        <c:manualLayout>
          <c:xMode val="edge"/>
          <c:yMode val="edge"/>
          <c:x val="2.6616657955840395E-2"/>
          <c:y val="1.1384803614677653E-2"/>
          <c:w val="0.94508246724872125"/>
          <c:h val="6.0823653949333679E-2"/>
        </c:manualLayout>
      </c:layout>
      <c:overlay val="0"/>
      <c:txPr>
        <a:bodyPr/>
        <a:lstStyle/>
        <a:p>
          <a:pPr>
            <a:defRPr lang="en-US" sz="1400" b="0"/>
          </a:pPr>
          <a:endParaRPr lang="es-ES"/>
        </a:p>
      </c:txPr>
    </c:legend>
    <c:plotVisOnly val="1"/>
    <c:dispBlanksAs val="gap"/>
    <c:showDLblsOverMax val="0"/>
  </c:chart>
  <c:spPr>
    <a:ln>
      <a:noFill/>
    </a:ln>
  </c:spPr>
  <c:txPr>
    <a:bodyPr/>
    <a:lstStyle/>
    <a:p>
      <a:pPr>
        <a:defRPr lang="en-US" sz="1000" b="1">
          <a:latin typeface="+mn-lt"/>
          <a:ea typeface="+mn-ea"/>
          <a:cs typeface="+mn-cs"/>
        </a:defRPr>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021146411698506E-2"/>
          <c:y val="3.4973898322899558E-2"/>
          <c:w val="0.95922441376459089"/>
          <c:h val="0.75760779115832466"/>
        </c:manualLayout>
      </c:layout>
      <c:lineChart>
        <c:grouping val="stacked"/>
        <c:varyColors val="0"/>
        <c:ser>
          <c:idx val="0"/>
          <c:order val="0"/>
          <c:tx>
            <c:strRef>
              <c:f>'VI.4.2 Gastos med. ARL'!$B$4</c:f>
              <c:strCache>
                <c:ptCount val="1"/>
                <c:pt idx="0">
                  <c:v>Prestaciones En Especie (Gastos Médicos)</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2"/>
            <c:spPr>
              <a:gradFill>
                <a:gsLst>
                  <a:gs pos="0">
                    <a:srgbClr val="000082"/>
                  </a:gs>
                  <a:gs pos="30000">
                    <a:srgbClr val="66008F"/>
                  </a:gs>
                  <a:gs pos="64999">
                    <a:srgbClr val="BA0066"/>
                  </a:gs>
                  <a:gs pos="89999">
                    <a:srgbClr val="FF0000"/>
                  </a:gs>
                  <a:gs pos="100000">
                    <a:srgbClr val="FF8200"/>
                  </a:gs>
                </a:gsLst>
                <a:lin ang="5400000" scaled="0"/>
              </a:gradFill>
              <a:ln>
                <a:solidFill>
                  <a:srgbClr val="FFC000"/>
                </a:solidFill>
              </a:ln>
            </c:spPr>
          </c:marker>
          <c:dLbls>
            <c:dLbl>
              <c:idx val="0"/>
              <c:layout>
                <c:manualLayout>
                  <c:x val="-3.0398784510832937E-2"/>
                  <c:y val="-3.75301815984274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9350550562183549E-2"/>
                  <c:y val="-2.580199984891885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944283553564938E-2"/>
                  <c:y val="4.4986176781132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2403022999113976E-2"/>
                  <c:y val="-3.64621239025431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3466633613780376E-2"/>
                  <c:y val="4.10251397849119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0398784510832937E-2"/>
                  <c:y val="-2.81476361988205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5304703503885185E-2"/>
                  <c:y val="3.81318986700725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701472137589264E-2"/>
                  <c:y val="4.06600507382204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736422151378846E-2"/>
                  <c:y val="-2.81476361988205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0383419064257157E-2"/>
                  <c:y val="4.69939674708446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1874534146925664E-2"/>
                  <c:y val="-3.609703485585153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'VI.4.2 Gastos med. ARL'!$A$5:$A$15</c:f>
              <c:strCache>
                <c:ptCount val="11"/>
                <c:pt idx="0">
                  <c:v>Ene.09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'VI.4.2 Gastos med. ARL'!$B$5:$B$15</c:f>
              <c:numCache>
                <c:formatCode>_(* #,##0.00_);_(* \(#,##0.00\);_(* "-"??_);_(@_)</c:formatCode>
                <c:ptCount val="11"/>
                <c:pt idx="0">
                  <c:v>9075743.9499999993</c:v>
                </c:pt>
                <c:pt idx="1">
                  <c:v>10368156.57</c:v>
                </c:pt>
                <c:pt idx="2">
                  <c:v>9829602.4399999995</c:v>
                </c:pt>
                <c:pt idx="3">
                  <c:v>12062745.02</c:v>
                </c:pt>
                <c:pt idx="4">
                  <c:v>9821353.6899999995</c:v>
                </c:pt>
                <c:pt idx="5">
                  <c:v>16160229.34</c:v>
                </c:pt>
                <c:pt idx="6">
                  <c:v>12515747.58</c:v>
                </c:pt>
                <c:pt idx="7">
                  <c:v>11908445.640000001</c:v>
                </c:pt>
                <c:pt idx="8">
                  <c:v>13842692.390000001</c:v>
                </c:pt>
                <c:pt idx="9">
                  <c:v>7460592.5</c:v>
                </c:pt>
                <c:pt idx="10">
                  <c:v>12384344.75</c:v>
                </c:pt>
              </c:numCache>
            </c:numRef>
          </c:val>
          <c:smooth val="0"/>
        </c:ser>
        <c:dLbls>
          <c:showLegendKey val="0"/>
          <c:showVal val="0"/>
          <c:showCatName val="0"/>
          <c:showSerName val="0"/>
          <c:showPercent val="0"/>
          <c:showBubbleSize val="0"/>
        </c:dLbls>
        <c:marker val="1"/>
        <c:smooth val="0"/>
        <c:axId val="290466168"/>
        <c:axId val="290466560"/>
      </c:lineChart>
      <c:catAx>
        <c:axId val="290466168"/>
        <c:scaling>
          <c:orientation val="minMax"/>
        </c:scaling>
        <c:delete val="0"/>
        <c:axPos val="b"/>
        <c:numFmt formatCode="General" sourceLinked="1"/>
        <c:majorTickMark val="out"/>
        <c:minorTickMark val="none"/>
        <c:tickLblPos val="nextTo"/>
        <c:txPr>
          <a:bodyPr rot="-2700000" vert="horz"/>
          <a:lstStyle/>
          <a:p>
            <a:pPr>
              <a:defRPr lang="en-US" sz="1400" b="0"/>
            </a:pPr>
            <a:endParaRPr lang="es-ES"/>
          </a:p>
        </c:txPr>
        <c:crossAx val="290466560"/>
        <c:crosses val="autoZero"/>
        <c:auto val="1"/>
        <c:lblAlgn val="ctr"/>
        <c:lblOffset val="100"/>
        <c:noMultiLvlLbl val="0"/>
      </c:catAx>
      <c:valAx>
        <c:axId val="290466560"/>
        <c:scaling>
          <c:orientation val="minMax"/>
        </c:scaling>
        <c:delete val="0"/>
        <c:axPos val="l"/>
        <c:numFmt formatCode="_(* #,##0.00_);_(* \(#,##0.00\);_(* &quot;-&quot;??_);_(@_)" sourceLinked="1"/>
        <c:majorTickMark val="out"/>
        <c:minorTickMark val="none"/>
        <c:tickLblPos val="none"/>
        <c:txPr>
          <a:bodyPr/>
          <a:lstStyle/>
          <a:p>
            <a:pPr>
              <a:defRPr lang="en-US"/>
            </a:pPr>
            <a:endParaRPr lang="es-ES"/>
          </a:p>
        </c:txPr>
        <c:crossAx val="290466168"/>
        <c:crosses val="autoZero"/>
        <c:crossBetween val="between"/>
        <c:dispUnits>
          <c:builtInUnit val="thousands"/>
          <c:dispUnitsLbl>
            <c:layout>
              <c:manualLayout>
                <c:xMode val="edge"/>
                <c:yMode val="edge"/>
                <c:x val="4.3698702066192431E-3"/>
                <c:y val="0.39653516346887036"/>
              </c:manualLayout>
            </c:layout>
            <c:txPr>
              <a:bodyPr/>
              <a:lstStyle/>
              <a:p>
                <a:pPr>
                  <a:defRPr lang="en-US" sz="1400"/>
                </a:pPr>
                <a:endParaRPr lang="es-ES"/>
              </a:p>
            </c:txPr>
          </c:dispUnitsLbl>
        </c:dispUnits>
      </c:valAx>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55445818413622E-2"/>
          <c:y val="1.8014962696592061E-2"/>
          <c:w val="0.93636110322238597"/>
          <c:h val="0.71175232009393286"/>
        </c:manualLayout>
      </c:layout>
      <c:lineChart>
        <c:grouping val="stacked"/>
        <c:varyColors val="0"/>
        <c:ser>
          <c:idx val="0"/>
          <c:order val="0"/>
          <c:tx>
            <c:strRef>
              <c:f>'VI.4.3 Gastos prevenc. riesgos'!$B$4</c:f>
              <c:strCache>
                <c:ptCount val="1"/>
                <c:pt idx="0">
                  <c:v>Programa de Prevención de Riesgos</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0"/>
            <c:spPr>
              <a:gradFill>
                <a:gsLst>
                  <a:gs pos="0">
                    <a:srgbClr val="FFEFD1"/>
                  </a:gs>
                  <a:gs pos="64999">
                    <a:srgbClr val="F0EBD5"/>
                  </a:gs>
                  <a:gs pos="100000">
                    <a:srgbClr val="D1C39F"/>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0"/>
              <c:layout>
                <c:manualLayout>
                  <c:x val="-5.2525246955089283E-2"/>
                  <c:y val="-2.9810304464141211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4444439731229413E-2"/>
                  <c:y val="-2.9810304464141211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6161614447719803E-2"/>
                  <c:y val="-4.3360442856933544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750837323276092E-2"/>
                  <c:y val="-2.4390249107024611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363632507370125E-2"/>
                  <c:y val="-2.9810304464141211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6936024079532953E-2"/>
                  <c:y val="-3.25203321426994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037935818868753E-2"/>
                  <c:y val="-4.7690362936556277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6.1301914400992072E-2"/>
                  <c:y val="-4.5120472312213465E-2"/>
                </c:manualLayout>
              </c:layout>
              <c:spPr/>
              <c:txPr>
                <a:bodyPr/>
                <a:lstStyle/>
                <a:p>
                  <a:pPr>
                    <a:defRPr lang="en-US" sz="18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521123753861446E-2"/>
                  <c:y val="-5.1535122678542523E-2"/>
                </c:manualLayout>
              </c:layout>
              <c:spPr/>
              <c:txPr>
                <a:bodyPr/>
                <a:lstStyle/>
                <a:p>
                  <a:pPr>
                    <a:defRPr lang="en-US" sz="1800" b="1">
                      <a:solidFill>
                        <a:srgbClr val="CC66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b="0">
                    <a:solidFill>
                      <a:srgbClr val="CC66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'VI.4.3 Gastos prevenc. riesgos'!$A$5:$A$15</c:f>
              <c:strCache>
                <c:ptCount val="11"/>
                <c:pt idx="0">
                  <c:v>Ene.09</c:v>
                </c:pt>
                <c:pt idx="1">
                  <c:v>Feb.09</c:v>
                </c:pt>
                <c:pt idx="2">
                  <c:v>Mar.09</c:v>
                </c:pt>
                <c:pt idx="3">
                  <c:v>Abr.09</c:v>
                </c:pt>
                <c:pt idx="4">
                  <c:v>May.09</c:v>
                </c:pt>
                <c:pt idx="5">
                  <c:v>Jun.09</c:v>
                </c:pt>
                <c:pt idx="6">
                  <c:v>Jul.09</c:v>
                </c:pt>
                <c:pt idx="7">
                  <c:v>Ago.09</c:v>
                </c:pt>
                <c:pt idx="8">
                  <c:v>Sep.09</c:v>
                </c:pt>
                <c:pt idx="9">
                  <c:v>Oct.09</c:v>
                </c:pt>
                <c:pt idx="10">
                  <c:v>Nov.09</c:v>
                </c:pt>
              </c:strCache>
            </c:strRef>
          </c:cat>
          <c:val>
            <c:numRef>
              <c:f>'VI.4.3 Gastos prevenc. riesgos'!$B$5:$B$15</c:f>
              <c:numCache>
                <c:formatCode>_(* #,##0.00_);_(* \(#,##0.00\);_(* "-"??_);_(@_)</c:formatCode>
                <c:ptCount val="11"/>
                <c:pt idx="0">
                  <c:v>2467895.08</c:v>
                </c:pt>
                <c:pt idx="1">
                  <c:v>0</c:v>
                </c:pt>
                <c:pt idx="2">
                  <c:v>2816095.6</c:v>
                </c:pt>
                <c:pt idx="3">
                  <c:v>9419.9699999999993</c:v>
                </c:pt>
                <c:pt idx="4">
                  <c:v>517460</c:v>
                </c:pt>
                <c:pt idx="5">
                  <c:v>288042.59000000003</c:v>
                </c:pt>
                <c:pt idx="6">
                  <c:v>81857.09</c:v>
                </c:pt>
                <c:pt idx="7">
                  <c:v>0</c:v>
                </c:pt>
                <c:pt idx="8">
                  <c:v>3042534.13</c:v>
                </c:pt>
                <c:pt idx="9">
                  <c:v>3555572.66</c:v>
                </c:pt>
                <c:pt idx="10">
                  <c:v>5104935.32</c:v>
                </c:pt>
              </c:numCache>
            </c:numRef>
          </c:val>
          <c:smooth val="0"/>
        </c:ser>
        <c:dLbls>
          <c:showLegendKey val="0"/>
          <c:showVal val="0"/>
          <c:showCatName val="0"/>
          <c:showSerName val="0"/>
          <c:showPercent val="0"/>
          <c:showBubbleSize val="0"/>
        </c:dLbls>
        <c:marker val="1"/>
        <c:smooth val="0"/>
        <c:axId val="290467344"/>
        <c:axId val="293019896"/>
      </c:lineChart>
      <c:catAx>
        <c:axId val="290467344"/>
        <c:scaling>
          <c:orientation val="minMax"/>
        </c:scaling>
        <c:delete val="0"/>
        <c:axPos val="b"/>
        <c:numFmt formatCode="General" sourceLinked="1"/>
        <c:majorTickMark val="out"/>
        <c:minorTickMark val="none"/>
        <c:tickLblPos val="nextTo"/>
        <c:txPr>
          <a:bodyPr rot="-2700000" vert="horz"/>
          <a:lstStyle/>
          <a:p>
            <a:pPr>
              <a:defRPr lang="en-US" sz="1400" b="0"/>
            </a:pPr>
            <a:endParaRPr lang="es-ES"/>
          </a:p>
        </c:txPr>
        <c:crossAx val="293019896"/>
        <c:crosses val="autoZero"/>
        <c:auto val="1"/>
        <c:lblAlgn val="ctr"/>
        <c:lblOffset val="100"/>
        <c:noMultiLvlLbl val="0"/>
      </c:catAx>
      <c:valAx>
        <c:axId val="293019896"/>
        <c:scaling>
          <c:orientation val="minMax"/>
        </c:scaling>
        <c:delete val="0"/>
        <c:axPos val="l"/>
        <c:numFmt formatCode="_(* #,##0.00_);_(* \(#,##0.00\);_(* &quot;-&quot;??_);_(@_)" sourceLinked="1"/>
        <c:majorTickMark val="out"/>
        <c:minorTickMark val="none"/>
        <c:tickLblPos val="none"/>
        <c:txPr>
          <a:bodyPr/>
          <a:lstStyle/>
          <a:p>
            <a:pPr>
              <a:defRPr lang="en-US"/>
            </a:pPr>
            <a:endParaRPr lang="es-ES"/>
          </a:p>
        </c:txPr>
        <c:crossAx val="290467344"/>
        <c:crosses val="autoZero"/>
        <c:crossBetween val="between"/>
        <c:dispUnits>
          <c:builtInUnit val="thousands"/>
          <c:dispUnitsLbl>
            <c:layout>
              <c:manualLayout>
                <c:xMode val="edge"/>
                <c:yMode val="edge"/>
                <c:x val="1.1024501919996323E-2"/>
                <c:y val="0.40892875996752925"/>
              </c:manualLayout>
            </c:layout>
            <c:txPr>
              <a:bodyPr/>
              <a:lstStyle/>
              <a:p>
                <a:pPr>
                  <a:defRPr lang="en-US" sz="1400" b="0"/>
                </a:pPr>
                <a:endParaRPr lang="es-ES"/>
              </a:p>
            </c:txPr>
          </c:dispUnitsLbl>
        </c:dispUnits>
      </c:valAx>
    </c:plotArea>
    <c:plotVisOnly val="1"/>
    <c:dispBlanksAs val="zero"/>
    <c:showDLblsOverMax val="0"/>
  </c:chart>
  <c:spPr>
    <a:ln>
      <a:noFill/>
    </a:ln>
  </c:spPr>
  <c:txPr>
    <a:bodyPr/>
    <a:lstStyle/>
    <a:p>
      <a:pPr>
        <a:defRPr sz="105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10"/>
      <c:depthPercent val="100"/>
      <c:rAngAx val="1"/>
    </c:view3D>
    <c:floor>
      <c:thickness val="0"/>
    </c:floor>
    <c:sideWall>
      <c:thickness val="0"/>
    </c:sideWall>
    <c:backWall>
      <c:thickness val="0"/>
    </c:backWall>
    <c:plotArea>
      <c:layout>
        <c:manualLayout>
          <c:layoutTarget val="inner"/>
          <c:xMode val="edge"/>
          <c:yMode val="edge"/>
          <c:x val="5.9423096389342699E-3"/>
          <c:y val="0.24366045920407878"/>
          <c:w val="0.98358469790347414"/>
          <c:h val="0.5551799245444432"/>
        </c:manualLayout>
      </c:layout>
      <c:bar3DChart>
        <c:barDir val="col"/>
        <c:grouping val="clustered"/>
        <c:varyColors val="0"/>
        <c:ser>
          <c:idx val="0"/>
          <c:order val="0"/>
          <c:tx>
            <c:strRef>
              <c:f>'VI.4.4 Pensión sobrev. ARL'!$B$4</c:f>
              <c:strCache>
                <c:ptCount val="1"/>
                <c:pt idx="0">
                  <c:v>No.de Pensiones </c:v>
                </c:pt>
              </c:strCache>
            </c:strRef>
          </c:tx>
          <c:invertIfNegative val="0"/>
          <c:dLbls>
            <c:spPr>
              <a:noFill/>
              <a:ln>
                <a:noFill/>
              </a:ln>
              <a:effectLst/>
            </c:spPr>
            <c:txPr>
              <a:bodyPr rot="-5400000" vert="horz"/>
              <a:lstStyle/>
              <a:p>
                <a:pPr>
                  <a:defRPr lang="en-US" sz="14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'VI.4.4 Pensión sobrev. ARL'!$A$5:$A$15</c:f>
              <c:strCache>
                <c:ptCount val="11"/>
                <c:pt idx="0">
                  <c:v>Ene.09</c:v>
                </c:pt>
                <c:pt idx="1">
                  <c:v>Feb.09</c:v>
                </c:pt>
                <c:pt idx="2">
                  <c:v>Mar.09</c:v>
                </c:pt>
                <c:pt idx="3">
                  <c:v>Abr.09</c:v>
                </c:pt>
                <c:pt idx="4">
                  <c:v>May.09</c:v>
                </c:pt>
                <c:pt idx="5">
                  <c:v>Jun.09</c:v>
                </c:pt>
                <c:pt idx="6">
                  <c:v>Jul.09</c:v>
                </c:pt>
                <c:pt idx="7">
                  <c:v>Ago.09</c:v>
                </c:pt>
                <c:pt idx="8">
                  <c:v>Sep.09</c:v>
                </c:pt>
                <c:pt idx="9">
                  <c:v>Oct.09</c:v>
                </c:pt>
                <c:pt idx="10">
                  <c:v>Nov.09</c:v>
                </c:pt>
              </c:strCache>
            </c:strRef>
          </c:cat>
          <c:val>
            <c:numRef>
              <c:f>'VI.4.4 Pensión sobrev. ARL'!$B$5:$B$15</c:f>
              <c:numCache>
                <c:formatCode>_(* #,##0_);_(* \(#,##0\);_(* "-"??_);_(@_)</c:formatCode>
                <c:ptCount val="11"/>
                <c:pt idx="0">
                  <c:v>209</c:v>
                </c:pt>
                <c:pt idx="1">
                  <c:v>216</c:v>
                </c:pt>
                <c:pt idx="2">
                  <c:v>233</c:v>
                </c:pt>
                <c:pt idx="3">
                  <c:v>235</c:v>
                </c:pt>
                <c:pt idx="4">
                  <c:v>244</c:v>
                </c:pt>
                <c:pt idx="5">
                  <c:v>254</c:v>
                </c:pt>
                <c:pt idx="6">
                  <c:v>272</c:v>
                </c:pt>
                <c:pt idx="7">
                  <c:v>272</c:v>
                </c:pt>
                <c:pt idx="8">
                  <c:v>296</c:v>
                </c:pt>
                <c:pt idx="9">
                  <c:v>293</c:v>
                </c:pt>
                <c:pt idx="10">
                  <c:v>300</c:v>
                </c:pt>
              </c:numCache>
            </c:numRef>
          </c:val>
        </c:ser>
        <c:ser>
          <c:idx val="1"/>
          <c:order val="1"/>
          <c:tx>
            <c:strRef>
              <c:f>'VI.4.4 Pensión sobrev. ARL'!$C$4</c:f>
              <c:strCache>
                <c:ptCount val="1"/>
                <c:pt idx="0">
                  <c:v>No. de Beneficiarios  </c:v>
                </c:pt>
              </c:strCache>
            </c:strRef>
          </c:tx>
          <c:invertIfNegative val="0"/>
          <c:dLbls>
            <c:spPr>
              <a:noFill/>
              <a:ln>
                <a:noFill/>
              </a:ln>
              <a:effectLst/>
            </c:spPr>
            <c:txPr>
              <a:bodyPr rot="-5400000" vert="horz"/>
              <a:lstStyle/>
              <a:p>
                <a:pPr>
                  <a:defRPr lang="en-US" sz="1400" b="1">
                    <a:solidFill>
                      <a:schemeClr val="accent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'VI.4.4 Pensión sobrev. ARL'!$A$5:$A$15</c:f>
              <c:strCache>
                <c:ptCount val="11"/>
                <c:pt idx="0">
                  <c:v>Ene.09</c:v>
                </c:pt>
                <c:pt idx="1">
                  <c:v>Feb.09</c:v>
                </c:pt>
                <c:pt idx="2">
                  <c:v>Mar.09</c:v>
                </c:pt>
                <c:pt idx="3">
                  <c:v>Abr.09</c:v>
                </c:pt>
                <c:pt idx="4">
                  <c:v>May.09</c:v>
                </c:pt>
                <c:pt idx="5">
                  <c:v>Jun.09</c:v>
                </c:pt>
                <c:pt idx="6">
                  <c:v>Jul.09</c:v>
                </c:pt>
                <c:pt idx="7">
                  <c:v>Ago.09</c:v>
                </c:pt>
                <c:pt idx="8">
                  <c:v>Sep.09</c:v>
                </c:pt>
                <c:pt idx="9">
                  <c:v>Oct.09</c:v>
                </c:pt>
                <c:pt idx="10">
                  <c:v>Nov.09</c:v>
                </c:pt>
              </c:strCache>
            </c:strRef>
          </c:cat>
          <c:val>
            <c:numRef>
              <c:f>'VI.4.4 Pensión sobrev. ARL'!$C$5:$C$15</c:f>
              <c:numCache>
                <c:formatCode>_(* #,##0_);_(* \(#,##0\);_(* "-"??_);_(@_)</c:formatCode>
                <c:ptCount val="11"/>
                <c:pt idx="0">
                  <c:v>436</c:v>
                </c:pt>
                <c:pt idx="1">
                  <c:v>454</c:v>
                </c:pt>
                <c:pt idx="2">
                  <c:v>470</c:v>
                </c:pt>
                <c:pt idx="3">
                  <c:v>478</c:v>
                </c:pt>
                <c:pt idx="4">
                  <c:v>487</c:v>
                </c:pt>
                <c:pt idx="5">
                  <c:v>528</c:v>
                </c:pt>
                <c:pt idx="6">
                  <c:v>538</c:v>
                </c:pt>
                <c:pt idx="7">
                  <c:v>542</c:v>
                </c:pt>
                <c:pt idx="8">
                  <c:v>562</c:v>
                </c:pt>
                <c:pt idx="9">
                  <c:v>573</c:v>
                </c:pt>
                <c:pt idx="10">
                  <c:v>591</c:v>
                </c:pt>
              </c:numCache>
            </c:numRef>
          </c:val>
        </c:ser>
        <c:ser>
          <c:idx val="2"/>
          <c:order val="2"/>
          <c:tx>
            <c:strRef>
              <c:f>'VI.4.4 Pensión sobrev. ARL'!$D$4</c:f>
              <c:strCache>
                <c:ptCount val="1"/>
                <c:pt idx="0">
                  <c:v> Pago Promedio por Pensión</c:v>
                </c:pt>
              </c:strCache>
            </c:strRef>
          </c:tx>
          <c:spPr>
            <a:solidFill>
              <a:schemeClr val="accent1">
                <a:lumMod val="50000"/>
              </a:schemeClr>
            </a:solidFill>
          </c:spPr>
          <c:invertIfNegative val="0"/>
          <c:dLbls>
            <c:dLbl>
              <c:idx val="5"/>
              <c:layout>
                <c:manualLayout>
                  <c:x val="5.8327942699394775E-3"/>
                  <c:y val="8.676691638071569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'VI.4.4 Pensión sobrev. ARL'!$A$5:$A$15</c:f>
              <c:strCache>
                <c:ptCount val="11"/>
                <c:pt idx="0">
                  <c:v>Ene.09</c:v>
                </c:pt>
                <c:pt idx="1">
                  <c:v>Feb.09</c:v>
                </c:pt>
                <c:pt idx="2">
                  <c:v>Mar.09</c:v>
                </c:pt>
                <c:pt idx="3">
                  <c:v>Abr.09</c:v>
                </c:pt>
                <c:pt idx="4">
                  <c:v>May.09</c:v>
                </c:pt>
                <c:pt idx="5">
                  <c:v>Jun.09</c:v>
                </c:pt>
                <c:pt idx="6">
                  <c:v>Jul.09</c:v>
                </c:pt>
                <c:pt idx="7">
                  <c:v>Ago.09</c:v>
                </c:pt>
                <c:pt idx="8">
                  <c:v>Sep.09</c:v>
                </c:pt>
                <c:pt idx="9">
                  <c:v>Oct.09</c:v>
                </c:pt>
                <c:pt idx="10">
                  <c:v>Nov.09</c:v>
                </c:pt>
              </c:strCache>
            </c:strRef>
          </c:cat>
          <c:val>
            <c:numRef>
              <c:f>'VI.4.4 Pensión sobrev. ARL'!$D$5:$D$15</c:f>
              <c:numCache>
                <c:formatCode>_(* #,##0.00_);_(* \(#,##0.00\);_(* "-"??_);_(@_)</c:formatCode>
                <c:ptCount val="11"/>
                <c:pt idx="0">
                  <c:v>4199.4987081339714</c:v>
                </c:pt>
                <c:pt idx="1">
                  <c:v>4595.4988425925922</c:v>
                </c:pt>
                <c:pt idx="2">
                  <c:v>7013.3985407725322</c:v>
                </c:pt>
                <c:pt idx="3">
                  <c:v>3317.3118723404259</c:v>
                </c:pt>
                <c:pt idx="4">
                  <c:v>5095.1297950819671</c:v>
                </c:pt>
                <c:pt idx="5">
                  <c:v>9931.8560629921249</c:v>
                </c:pt>
                <c:pt idx="6">
                  <c:v>4993.289742647059</c:v>
                </c:pt>
                <c:pt idx="7">
                  <c:v>3835.0266544117649</c:v>
                </c:pt>
                <c:pt idx="8">
                  <c:v>7718.7752364864873</c:v>
                </c:pt>
                <c:pt idx="9">
                  <c:v>4808.3334812286685</c:v>
                </c:pt>
                <c:pt idx="10">
                  <c:v>3937.6834666666668</c:v>
                </c:pt>
              </c:numCache>
            </c:numRef>
          </c:val>
        </c:ser>
        <c:ser>
          <c:idx val="3"/>
          <c:order val="3"/>
          <c:tx>
            <c:strRef>
              <c:f>'VI.4.4 Pensión sobrev. ARL'!$E$4</c:f>
              <c:strCache>
                <c:ptCount val="1"/>
                <c:pt idx="0">
                  <c:v>Pago Promedio por Beneficiario</c:v>
                </c:pt>
              </c:strCache>
            </c:strRef>
          </c:tx>
          <c:spPr>
            <a:solidFill>
              <a:schemeClr val="accent6">
                <a:lumMod val="50000"/>
              </a:schemeClr>
            </a:solidFill>
          </c:spPr>
          <c:invertIfNegative val="0"/>
          <c:dLbls>
            <c:dLbl>
              <c:idx val="5"/>
              <c:layout>
                <c:manualLayout>
                  <c:x val="3.7333332941383015E-3"/>
                  <c:y val="-1.86666678425197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733333294138233E-3"/>
                  <c:y val="-6.8443658088927009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b="1">
                    <a:solidFill>
                      <a:schemeClr val="accent4">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'VI.4.4 Pensión sobrev. ARL'!$A$5:$A$15</c:f>
              <c:strCache>
                <c:ptCount val="11"/>
                <c:pt idx="0">
                  <c:v>Ene.09</c:v>
                </c:pt>
                <c:pt idx="1">
                  <c:v>Feb.09</c:v>
                </c:pt>
                <c:pt idx="2">
                  <c:v>Mar.09</c:v>
                </c:pt>
                <c:pt idx="3">
                  <c:v>Abr.09</c:v>
                </c:pt>
                <c:pt idx="4">
                  <c:v>May.09</c:v>
                </c:pt>
                <c:pt idx="5">
                  <c:v>Jun.09</c:v>
                </c:pt>
                <c:pt idx="6">
                  <c:v>Jul.09</c:v>
                </c:pt>
                <c:pt idx="7">
                  <c:v>Ago.09</c:v>
                </c:pt>
                <c:pt idx="8">
                  <c:v>Sep.09</c:v>
                </c:pt>
                <c:pt idx="9">
                  <c:v>Oct.09</c:v>
                </c:pt>
                <c:pt idx="10">
                  <c:v>Nov.09</c:v>
                </c:pt>
              </c:strCache>
            </c:strRef>
          </c:cat>
          <c:val>
            <c:numRef>
              <c:f>'VI.4.4 Pensión sobrev. ARL'!$E$5:$E$15</c:f>
              <c:numCache>
                <c:formatCode>_(* #,##0.00_);_(* \(#,##0.00\);_(* "-"??_);_(@_)</c:formatCode>
                <c:ptCount val="11"/>
                <c:pt idx="0">
                  <c:v>2013.0624541284403</c:v>
                </c:pt>
                <c:pt idx="1">
                  <c:v>2186.4047356828196</c:v>
                </c:pt>
                <c:pt idx="2">
                  <c:v>3476.8550212765958</c:v>
                </c:pt>
                <c:pt idx="3">
                  <c:v>1630.8960041841005</c:v>
                </c:pt>
                <c:pt idx="4">
                  <c:v>2552.7960369609855</c:v>
                </c:pt>
                <c:pt idx="5">
                  <c:v>4777.8246969696966</c:v>
                </c:pt>
                <c:pt idx="6">
                  <c:v>2524.488494423792</c:v>
                </c:pt>
                <c:pt idx="7">
                  <c:v>1924.5890221402215</c:v>
                </c:pt>
                <c:pt idx="8">
                  <c:v>4065.4047508896801</c:v>
                </c:pt>
                <c:pt idx="9">
                  <c:v>2458.7115357766143</c:v>
                </c:pt>
                <c:pt idx="10">
                  <c:v>1998.8240947546533</c:v>
                </c:pt>
              </c:numCache>
            </c:numRef>
          </c:val>
        </c:ser>
        <c:dLbls>
          <c:showLegendKey val="0"/>
          <c:showVal val="0"/>
          <c:showCatName val="0"/>
          <c:showSerName val="0"/>
          <c:showPercent val="0"/>
          <c:showBubbleSize val="0"/>
        </c:dLbls>
        <c:gapWidth val="75"/>
        <c:shape val="cylinder"/>
        <c:axId val="293020680"/>
        <c:axId val="293021072"/>
        <c:axId val="0"/>
      </c:bar3DChart>
      <c:catAx>
        <c:axId val="293020680"/>
        <c:scaling>
          <c:orientation val="minMax"/>
        </c:scaling>
        <c:delete val="0"/>
        <c:axPos val="b"/>
        <c:numFmt formatCode="General" sourceLinked="1"/>
        <c:majorTickMark val="none"/>
        <c:minorTickMark val="none"/>
        <c:tickLblPos val="nextTo"/>
        <c:txPr>
          <a:bodyPr/>
          <a:lstStyle/>
          <a:p>
            <a:pPr>
              <a:defRPr lang="en-US" sz="1600"/>
            </a:pPr>
            <a:endParaRPr lang="es-ES"/>
          </a:p>
        </c:txPr>
        <c:crossAx val="293021072"/>
        <c:crosses val="autoZero"/>
        <c:auto val="1"/>
        <c:lblAlgn val="ctr"/>
        <c:lblOffset val="100"/>
        <c:noMultiLvlLbl val="0"/>
      </c:catAx>
      <c:valAx>
        <c:axId val="293021072"/>
        <c:scaling>
          <c:orientation val="minMax"/>
        </c:scaling>
        <c:delete val="0"/>
        <c:axPos val="l"/>
        <c:numFmt formatCode="_(* #,##0_);_(* \(#,##0\);_(* &quot;-&quot;??_);_(@_)" sourceLinked="1"/>
        <c:majorTickMark val="none"/>
        <c:minorTickMark val="none"/>
        <c:tickLblPos val="none"/>
        <c:spPr>
          <a:ln w="9525">
            <a:noFill/>
          </a:ln>
        </c:spPr>
        <c:txPr>
          <a:bodyPr/>
          <a:lstStyle/>
          <a:p>
            <a:pPr>
              <a:defRPr lang="en-US"/>
            </a:pPr>
            <a:endParaRPr lang="es-ES"/>
          </a:p>
        </c:txPr>
        <c:crossAx val="293020680"/>
        <c:crosses val="autoZero"/>
        <c:crossBetween val="between"/>
      </c:valAx>
      <c:spPr>
        <a:noFill/>
        <a:ln w="25400">
          <a:noFill/>
        </a:ln>
      </c:spPr>
    </c:plotArea>
    <c:legend>
      <c:legendPos val="b"/>
      <c:layout>
        <c:manualLayout>
          <c:xMode val="edge"/>
          <c:yMode val="edge"/>
          <c:x val="5.512722251834936E-2"/>
          <c:y val="3.6544632223283927E-2"/>
          <c:w val="0.91750207960627739"/>
          <c:h val="5.3804391840696596E-2"/>
        </c:manualLayout>
      </c:layout>
      <c:overlay val="0"/>
      <c:txPr>
        <a:bodyPr/>
        <a:lstStyle/>
        <a:p>
          <a:pPr>
            <a:defRPr lang="en-US" sz="1800"/>
          </a:pPr>
          <a:endParaRPr lang="es-ES"/>
        </a:p>
      </c:txPr>
    </c:legend>
    <c:plotVisOnly val="1"/>
    <c:dispBlanksAs val="gap"/>
    <c:showDLblsOverMax val="0"/>
  </c:chart>
  <c:spPr>
    <a:ln>
      <a:noFill/>
    </a:ln>
  </c:spPr>
  <c:txPr>
    <a:bodyPr/>
    <a:lstStyle/>
    <a:p>
      <a:pPr>
        <a:defRPr sz="8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51495620009599E-4"/>
          <c:y val="0.15057144380654447"/>
          <c:w val="0.99742536135552207"/>
          <c:h val="0.69988919391968585"/>
        </c:manualLayout>
      </c:layout>
      <c:bar3DChart>
        <c:barDir val="col"/>
        <c:grouping val="clustered"/>
        <c:varyColors val="0"/>
        <c:ser>
          <c:idx val="0"/>
          <c:order val="0"/>
          <c:tx>
            <c:strRef>
              <c:f>'VI.4.5 Pensión discap ARL'!$B$4</c:f>
              <c:strCache>
                <c:ptCount val="1"/>
                <c:pt idx="0">
                  <c:v>No. de Pensiones</c:v>
                </c:pt>
              </c:strCache>
            </c:strRef>
          </c:tx>
          <c:invertIfNegative val="0"/>
          <c:dLbls>
            <c:dLbl>
              <c:idx val="0"/>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39630382618406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16358652182009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3963038261840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61738434912006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396303826184065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163586521820092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3027125633294542E-17"/>
                  <c:y val="-1.163586521820092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'VI.4.5 Pensión discap ARL'!$A$5:$A$15</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'VI.4.5 Pensión discap ARL'!$B$5:$B$15</c:f>
              <c:numCache>
                <c:formatCode>_(* #,##0_);_(* \(#,##0\);_(* "-"??_);_(@_)</c:formatCode>
                <c:ptCount val="11"/>
                <c:pt idx="0">
                  <c:v>110</c:v>
                </c:pt>
                <c:pt idx="1">
                  <c:v>110</c:v>
                </c:pt>
                <c:pt idx="2">
                  <c:v>111</c:v>
                </c:pt>
                <c:pt idx="3">
                  <c:v>112</c:v>
                </c:pt>
                <c:pt idx="4">
                  <c:v>111</c:v>
                </c:pt>
                <c:pt idx="5">
                  <c:v>113</c:v>
                </c:pt>
                <c:pt idx="6">
                  <c:v>114</c:v>
                </c:pt>
                <c:pt idx="7">
                  <c:v>122</c:v>
                </c:pt>
                <c:pt idx="8">
                  <c:v>136</c:v>
                </c:pt>
                <c:pt idx="9">
                  <c:v>141</c:v>
                </c:pt>
                <c:pt idx="10">
                  <c:v>141</c:v>
                </c:pt>
              </c:numCache>
            </c:numRef>
          </c:val>
        </c:ser>
        <c:ser>
          <c:idx val="1"/>
          <c:order val="1"/>
          <c:tx>
            <c:strRef>
              <c:f>'VI.4.5 Pensión discap ARL'!$C$4</c:f>
              <c:strCache>
                <c:ptCount val="1"/>
                <c:pt idx="0">
                  <c:v> Pago Promedio Pensión</c:v>
                </c:pt>
              </c:strCache>
            </c:strRef>
          </c:tx>
          <c:spPr>
            <a:solidFill>
              <a:srgbClr val="00B050"/>
            </a:solidFill>
          </c:spPr>
          <c:invertIfNegative val="0"/>
          <c:dLbls>
            <c:dLbl>
              <c:idx val="0"/>
              <c:layout>
                <c:manualLayout>
                  <c:x val="3.3966034678519059E-3"/>
                  <c:y val="-1.1635865218200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966034678519059E-3"/>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644023119012852E-3"/>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644023119014704E-3"/>
                  <c:y val="-1.86173843491200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513562816645453E-17"/>
                  <c:y val="-1.861738434912006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2644023119012852E-3"/>
                  <c:y val="-1.86173843491200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3027125633294542E-17"/>
                  <c:y val="-1.396303826184068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629021130547994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62902113054799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'VI.4.5 Pensión discap ARL'!$A$5:$A$15</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'VI.4.5 Pensión discap ARL'!$C$5:$C$15</c:f>
              <c:numCache>
                <c:formatCode>_(* #,##0.00_);_(* \(#,##0.00\);_(* "-"??_);_(@_)</c:formatCode>
                <c:ptCount val="11"/>
                <c:pt idx="0">
                  <c:v>7348.4212727272725</c:v>
                </c:pt>
                <c:pt idx="1">
                  <c:v>4502.7071818181812</c:v>
                </c:pt>
                <c:pt idx="2">
                  <c:v>4631.384774774775</c:v>
                </c:pt>
                <c:pt idx="3">
                  <c:v>4844.5429464285717</c:v>
                </c:pt>
                <c:pt idx="4">
                  <c:v>4444.2235135135134</c:v>
                </c:pt>
                <c:pt idx="5">
                  <c:v>4365.5576106194694</c:v>
                </c:pt>
                <c:pt idx="6">
                  <c:v>4479.2827192982459</c:v>
                </c:pt>
                <c:pt idx="7">
                  <c:v>7459.7940983606559</c:v>
                </c:pt>
                <c:pt idx="8">
                  <c:v>9396.3425735294131</c:v>
                </c:pt>
                <c:pt idx="9">
                  <c:v>4497.6248936170214</c:v>
                </c:pt>
                <c:pt idx="10">
                  <c:v>6299.396524822695</c:v>
                </c:pt>
              </c:numCache>
            </c:numRef>
          </c:val>
        </c:ser>
        <c:dLbls>
          <c:showLegendKey val="0"/>
          <c:showVal val="0"/>
          <c:showCatName val="0"/>
          <c:showSerName val="0"/>
          <c:showPercent val="0"/>
          <c:showBubbleSize val="0"/>
        </c:dLbls>
        <c:gapWidth val="75"/>
        <c:shape val="cylinder"/>
        <c:axId val="293021856"/>
        <c:axId val="293022248"/>
        <c:axId val="0"/>
      </c:bar3DChart>
      <c:catAx>
        <c:axId val="293021856"/>
        <c:scaling>
          <c:orientation val="minMax"/>
        </c:scaling>
        <c:delete val="0"/>
        <c:axPos val="b"/>
        <c:numFmt formatCode="General" sourceLinked="1"/>
        <c:majorTickMark val="none"/>
        <c:minorTickMark val="none"/>
        <c:tickLblPos val="nextTo"/>
        <c:txPr>
          <a:bodyPr/>
          <a:lstStyle/>
          <a:p>
            <a:pPr>
              <a:defRPr lang="en-US" sz="1200"/>
            </a:pPr>
            <a:endParaRPr lang="es-ES"/>
          </a:p>
        </c:txPr>
        <c:crossAx val="293022248"/>
        <c:crosses val="autoZero"/>
        <c:auto val="1"/>
        <c:lblAlgn val="ctr"/>
        <c:lblOffset val="100"/>
        <c:noMultiLvlLbl val="0"/>
      </c:catAx>
      <c:valAx>
        <c:axId val="293022248"/>
        <c:scaling>
          <c:orientation val="minMax"/>
        </c:scaling>
        <c:delete val="0"/>
        <c:axPos val="l"/>
        <c:numFmt formatCode="_(* #,##0_);_(* \(#,##0\);_(* &quot;-&quot;??_);_(@_)" sourceLinked="1"/>
        <c:majorTickMark val="none"/>
        <c:minorTickMark val="none"/>
        <c:tickLblPos val="none"/>
        <c:spPr>
          <a:ln w="9525">
            <a:noFill/>
          </a:ln>
        </c:spPr>
        <c:txPr>
          <a:bodyPr/>
          <a:lstStyle/>
          <a:p>
            <a:pPr>
              <a:defRPr lang="en-US"/>
            </a:pPr>
            <a:endParaRPr lang="es-ES"/>
          </a:p>
        </c:txPr>
        <c:crossAx val="293021856"/>
        <c:crosses val="autoZero"/>
        <c:crossBetween val="between"/>
      </c:valAx>
      <c:spPr>
        <a:noFill/>
        <a:ln w="25400">
          <a:noFill/>
        </a:ln>
      </c:spPr>
    </c:plotArea>
    <c:legend>
      <c:legendPos val="b"/>
      <c:layout>
        <c:manualLayout>
          <c:xMode val="edge"/>
          <c:yMode val="edge"/>
          <c:x val="0.23216457626591142"/>
          <c:y val="2.5838349758261835E-2"/>
          <c:w val="0.68082448191999712"/>
          <c:h val="8.084049803941077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4073899463388E-2"/>
          <c:y val="0.23379523108225853"/>
          <c:w val="0.947811852201077"/>
          <c:h val="0.57960005010573712"/>
        </c:manualLayout>
      </c:layout>
      <c:bar3DChart>
        <c:barDir val="col"/>
        <c:grouping val="stacked"/>
        <c:varyColors val="0"/>
        <c:ser>
          <c:idx val="0"/>
          <c:order val="0"/>
          <c:tx>
            <c:strRef>
              <c:f>'Afil. mensual (Mod.)'!$D$2</c:f>
              <c:strCache>
                <c:ptCount val="1"/>
                <c:pt idx="0">
                  <c:v> Cápitas pagadas al SFS del RC</c:v>
                </c:pt>
              </c:strCache>
            </c:strRef>
          </c:tx>
          <c:spPr>
            <a:solidFill>
              <a:schemeClr val="accent1">
                <a:lumMod val="75000"/>
              </a:schemeClr>
            </a:solidFill>
          </c:spPr>
          <c:invertIfNegative val="0"/>
          <c:dLbls>
            <c:dLbl>
              <c:idx val="0"/>
              <c:layout>
                <c:manualLayout>
                  <c:x val="1.4233131217889111E-2"/>
                  <c:y val="8.5619045050797565E-2"/>
                </c:manualLayout>
              </c:layout>
              <c:tx>
                <c:rich>
                  <a:bodyPr/>
                  <a:lstStyle/>
                  <a:p>
                    <a:r>
                      <a:rPr lang="en-US"/>
                      <a:t>54.12%</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21885363148423E-2"/>
                  <c:y val="8.8380949729855274E-2"/>
                </c:manualLayout>
              </c:layout>
              <c:tx>
                <c:rich>
                  <a:bodyPr/>
                  <a:lstStyle/>
                  <a:p>
                    <a:r>
                      <a:rPr lang="en-US"/>
                      <a:t>54.94%</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4233131217889111E-2"/>
                  <c:y val="9.3904759087971343E-2"/>
                </c:manualLayout>
              </c:layout>
              <c:tx>
                <c:rich>
                  <a:bodyPr/>
                  <a:lstStyle/>
                  <a:p>
                    <a:r>
                      <a:rPr lang="en-US"/>
                      <a:t>55.20%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8977508290518846E-2"/>
                  <c:y val="9.1142854408913149E-2"/>
                </c:manualLayout>
              </c:layout>
              <c:tx>
                <c:rich>
                  <a:bodyPr/>
                  <a:lstStyle/>
                  <a:p>
                    <a:r>
                      <a:rPr lang="en-US"/>
                      <a:t>55.18%</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8977508290518846E-2"/>
                  <c:y val="9.1142636936103819E-2"/>
                </c:manualLayout>
              </c:layout>
              <c:tx>
                <c:rich>
                  <a:bodyPr/>
                  <a:lstStyle/>
                  <a:p>
                    <a:r>
                      <a:rPr lang="en-US"/>
                      <a:t>54.86%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8251874458937992E-2"/>
                  <c:y val="9.1136060033204527E-2"/>
                </c:manualLayout>
              </c:layout>
              <c:tx>
                <c:rich>
                  <a:bodyPr/>
                  <a:lstStyle/>
                  <a:p>
                    <a:pPr>
                      <a:defRPr sz="1200" b="1">
                        <a:solidFill>
                          <a:sysClr val="windowText" lastClr="000000"/>
                        </a:solidFill>
                      </a:defRPr>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(Mod.)'!$D$3:$D$8</c:f>
              <c:numCache>
                <c:formatCode>_(* #,##0_);_(* \(#,##0\);_(* "-"??_);_(@_)</c:formatCode>
                <c:ptCount val="6"/>
                <c:pt idx="0">
                  <c:v>2407712</c:v>
                </c:pt>
                <c:pt idx="1">
                  <c:v>2486189</c:v>
                </c:pt>
                <c:pt idx="2">
                  <c:v>2508215</c:v>
                </c:pt>
                <c:pt idx="3">
                  <c:v>2499439</c:v>
                </c:pt>
                <c:pt idx="4">
                  <c:v>2462232</c:v>
                </c:pt>
                <c:pt idx="5">
                  <c:v>2527064</c:v>
                </c:pt>
              </c:numCache>
            </c:numRef>
          </c:val>
        </c:ser>
        <c:ser>
          <c:idx val="1"/>
          <c:order val="1"/>
          <c:tx>
            <c:strRef>
              <c:f>'Afil. mensual (Mod.)'!$H$2</c:f>
              <c:strCache>
                <c:ptCount val="1"/>
                <c:pt idx="0">
                  <c:v>Cápitas pagadas al SFS del RS</c:v>
                </c:pt>
              </c:strCache>
            </c:strRef>
          </c:tx>
          <c:spPr>
            <a:solidFill>
              <a:srgbClr val="92D050"/>
            </a:solidFill>
          </c:spPr>
          <c:invertIfNegative val="0"/>
          <c:dLbls>
            <c:dLbl>
              <c:idx val="0"/>
              <c:layout>
                <c:manualLayout>
                  <c:x val="1.1860942681574222E-2"/>
                  <c:y val="6.9047616976449594E-2"/>
                </c:manualLayout>
              </c:layout>
              <c:tx>
                <c:rich>
                  <a:bodyPr/>
                  <a:lstStyle/>
                  <a:p>
                    <a:r>
                      <a:rPr lang="en-US"/>
                      <a:t>45.27%</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4233131217889111E-2"/>
                  <c:y val="7.7333331013623774E-2"/>
                </c:manualLayout>
              </c:layout>
              <c:tx>
                <c:rich>
                  <a:bodyPr/>
                  <a:lstStyle/>
                  <a:p>
                    <a:r>
                      <a:rPr lang="en-US"/>
                      <a:t>44.46%</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4233131217889111E-2"/>
                  <c:y val="8.0095235692681566E-2"/>
                </c:manualLayout>
              </c:layout>
              <c:tx>
                <c:rich>
                  <a:bodyPr/>
                  <a:lstStyle/>
                  <a:p>
                    <a:r>
                      <a:rPr lang="en-US"/>
                      <a:t>44.19%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233131217889111E-2"/>
                  <c:y val="6.9047616976449594E-2"/>
                </c:manualLayout>
              </c:layout>
              <c:tx>
                <c:rich>
                  <a:bodyPr/>
                  <a:lstStyle/>
                  <a:p>
                    <a:r>
                      <a:rPr lang="en-US"/>
                      <a:t>44.18%</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605319754203911E-2"/>
                  <c:y val="6.9047616976449594E-2"/>
                </c:manualLayout>
              </c:layout>
              <c:tx>
                <c:rich>
                  <a:bodyPr/>
                  <a:lstStyle/>
                  <a:p>
                    <a:r>
                      <a:rPr lang="en-US"/>
                      <a:t>44.50%</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3.0581192317286152E-2"/>
                  <c:y val="7.4578055024624362E-2"/>
                </c:manualLayout>
              </c:layout>
              <c:tx>
                <c:rich>
                  <a:bodyPr/>
                  <a:lstStyle/>
                  <a:p>
                    <a:pPr>
                      <a:defRPr sz="12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(Mod.)'!$H$3:$H$8</c:f>
              <c:numCache>
                <c:formatCode>_(* #,##0_);_(* \(#,##0\);_(* "-"??_);_(@_)</c:formatCode>
                <c:ptCount val="6"/>
                <c:pt idx="0">
                  <c:v>2013786</c:v>
                </c:pt>
                <c:pt idx="1">
                  <c:v>2012210</c:v>
                </c:pt>
                <c:pt idx="2">
                  <c:v>2008220</c:v>
                </c:pt>
                <c:pt idx="3">
                  <c:v>2001160</c:v>
                </c:pt>
                <c:pt idx="4">
                  <c:v>1997098</c:v>
                </c:pt>
                <c:pt idx="5">
                  <c:v>2006919</c:v>
                </c:pt>
              </c:numCache>
            </c:numRef>
          </c:val>
        </c:ser>
        <c:ser>
          <c:idx val="2"/>
          <c:order val="2"/>
          <c:tx>
            <c:strRef>
              <c:f>'Afil. mensual (Mod.)'!$L$2</c:f>
              <c:strCache>
                <c:ptCount val="1"/>
                <c:pt idx="0">
                  <c:v>Cápitas pagadas al SFSP</c:v>
                </c:pt>
              </c:strCache>
            </c:strRef>
          </c:tx>
          <c:spPr>
            <a:solidFill>
              <a:schemeClr val="accent6">
                <a:lumMod val="75000"/>
              </a:schemeClr>
            </a:solidFill>
          </c:spPr>
          <c:invertIfNegative val="0"/>
          <c:dLbls>
            <c:dLbl>
              <c:idx val="0"/>
              <c:layout>
                <c:manualLayout>
                  <c:x val="1.4233131217889111E-2"/>
                  <c:y val="-1.6571428074347867E-2"/>
                </c:manualLayout>
              </c:layout>
              <c:tx>
                <c:rich>
                  <a:bodyPr/>
                  <a:lstStyle/>
                  <a:p>
                    <a:r>
                      <a:rPr lang="en-US"/>
                      <a:t>0.61%</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1349696826833606E-2"/>
                  <c:y val="-1.6571428074347867E-2"/>
                </c:manualLayout>
              </c:layout>
              <c:tx>
                <c:rich>
                  <a:bodyPr/>
                  <a:lstStyle/>
                  <a:p>
                    <a:r>
                      <a:rPr lang="en-US"/>
                      <a:t>0.60%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1349696826833606E-2"/>
                  <c:y val="-1.3809523395289947E-2"/>
                </c:manualLayout>
              </c:layout>
              <c:tx>
                <c:rich>
                  <a:bodyPr/>
                  <a:lstStyle/>
                  <a:p>
                    <a:r>
                      <a:rPr lang="en-US"/>
                      <a:t>0.61%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6094073899463388E-2"/>
                  <c:y val="-1.1047618716231909E-2"/>
                </c:manualLayout>
              </c:layout>
              <c:tx>
                <c:rich>
                  <a:bodyPr/>
                  <a:lstStyle/>
                  <a:p>
                    <a:r>
                      <a:rPr lang="en-US"/>
                      <a:t>0.63%</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2.1349696826833606E-2"/>
                  <c:y val="-1.3809523395289947E-2"/>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3721885363148423E-2"/>
                  <c:y val="-1.3809523395289947E-2"/>
                </c:manualLayout>
              </c:layout>
              <c:tx>
                <c:rich>
                  <a:bodyPr/>
                  <a:lstStyle/>
                  <a:p>
                    <a:pPr>
                      <a:defRPr sz="12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(Mod.)'!$L$3:$L$8</c:f>
              <c:numCache>
                <c:formatCode>_(* #,##0_);_(* \(#,##0\);_(* "-"??_);_(@_)</c:formatCode>
                <c:ptCount val="6"/>
                <c:pt idx="0">
                  <c:v>27351</c:v>
                </c:pt>
                <c:pt idx="1">
                  <c:v>27293</c:v>
                </c:pt>
                <c:pt idx="2">
                  <c:v>27749</c:v>
                </c:pt>
                <c:pt idx="3">
                  <c:v>28683</c:v>
                </c:pt>
                <c:pt idx="4">
                  <c:v>28783</c:v>
                </c:pt>
                <c:pt idx="5">
                  <c:v>29354</c:v>
                </c:pt>
              </c:numCache>
            </c:numRef>
          </c:val>
        </c:ser>
        <c:dLbls>
          <c:showLegendKey val="0"/>
          <c:showVal val="0"/>
          <c:showCatName val="0"/>
          <c:showSerName val="0"/>
          <c:showPercent val="0"/>
          <c:showBubbleSize val="0"/>
        </c:dLbls>
        <c:gapWidth val="18"/>
        <c:shape val="cylinder"/>
        <c:axId val="242521632"/>
        <c:axId val="242522024"/>
        <c:axId val="0"/>
      </c:bar3DChart>
      <c:dateAx>
        <c:axId val="242521632"/>
        <c:scaling>
          <c:orientation val="minMax"/>
        </c:scaling>
        <c:delete val="0"/>
        <c:axPos val="b"/>
        <c:numFmt formatCode="mmm\-yy" sourceLinked="0"/>
        <c:majorTickMark val="none"/>
        <c:minorTickMark val="none"/>
        <c:tickLblPos val="nextTo"/>
        <c:crossAx val="242522024"/>
        <c:crosses val="autoZero"/>
        <c:auto val="1"/>
        <c:lblOffset val="100"/>
        <c:baseTimeUnit val="months"/>
      </c:dateAx>
      <c:valAx>
        <c:axId val="242522024"/>
        <c:scaling>
          <c:orientation val="minMax"/>
        </c:scaling>
        <c:delete val="1"/>
        <c:axPos val="l"/>
        <c:numFmt formatCode="_(* #,##0_);_(* \(#,##0\);_(* &quot;-&quot;??_);_(@_)" sourceLinked="1"/>
        <c:majorTickMark val="out"/>
        <c:minorTickMark val="none"/>
        <c:tickLblPos val="nextTo"/>
        <c:crossAx val="242521632"/>
        <c:crosses val="autoZero"/>
        <c:crossBetween val="between"/>
      </c:valAx>
      <c:spPr>
        <a:noFill/>
        <a:ln w="25400">
          <a:noFill/>
        </a:ln>
      </c:spPr>
    </c:plotArea>
    <c:legend>
      <c:legendPos val="b"/>
      <c:layout>
        <c:manualLayout>
          <c:xMode val="edge"/>
          <c:yMode val="edge"/>
          <c:x val="3.5766818621356541E-2"/>
          <c:y val="3.6730667845784937E-2"/>
          <c:w val="0.9"/>
          <c:h val="5.0062413904525427E-2"/>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225506671324162E-2"/>
          <c:y val="0.17222276628736471"/>
          <c:w val="0.96475837091857564"/>
          <c:h val="0.64211167207080999"/>
        </c:manualLayout>
      </c:layout>
      <c:bar3DChart>
        <c:barDir val="col"/>
        <c:grouping val="clustered"/>
        <c:varyColors val="0"/>
        <c:ser>
          <c:idx val="0"/>
          <c:order val="0"/>
          <c:tx>
            <c:strRef>
              <c:f>'VI.4.6 Discap. temporal ARL'!$B$5</c:f>
              <c:strCache>
                <c:ptCount val="1"/>
                <c:pt idx="0">
                  <c:v> Subsidio Pagado Por Discapacidad Temporal</c:v>
                </c:pt>
              </c:strCache>
            </c:strRef>
          </c:tx>
          <c:invertIfNegative val="0"/>
          <c:dLbls>
            <c:dLbl>
              <c:idx val="0"/>
              <c:layout>
                <c:manualLayout>
                  <c:x val="0"/>
                  <c:y val="-1.276595744680854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81829596699012E-3"/>
                  <c:y val="-1.702127659574467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55319148936170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914893617021276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281829596699012E-3"/>
                  <c:y val="-2.127659574468084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140914798349506E-3"/>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8.5106382978723267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4365849440605182E-17"/>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70212765957446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2.1276595744680847E-2"/>
                </c:manualLayout>
              </c:layout>
              <c:showLegendKey val="0"/>
              <c:showVal val="1"/>
              <c:showCatName val="0"/>
              <c:showSerName val="0"/>
              <c:showPercent val="0"/>
              <c:showBubbleSize val="0"/>
              <c:extLst>
                <c:ext xmlns:c15="http://schemas.microsoft.com/office/drawing/2012/chart" uri="{CE6537A1-D6FC-4f65-9D91-7224C49458BB}"/>
              </c:extLst>
            </c:dLbl>
            <c:numFmt formatCode="_(* #,##0_);_(* \(#,##0\);_(* &quot;-&quot;_);_(@_)" sourceLinked="0"/>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'VI.4.6 Discap. temporal ARL'!$A$6:$A$16</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'VI.4.6 Discap. temporal ARL'!$B$6:$B$16</c:f>
              <c:numCache>
                <c:formatCode>_(* #,##0_);_(* \(#,##0\);_(* "-"??_);_(@_)</c:formatCode>
                <c:ptCount val="11"/>
                <c:pt idx="0">
                  <c:v>542</c:v>
                </c:pt>
                <c:pt idx="1">
                  <c:v>963</c:v>
                </c:pt>
                <c:pt idx="2">
                  <c:v>1084</c:v>
                </c:pt>
                <c:pt idx="3">
                  <c:v>1057</c:v>
                </c:pt>
                <c:pt idx="4">
                  <c:v>1156</c:v>
                </c:pt>
                <c:pt idx="5">
                  <c:v>1275</c:v>
                </c:pt>
                <c:pt idx="6">
                  <c:v>1187</c:v>
                </c:pt>
                <c:pt idx="7">
                  <c:v>1708</c:v>
                </c:pt>
                <c:pt idx="8">
                  <c:v>1085</c:v>
                </c:pt>
                <c:pt idx="9">
                  <c:v>1477</c:v>
                </c:pt>
                <c:pt idx="10">
                  <c:v>1032</c:v>
                </c:pt>
              </c:numCache>
            </c:numRef>
          </c:val>
        </c:ser>
        <c:ser>
          <c:idx val="1"/>
          <c:order val="1"/>
          <c:tx>
            <c:strRef>
              <c:f>'VI.4.6 Discap. temporal ARL'!$C$5</c:f>
              <c:strCache>
                <c:ptCount val="1"/>
                <c:pt idx="0">
                  <c:v> Pago Promedio </c:v>
                </c:pt>
              </c:strCache>
            </c:strRef>
          </c:tx>
          <c:spPr>
            <a:solidFill>
              <a:srgbClr val="00B050"/>
            </a:solidFill>
          </c:spPr>
          <c:invertIfNegative val="0"/>
          <c:dLbls>
            <c:dLbl>
              <c:idx val="0"/>
              <c:layout>
                <c:manualLayout>
                  <c:x val="0"/>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81829596699012E-3"/>
                  <c:y val="-1.91489361702127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702127659574467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04573991750034E-3"/>
                  <c:y val="-2.340425531914893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0281829596699012E-3"/>
                  <c:y val="-1.914893617021276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2.340425531914893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914893617021276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489361702127649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2.765957446808521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281829596699012E-3"/>
                  <c:y val="-3.19148936170213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'VI.4.6 Discap. temporal ARL'!$A$6:$A$16</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'VI.4.6 Discap. temporal ARL'!$C$6:$C$16</c:f>
              <c:numCache>
                <c:formatCode>_(* #,##0.00_);_(* \(#,##0.00\);_(* "-"??_);_(@_)</c:formatCode>
                <c:ptCount val="11"/>
                <c:pt idx="0">
                  <c:v>7147.8413284132839</c:v>
                </c:pt>
                <c:pt idx="1">
                  <c:v>6727.2637590861887</c:v>
                </c:pt>
                <c:pt idx="2">
                  <c:v>9070.9151291512917</c:v>
                </c:pt>
                <c:pt idx="3">
                  <c:v>8336.9082308420057</c:v>
                </c:pt>
                <c:pt idx="4">
                  <c:v>8132.0493079584776</c:v>
                </c:pt>
                <c:pt idx="5">
                  <c:v>6523.5647058823533</c:v>
                </c:pt>
                <c:pt idx="6">
                  <c:v>7298.6630160067398</c:v>
                </c:pt>
                <c:pt idx="7">
                  <c:v>6591.3758782201403</c:v>
                </c:pt>
                <c:pt idx="8">
                  <c:v>7169.0838709677419</c:v>
                </c:pt>
                <c:pt idx="9">
                  <c:v>6771.2024373730537</c:v>
                </c:pt>
                <c:pt idx="10">
                  <c:v>6552.7664728682166</c:v>
                </c:pt>
              </c:numCache>
            </c:numRef>
          </c:val>
        </c:ser>
        <c:dLbls>
          <c:showLegendKey val="0"/>
          <c:showVal val="0"/>
          <c:showCatName val="0"/>
          <c:showSerName val="0"/>
          <c:showPercent val="0"/>
          <c:showBubbleSize val="0"/>
        </c:dLbls>
        <c:gapWidth val="75"/>
        <c:shape val="cylinder"/>
        <c:axId val="293023032"/>
        <c:axId val="293023424"/>
        <c:axId val="0"/>
      </c:bar3DChart>
      <c:catAx>
        <c:axId val="293023032"/>
        <c:scaling>
          <c:orientation val="minMax"/>
        </c:scaling>
        <c:delete val="0"/>
        <c:axPos val="b"/>
        <c:numFmt formatCode="General" sourceLinked="1"/>
        <c:majorTickMark val="none"/>
        <c:minorTickMark val="none"/>
        <c:tickLblPos val="nextTo"/>
        <c:txPr>
          <a:bodyPr/>
          <a:lstStyle/>
          <a:p>
            <a:pPr>
              <a:defRPr lang="en-US" sz="1200"/>
            </a:pPr>
            <a:endParaRPr lang="es-ES"/>
          </a:p>
        </c:txPr>
        <c:crossAx val="293023424"/>
        <c:crosses val="autoZero"/>
        <c:auto val="1"/>
        <c:lblAlgn val="ctr"/>
        <c:lblOffset val="100"/>
        <c:noMultiLvlLbl val="0"/>
      </c:catAx>
      <c:valAx>
        <c:axId val="293023424"/>
        <c:scaling>
          <c:orientation val="minMax"/>
        </c:scaling>
        <c:delete val="0"/>
        <c:axPos val="l"/>
        <c:numFmt formatCode="_(* #,##0_);_(* \(#,##0\);_(* &quot;-&quot;??_);_(@_)" sourceLinked="1"/>
        <c:majorTickMark val="none"/>
        <c:minorTickMark val="none"/>
        <c:tickLblPos val="none"/>
        <c:spPr>
          <a:ln w="9525">
            <a:noFill/>
          </a:ln>
        </c:spPr>
        <c:txPr>
          <a:bodyPr/>
          <a:lstStyle/>
          <a:p>
            <a:pPr>
              <a:defRPr lang="en-US"/>
            </a:pPr>
            <a:endParaRPr lang="es-ES"/>
          </a:p>
        </c:txPr>
        <c:crossAx val="293023032"/>
        <c:crosses val="autoZero"/>
        <c:crossBetween val="between"/>
      </c:valAx>
      <c:spPr>
        <a:noFill/>
        <a:ln w="25400">
          <a:noFill/>
        </a:ln>
      </c:spPr>
    </c:plotArea>
    <c:legend>
      <c:legendPos val="b"/>
      <c:layout>
        <c:manualLayout>
          <c:xMode val="edge"/>
          <c:yMode val="edge"/>
          <c:x val="0.16461694920697348"/>
          <c:y val="6.7727471124310878E-2"/>
          <c:w val="0.5832714646421201"/>
          <c:h val="3.6346624671916003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397513409397357E-3"/>
          <c:y val="0.14279596382283252"/>
          <c:w val="0.99803325602909931"/>
          <c:h val="0.71884882459649824"/>
        </c:manualLayout>
      </c:layout>
      <c:bar3DChart>
        <c:barDir val="col"/>
        <c:grouping val="clustered"/>
        <c:varyColors val="0"/>
        <c:ser>
          <c:idx val="0"/>
          <c:order val="0"/>
          <c:tx>
            <c:strRef>
              <c:f>'VI.4.7 Indemniz.ARL'!$B$4</c:f>
              <c:strCache>
                <c:ptCount val="1"/>
                <c:pt idx="0">
                  <c:v>No. de Indemnizaciones  </c:v>
                </c:pt>
              </c:strCache>
            </c:strRef>
          </c:tx>
          <c:invertIfNegative val="0"/>
          <c:dLbls>
            <c:dLbl>
              <c:idx val="0"/>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1921578907410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65476136783961E-3"/>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30952273568092E-3"/>
                  <c:y val="-2.501421709977064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165476136783961E-3"/>
                  <c:y val="-2.274019736342645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6441184180564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165476136783961E-3"/>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'VI.4.7 Indemniz.ARL'!$A$5:$A$15</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'VI.4.7 Indemniz.ARL'!$B$5:$B$15</c:f>
              <c:numCache>
                <c:formatCode>_(* #,##0_);_(* \(#,##0\);_(* "-"??_);_(@_)</c:formatCode>
                <c:ptCount val="11"/>
                <c:pt idx="0">
                  <c:v>23</c:v>
                </c:pt>
                <c:pt idx="1">
                  <c:v>11</c:v>
                </c:pt>
                <c:pt idx="2">
                  <c:v>3</c:v>
                </c:pt>
                <c:pt idx="3">
                  <c:v>1</c:v>
                </c:pt>
                <c:pt idx="4">
                  <c:v>1</c:v>
                </c:pt>
                <c:pt idx="5">
                  <c:v>22</c:v>
                </c:pt>
                <c:pt idx="6">
                  <c:v>19</c:v>
                </c:pt>
                <c:pt idx="7">
                  <c:v>37</c:v>
                </c:pt>
                <c:pt idx="8">
                  <c:v>1</c:v>
                </c:pt>
                <c:pt idx="9">
                  <c:v>34</c:v>
                </c:pt>
                <c:pt idx="10">
                  <c:v>18</c:v>
                </c:pt>
              </c:numCache>
            </c:numRef>
          </c:val>
        </c:ser>
        <c:ser>
          <c:idx val="1"/>
          <c:order val="1"/>
          <c:tx>
            <c:strRef>
              <c:f>'VI.4.7 Indemniz.ARL'!$C$4</c:f>
              <c:strCache>
                <c:ptCount val="1"/>
                <c:pt idx="0">
                  <c:v> Pago Promedio </c:v>
                </c:pt>
              </c:strCache>
            </c:strRef>
          </c:tx>
          <c:spPr>
            <a:solidFill>
              <a:srgbClr val="00B050"/>
            </a:solidFill>
          </c:spPr>
          <c:invertIfNegative val="0"/>
          <c:dLbls>
            <c:dLbl>
              <c:idx val="0"/>
              <c:layout>
                <c:manualLayout>
                  <c:x val="2.2330952273568092E-3"/>
                  <c:y val="-1.137009868171336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4661776270850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30952273568092E-3"/>
                  <c:y val="-1.13700986817133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496428410351819E-3"/>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165476136783961E-3"/>
                  <c:y val="-2.274019736342645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165476136783961E-3"/>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1879212460778087E-17"/>
                  <c:y val="-1.364411841805646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2330952273568092E-3"/>
                  <c:y val="-1.364411841805649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1879212460778087E-17"/>
                  <c:y val="-1.591813815439841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13700986817133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'VI.4.7 Indemniz.ARL'!$A$5:$A$15</c:f>
              <c:strCache>
                <c:ptCount val="11"/>
                <c:pt idx="0">
                  <c:v>Ene. 09</c:v>
                </c:pt>
                <c:pt idx="1">
                  <c:v>Feb. 09</c:v>
                </c:pt>
                <c:pt idx="2">
                  <c:v>Mar. 09</c:v>
                </c:pt>
                <c:pt idx="3">
                  <c:v>Abr. 09</c:v>
                </c:pt>
                <c:pt idx="4">
                  <c:v>May. 09</c:v>
                </c:pt>
                <c:pt idx="5">
                  <c:v>Jun. 09</c:v>
                </c:pt>
                <c:pt idx="6">
                  <c:v>Jul. 09</c:v>
                </c:pt>
                <c:pt idx="7">
                  <c:v>Ago. 09</c:v>
                </c:pt>
                <c:pt idx="8">
                  <c:v>Sep. 09</c:v>
                </c:pt>
                <c:pt idx="9">
                  <c:v>Oct. 09</c:v>
                </c:pt>
                <c:pt idx="10">
                  <c:v>Nov. 09</c:v>
                </c:pt>
              </c:strCache>
            </c:strRef>
          </c:cat>
          <c:val>
            <c:numRef>
              <c:f>'VI.4.7 Indemniz.ARL'!$C$5:$C$15</c:f>
              <c:numCache>
                <c:formatCode>_(* #,##0.00_);_(* \(#,##0.00\);_(* "-"??_);_(@_)</c:formatCode>
                <c:ptCount val="11"/>
                <c:pt idx="0">
                  <c:v>53178.03391304348</c:v>
                </c:pt>
                <c:pt idx="1">
                  <c:v>55908.727272727272</c:v>
                </c:pt>
                <c:pt idx="2">
                  <c:v>68808.666666666672</c:v>
                </c:pt>
                <c:pt idx="3">
                  <c:v>46875</c:v>
                </c:pt>
                <c:pt idx="4">
                  <c:v>38255</c:v>
                </c:pt>
                <c:pt idx="5">
                  <c:v>50877.727272727272</c:v>
                </c:pt>
                <c:pt idx="6">
                  <c:v>56671.26315789474</c:v>
                </c:pt>
                <c:pt idx="7">
                  <c:v>69492.621621621627</c:v>
                </c:pt>
                <c:pt idx="8">
                  <c:v>98000</c:v>
                </c:pt>
                <c:pt idx="9">
                  <c:v>62239.51176470588</c:v>
                </c:pt>
                <c:pt idx="10">
                  <c:v>62219.444444444445</c:v>
                </c:pt>
              </c:numCache>
            </c:numRef>
          </c:val>
        </c:ser>
        <c:dLbls>
          <c:showLegendKey val="0"/>
          <c:showVal val="0"/>
          <c:showCatName val="0"/>
          <c:showSerName val="0"/>
          <c:showPercent val="0"/>
          <c:showBubbleSize val="0"/>
        </c:dLbls>
        <c:gapWidth val="75"/>
        <c:shape val="cylinder"/>
        <c:axId val="293024208"/>
        <c:axId val="293024600"/>
        <c:axId val="0"/>
      </c:bar3DChart>
      <c:catAx>
        <c:axId val="293024208"/>
        <c:scaling>
          <c:orientation val="minMax"/>
        </c:scaling>
        <c:delete val="0"/>
        <c:axPos val="b"/>
        <c:numFmt formatCode="General" sourceLinked="1"/>
        <c:majorTickMark val="none"/>
        <c:minorTickMark val="none"/>
        <c:tickLblPos val="nextTo"/>
        <c:txPr>
          <a:bodyPr/>
          <a:lstStyle/>
          <a:p>
            <a:pPr>
              <a:defRPr lang="en-US" sz="1800"/>
            </a:pPr>
            <a:endParaRPr lang="es-ES"/>
          </a:p>
        </c:txPr>
        <c:crossAx val="293024600"/>
        <c:crosses val="autoZero"/>
        <c:auto val="1"/>
        <c:lblAlgn val="ctr"/>
        <c:lblOffset val="100"/>
        <c:noMultiLvlLbl val="0"/>
      </c:catAx>
      <c:valAx>
        <c:axId val="293024600"/>
        <c:scaling>
          <c:orientation val="minMax"/>
        </c:scaling>
        <c:delete val="0"/>
        <c:axPos val="l"/>
        <c:numFmt formatCode="_(* #,##0_);_(* \(#,##0\);_(* &quot;-&quot;??_);_(@_)" sourceLinked="1"/>
        <c:majorTickMark val="none"/>
        <c:minorTickMark val="none"/>
        <c:tickLblPos val="none"/>
        <c:spPr>
          <a:ln w="9525">
            <a:noFill/>
          </a:ln>
        </c:spPr>
        <c:txPr>
          <a:bodyPr/>
          <a:lstStyle/>
          <a:p>
            <a:pPr>
              <a:defRPr lang="en-US"/>
            </a:pPr>
            <a:endParaRPr lang="es-ES"/>
          </a:p>
        </c:txPr>
        <c:crossAx val="293024208"/>
        <c:crosses val="autoZero"/>
        <c:crossBetween val="between"/>
      </c:valAx>
      <c:spPr>
        <a:noFill/>
        <a:ln w="25400">
          <a:noFill/>
        </a:ln>
      </c:spPr>
    </c:plotArea>
    <c:legend>
      <c:legendPos val="b"/>
      <c:layout>
        <c:manualLayout>
          <c:xMode val="edge"/>
          <c:yMode val="edge"/>
          <c:x val="0.3512246184054289"/>
          <c:y val="4.4226307046096085E-2"/>
          <c:w val="0.30885600125595086"/>
          <c:h val="4.7001346101034104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Cantidad de Beneficiarios Pensiones SRL</a:t>
            </a:r>
          </a:p>
        </c:rich>
      </c:tx>
      <c:layout>
        <c:manualLayout>
          <c:xMode val="edge"/>
          <c:yMode val="edge"/>
          <c:x val="0.21367074157742105"/>
          <c:y val="3.1305475332520802E-2"/>
        </c:manualLayout>
      </c:layout>
      <c:overlay val="0"/>
    </c:title>
    <c:autoTitleDeleted val="0"/>
    <c:view3D>
      <c:rotX val="50"/>
      <c:rotY val="100"/>
      <c:rAngAx val="0"/>
    </c:view3D>
    <c:floor>
      <c:thickness val="0"/>
    </c:floor>
    <c:sideWall>
      <c:thickness val="0"/>
    </c:sideWall>
    <c:backWall>
      <c:thickness val="0"/>
    </c:backWall>
    <c:plotArea>
      <c:layout>
        <c:manualLayout>
          <c:layoutTarget val="inner"/>
          <c:xMode val="edge"/>
          <c:yMode val="edge"/>
          <c:x val="8.1879881314976449E-2"/>
          <c:y val="0.16428547771713212"/>
          <c:w val="0.76629187249446173"/>
          <c:h val="0.71977886042075145"/>
        </c:manualLayout>
      </c:layout>
      <c:pie3DChart>
        <c:varyColors val="1"/>
        <c:ser>
          <c:idx val="0"/>
          <c:order val="0"/>
          <c:explosion val="23"/>
          <c:dPt>
            <c:idx val="0"/>
            <c:bubble3D val="0"/>
            <c:explosion val="11"/>
            <c:spPr>
              <a:solidFill>
                <a:schemeClr val="accent6">
                  <a:lumMod val="75000"/>
                </a:schemeClr>
              </a:solidFill>
            </c:spPr>
          </c:dPt>
          <c:dPt>
            <c:idx val="1"/>
            <c:bubble3D val="0"/>
            <c:spPr>
              <a:solidFill>
                <a:schemeClr val="accent5">
                  <a:lumMod val="50000"/>
                </a:schemeClr>
              </a:solidFill>
            </c:spPr>
          </c:dPt>
          <c:dLbls>
            <c:dLbl>
              <c:idx val="0"/>
              <c:layout>
                <c:manualLayout>
                  <c:x val="-5.5899456490079345E-2"/>
                  <c:y val="1.0166810785680309E-2"/>
                </c:manualLayout>
              </c:layout>
              <c:tx>
                <c:rich>
                  <a:bodyPr/>
                  <a:lstStyle/>
                  <a:p>
                    <a:r>
                      <a:rPr lang="en-US" sz="1400" b="1"/>
                      <a:t>Discapacidad</a:t>
                    </a:r>
                  </a:p>
                  <a:p>
                    <a:r>
                      <a:rPr lang="en-US" sz="1400" b="1"/>
                      <a:t>217</a:t>
                    </a:r>
                  </a:p>
                  <a:p>
                    <a:r>
                      <a:rPr lang="en-US" sz="1400" b="1"/>
                      <a:t>33%</a:t>
                    </a:r>
                    <a:endParaRPr lang="en-US"/>
                  </a:p>
                </c:rich>
              </c:tx>
              <c:dLblPos val="bestFit"/>
              <c:showLegendKey val="1"/>
              <c:showVal val="0"/>
              <c:showCatName val="0"/>
              <c:showSerName val="0"/>
              <c:showPercent val="0"/>
              <c:showBubbleSize val="0"/>
              <c:extLst>
                <c:ext xmlns:c15="http://schemas.microsoft.com/office/drawing/2012/chart" uri="{CE6537A1-D6FC-4f65-9D91-7224C49458BB}"/>
              </c:extLst>
            </c:dLbl>
            <c:dLbl>
              <c:idx val="1"/>
              <c:layout>
                <c:manualLayout>
                  <c:x val="-7.3727732404373927E-4"/>
                  <c:y val="2.0654389239967851E-3"/>
                </c:manualLayout>
              </c:layout>
              <c:tx>
                <c:rich>
                  <a:bodyPr/>
                  <a:lstStyle/>
                  <a:p>
                    <a:r>
                      <a:rPr lang="en-US" sz="1400" b="1"/>
                      <a:t>Sobrevivencia  440</a:t>
                    </a:r>
                  </a:p>
                  <a:p>
                    <a:r>
                      <a:rPr lang="en-US" sz="1400" b="1"/>
                      <a:t>67%</a:t>
                    </a:r>
                    <a:endParaRPr lang="en-US"/>
                  </a:p>
                </c:rich>
              </c:tx>
              <c:dLblPos val="bestFit"/>
              <c:showLegendKey val="1"/>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b="1"/>
                </a:pPr>
                <a:endParaRPr lang="es-ES"/>
              </a:p>
            </c:txPr>
            <c:showLegendKey val="1"/>
            <c:showVal val="1"/>
            <c:showCatName val="1"/>
            <c:showSerName val="0"/>
            <c:showPercent val="1"/>
            <c:showBubbleSize val="0"/>
            <c:showLeaderLines val="1"/>
            <c:extLst>
              <c:ext xmlns:c15="http://schemas.microsoft.com/office/drawing/2012/chart" uri="{CE6537A1-D6FC-4f65-9D91-7224C49458BB}"/>
            </c:extLst>
          </c:dLbls>
          <c:cat>
            <c:strRef>
              <c:f>'VI.4.8 Remuneración SRL'!$A$4:$B$4</c:f>
              <c:strCache>
                <c:ptCount val="2"/>
                <c:pt idx="0">
                  <c:v>Discapacidad</c:v>
                </c:pt>
                <c:pt idx="1">
                  <c:v>Sobrevivencia</c:v>
                </c:pt>
              </c:strCache>
            </c:strRef>
          </c:cat>
          <c:val>
            <c:numRef>
              <c:f>'VI.4.8 Remuneración SRL'!$A$5:$B$5</c:f>
              <c:numCache>
                <c:formatCode>_(* #,##0_);_(* \(#,##0\);_(* "-"??_);_(@_)</c:formatCode>
                <c:ptCount val="2"/>
                <c:pt idx="0">
                  <c:v>217</c:v>
                </c:pt>
                <c:pt idx="1">
                  <c:v>440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Cantidad de beneficiarios de Sobrevivencia por tipo de Remuneración</a:t>
            </a:r>
          </a:p>
        </c:rich>
      </c:tx>
      <c:layout>
        <c:manualLayout>
          <c:xMode val="edge"/>
          <c:yMode val="edge"/>
          <c:x val="0.11689940603829441"/>
          <c:y val="2.3207964882667131E-2"/>
        </c:manualLayout>
      </c:layout>
      <c:overlay val="0"/>
    </c:title>
    <c:autoTitleDeleted val="0"/>
    <c:view3D>
      <c:rotX val="50"/>
      <c:rotY val="230"/>
      <c:rAngAx val="0"/>
    </c:view3D>
    <c:floor>
      <c:thickness val="0"/>
    </c:floor>
    <c:sideWall>
      <c:thickness val="0"/>
    </c:sideWall>
    <c:backWall>
      <c:thickness val="0"/>
    </c:backWall>
    <c:plotArea>
      <c:layout>
        <c:manualLayout>
          <c:layoutTarget val="inner"/>
          <c:xMode val="edge"/>
          <c:yMode val="edge"/>
          <c:x val="0.10447942008083952"/>
          <c:y val="0.2651354622113789"/>
          <c:w val="0.6059373398865211"/>
          <c:h val="0.56656719918688603"/>
        </c:manualLayout>
      </c:layout>
      <c:pie3DChart>
        <c:varyColors val="1"/>
        <c:ser>
          <c:idx val="0"/>
          <c:order val="0"/>
          <c:explosion val="18"/>
          <c:dPt>
            <c:idx val="0"/>
            <c:bubble3D val="0"/>
          </c:dPt>
          <c:dPt>
            <c:idx val="1"/>
            <c:bubble3D val="0"/>
            <c:spPr>
              <a:solidFill>
                <a:srgbClr val="FFC000"/>
              </a:solidFill>
            </c:spPr>
          </c:dPt>
          <c:dPt>
            <c:idx val="2"/>
            <c:bubble3D val="0"/>
            <c:spPr>
              <a:solidFill>
                <a:schemeClr val="accent4">
                  <a:lumMod val="50000"/>
                </a:schemeClr>
              </a:solidFill>
            </c:spPr>
          </c:dPt>
          <c:dLbls>
            <c:dLbl>
              <c:idx val="0"/>
              <c:layout>
                <c:manualLayout>
                  <c:x val="-3.2660379148718124E-2"/>
                  <c:y val="-4.4542686818103132E-2"/>
                </c:manualLayout>
              </c:layout>
              <c:tx>
                <c:rich>
                  <a:bodyPr/>
                  <a:lstStyle/>
                  <a:p>
                    <a:r>
                      <a:rPr lang="en-US" sz="1400" b="1"/>
                      <a:t>Orfandad</a:t>
                    </a:r>
                  </a:p>
                  <a:p>
                    <a:r>
                      <a:rPr lang="en-US" sz="1400" b="1"/>
                      <a:t> 421 </a:t>
                    </a:r>
                  </a:p>
                  <a:p>
                    <a:r>
                      <a:rPr lang="en-US" sz="1400" b="1"/>
                      <a:t> 54%</a:t>
                    </a:r>
                    <a:endParaRPr lang="en-US"/>
                  </a:p>
                </c:rich>
              </c:tx>
              <c:dLblPos val="bestFit"/>
              <c:showLegendKey val="1"/>
              <c:showVal val="0"/>
              <c:showCatName val="0"/>
              <c:showSerName val="0"/>
              <c:showPercent val="0"/>
              <c:showBubbleSize val="0"/>
              <c:extLst>
                <c:ext xmlns:c15="http://schemas.microsoft.com/office/drawing/2012/chart" uri="{CE6537A1-D6FC-4f65-9D91-7224C49458BB}"/>
              </c:extLst>
            </c:dLbl>
            <c:dLbl>
              <c:idx val="1"/>
              <c:layout>
                <c:manualLayout>
                  <c:x val="1.985023815397461E-2"/>
                  <c:y val="2.0232627605383073E-2"/>
                </c:manualLayout>
              </c:layout>
              <c:tx>
                <c:rich>
                  <a:bodyPr/>
                  <a:lstStyle/>
                  <a:p>
                    <a:r>
                      <a:rPr lang="en-US" sz="1400" b="1"/>
                      <a:t>Viudez de por vida</a:t>
                    </a:r>
                  </a:p>
                  <a:p>
                    <a:r>
                      <a:rPr lang="en-US" sz="1400" b="1"/>
                      <a:t> 19</a:t>
                    </a:r>
                  </a:p>
                  <a:p>
                    <a:r>
                      <a:rPr lang="en-US" sz="1400" b="1"/>
                      <a:t>2%</a:t>
                    </a:r>
                    <a:endParaRPr lang="en-US"/>
                  </a:p>
                </c:rich>
              </c:tx>
              <c:dLblPos val="bestFit"/>
              <c:showLegendKey val="1"/>
              <c:showVal val="0"/>
              <c:showCatName val="0"/>
              <c:showSerName val="0"/>
              <c:showPercent val="0"/>
              <c:showBubbleSize val="0"/>
              <c:extLst>
                <c:ext xmlns:c15="http://schemas.microsoft.com/office/drawing/2012/chart" uri="{CE6537A1-D6FC-4f65-9D91-7224C49458BB}"/>
              </c:extLst>
            </c:dLbl>
            <c:dLbl>
              <c:idx val="2"/>
              <c:layout>
                <c:manualLayout>
                  <c:x val="-0.13977858322105624"/>
                  <c:y val="0.10209382887316744"/>
                </c:manualLayout>
              </c:layout>
              <c:tx>
                <c:rich>
                  <a:bodyPr/>
                  <a:lstStyle/>
                  <a:p>
                    <a:r>
                      <a:rPr lang="en-US" sz="1400" b="1"/>
                      <a:t>Viudez (</a:t>
                    </a:r>
                    <a:r>
                      <a:rPr lang="en-US" sz="1400" b="1" i="0" u="none" strike="noStrike" baseline="0"/>
                      <a:t>Indemnizadas </a:t>
                    </a:r>
                    <a:r>
                      <a:rPr lang="en-US" sz="1400" b="1"/>
                      <a:t>&lt; 45 años= )</a:t>
                    </a:r>
                  </a:p>
                  <a:p>
                    <a:r>
                      <a:rPr lang="en-US" sz="1400" b="1"/>
                      <a:t>  338</a:t>
                    </a:r>
                  </a:p>
                  <a:p>
                    <a:r>
                      <a:rPr lang="en-US" sz="1400" b="1"/>
                      <a:t> 44%</a:t>
                    </a:r>
                    <a:endParaRPr lang="en-US"/>
                  </a:p>
                </c:rich>
              </c:tx>
              <c:dLblPos val="bestFit"/>
              <c:showLegendKey val="1"/>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b="1"/>
                </a:pPr>
                <a:endParaRPr lang="es-ES"/>
              </a:p>
            </c:txPr>
            <c:showLegendKey val="1"/>
            <c:showVal val="1"/>
            <c:showCatName val="1"/>
            <c:showSerName val="0"/>
            <c:showPercent val="1"/>
            <c:showBubbleSize val="0"/>
            <c:showLeaderLines val="1"/>
            <c:extLst>
              <c:ext xmlns:c15="http://schemas.microsoft.com/office/drawing/2012/chart" uri="{CE6537A1-D6FC-4f65-9D91-7224C49458BB}"/>
            </c:extLst>
          </c:dLbls>
          <c:cat>
            <c:strRef>
              <c:f>'VI.4.8 Remuneración SRL'!$F$4:$H$4</c:f>
              <c:strCache>
                <c:ptCount val="3"/>
                <c:pt idx="0">
                  <c:v>Orfandad</c:v>
                </c:pt>
                <c:pt idx="1">
                  <c:v>Viudez de por vida</c:v>
                </c:pt>
                <c:pt idx="2">
                  <c:v>Viudez (Indemnizadas &lt; 45 años= )</c:v>
                </c:pt>
              </c:strCache>
            </c:strRef>
          </c:cat>
          <c:val>
            <c:numRef>
              <c:f>'VI.4.8 Remuneración SRL'!$F$5:$H$5</c:f>
              <c:numCache>
                <c:formatCode>_(* #,##0_);_(* \(#,##0\);_(* "-"??_);_(@_)</c:formatCode>
                <c:ptCount val="3"/>
                <c:pt idx="0">
                  <c:v>421</c:v>
                </c:pt>
                <c:pt idx="1">
                  <c:v>19</c:v>
                </c:pt>
                <c:pt idx="2">
                  <c:v>338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2936514123853333E-3"/>
          <c:y val="0.19462950211071525"/>
          <c:w val="0.96015020399677764"/>
          <c:h val="0.64100346927102547"/>
        </c:manualLayout>
      </c:layout>
      <c:bar3DChart>
        <c:barDir val="col"/>
        <c:grouping val="clustered"/>
        <c:varyColors val="0"/>
        <c:ser>
          <c:idx val="0"/>
          <c:order val="0"/>
          <c:tx>
            <c:strRef>
              <c:f>'VI.4.9 Beneficios SRL'!$B$3</c:f>
              <c:strCache>
                <c:ptCount val="1"/>
                <c:pt idx="0">
                  <c:v>Gastos en Salud</c:v>
                </c:pt>
              </c:strCache>
            </c:strRef>
          </c:tx>
          <c:spPr>
            <a:solidFill>
              <a:schemeClr val="accent5">
                <a:lumMod val="50000"/>
              </a:schemeClr>
            </a:solidFill>
          </c:spPr>
          <c:invertIfNegative val="0"/>
          <c:dLbls>
            <c:dLbl>
              <c:idx val="0"/>
              <c:layout>
                <c:manualLayout>
                  <c:x val="1.6736401673640166E-2"/>
                  <c:y val="-2.52525252525252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13110181311018E-2"/>
                  <c:y val="-2.77777777777777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'VI.4.9 Beneficios SRL'!$A$4:$A$5</c:f>
              <c:strCache>
                <c:ptCount val="2"/>
                <c:pt idx="0">
                  <c:v>Dic.2009</c:v>
                </c:pt>
                <c:pt idx="1">
                  <c:v>Dic.2010</c:v>
                </c:pt>
              </c:strCache>
            </c:strRef>
          </c:cat>
          <c:val>
            <c:numRef>
              <c:f>'VI.4.9 Beneficios SRL'!$B$4:$B$5</c:f>
              <c:numCache>
                <c:formatCode>"RD$"#,##0.00</c:formatCode>
                <c:ptCount val="2"/>
                <c:pt idx="0">
                  <c:v>139932946.46000001</c:v>
                </c:pt>
                <c:pt idx="1">
                  <c:v>195779654.12</c:v>
                </c:pt>
              </c:numCache>
            </c:numRef>
          </c:val>
        </c:ser>
        <c:ser>
          <c:idx val="1"/>
          <c:order val="1"/>
          <c:tx>
            <c:strRef>
              <c:f>'VI.4.9 Beneficios SRL'!$C$3</c:f>
              <c:strCache>
                <c:ptCount val="1"/>
                <c:pt idx="0">
                  <c:v>Subsidios</c:v>
                </c:pt>
              </c:strCache>
            </c:strRef>
          </c:tx>
          <c:invertIfNegative val="0"/>
          <c:dLbls>
            <c:dLbl>
              <c:idx val="0"/>
              <c:layout>
                <c:manualLayout>
                  <c:x val="1.9525801952580194E-2"/>
                  <c:y val="-2.27272727272727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104602510460251E-2"/>
                  <c:y val="-2.77777777777777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'VI.4.9 Beneficios SRL'!$A$4:$A$5</c:f>
              <c:strCache>
                <c:ptCount val="2"/>
                <c:pt idx="0">
                  <c:v>Dic.2009</c:v>
                </c:pt>
                <c:pt idx="1">
                  <c:v>Dic.2010</c:v>
                </c:pt>
              </c:strCache>
            </c:strRef>
          </c:cat>
          <c:val>
            <c:numRef>
              <c:f>'VI.4.9 Beneficios SRL'!$C$4:$C$5</c:f>
              <c:numCache>
                <c:formatCode>"RD$"#,##0.00</c:formatCode>
                <c:ptCount val="2"/>
                <c:pt idx="0">
                  <c:v>99835338.230000004</c:v>
                </c:pt>
                <c:pt idx="1">
                  <c:v>115943293</c:v>
                </c:pt>
              </c:numCache>
            </c:numRef>
          </c:val>
        </c:ser>
        <c:ser>
          <c:idx val="2"/>
          <c:order val="2"/>
          <c:tx>
            <c:strRef>
              <c:f>'VI.4.9 Beneficios SRL'!$D$3</c:f>
              <c:strCache>
                <c:ptCount val="1"/>
                <c:pt idx="0">
                  <c:v>Indemnizaciones</c:v>
                </c:pt>
              </c:strCache>
            </c:strRef>
          </c:tx>
          <c:invertIfNegative val="0"/>
          <c:dLbls>
            <c:dLbl>
              <c:idx val="0"/>
              <c:layout>
                <c:manualLayout>
                  <c:x val="1.496884176606637E-2"/>
                  <c:y val="-2.815850666324550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157506301811284E-2"/>
                  <c:y val="-4.445199950820811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'VI.4.9 Beneficios SRL'!$A$4:$A$5</c:f>
              <c:strCache>
                <c:ptCount val="2"/>
                <c:pt idx="0">
                  <c:v>Dic.2009</c:v>
                </c:pt>
                <c:pt idx="1">
                  <c:v>Dic.2010</c:v>
                </c:pt>
              </c:strCache>
            </c:strRef>
          </c:cat>
          <c:val>
            <c:numRef>
              <c:f>'VI.4.9 Beneficios SRL'!$D$4:$D$5</c:f>
              <c:numCache>
                <c:formatCode>"RD$"#,##0.00</c:formatCode>
                <c:ptCount val="2"/>
                <c:pt idx="0">
                  <c:v>11516600.18</c:v>
                </c:pt>
                <c:pt idx="1">
                  <c:v>10549777</c:v>
                </c:pt>
              </c:numCache>
            </c:numRef>
          </c:val>
        </c:ser>
        <c:ser>
          <c:idx val="3"/>
          <c:order val="3"/>
          <c:tx>
            <c:strRef>
              <c:f>'VI.4.9 Beneficios SRL'!$E$3</c:f>
              <c:strCache>
                <c:ptCount val="1"/>
                <c:pt idx="0">
                  <c:v>Pensiones</c:v>
                </c:pt>
              </c:strCache>
            </c:strRef>
          </c:tx>
          <c:invertIfNegative val="0"/>
          <c:dLbls>
            <c:dLbl>
              <c:idx val="0"/>
              <c:layout>
                <c:manualLayout>
                  <c:x val="2.0547698864374627E-2"/>
                  <c:y val="-2.77776886850447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1867830877575947E-2"/>
                  <c:y val="-4.1355421203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'VI.4.9 Beneficios SRL'!$A$4:$A$5</c:f>
              <c:strCache>
                <c:ptCount val="2"/>
                <c:pt idx="0">
                  <c:v>Dic.2009</c:v>
                </c:pt>
                <c:pt idx="1">
                  <c:v>Dic.2010</c:v>
                </c:pt>
              </c:strCache>
            </c:strRef>
          </c:cat>
          <c:val>
            <c:numRef>
              <c:f>'VI.4.9 Beneficios SRL'!$E$4:$E$5</c:f>
              <c:numCache>
                <c:formatCode>"RD$"#,##0.00</c:formatCode>
                <c:ptCount val="2"/>
                <c:pt idx="0">
                  <c:v>25198302.300000001</c:v>
                </c:pt>
                <c:pt idx="1">
                  <c:v>31770365.190000001</c:v>
                </c:pt>
              </c:numCache>
            </c:numRef>
          </c:val>
        </c:ser>
        <c:dLbls>
          <c:showLegendKey val="0"/>
          <c:showVal val="0"/>
          <c:showCatName val="0"/>
          <c:showSerName val="0"/>
          <c:showPercent val="0"/>
          <c:showBubbleSize val="0"/>
        </c:dLbls>
        <c:gapWidth val="150"/>
        <c:shape val="cylinder"/>
        <c:axId val="293026168"/>
        <c:axId val="293026560"/>
        <c:axId val="0"/>
      </c:bar3DChart>
      <c:catAx>
        <c:axId val="293026168"/>
        <c:scaling>
          <c:orientation val="minMax"/>
        </c:scaling>
        <c:delete val="0"/>
        <c:axPos val="b"/>
        <c:numFmt formatCode="General" sourceLinked="1"/>
        <c:majorTickMark val="none"/>
        <c:minorTickMark val="none"/>
        <c:tickLblPos val="nextTo"/>
        <c:crossAx val="293026560"/>
        <c:crosses val="autoZero"/>
        <c:auto val="1"/>
        <c:lblAlgn val="ctr"/>
        <c:lblOffset val="100"/>
        <c:noMultiLvlLbl val="0"/>
      </c:catAx>
      <c:valAx>
        <c:axId val="293026560"/>
        <c:scaling>
          <c:orientation val="minMax"/>
        </c:scaling>
        <c:delete val="1"/>
        <c:axPos val="l"/>
        <c:numFmt formatCode="&quot;RD$&quot;#,##0.00" sourceLinked="1"/>
        <c:majorTickMark val="out"/>
        <c:minorTickMark val="none"/>
        <c:tickLblPos val="nextTo"/>
        <c:crossAx val="293026168"/>
        <c:crosses val="autoZero"/>
        <c:crossBetween val="between"/>
        <c:dispUnits>
          <c:builtInUnit val="thousands"/>
          <c:dispUnitsLbl>
            <c:layout>
              <c:manualLayout>
                <c:xMode val="edge"/>
                <c:yMode val="edge"/>
                <c:x val="6.8179452252012801E-3"/>
                <c:y val="0.47007389613021539"/>
              </c:manualLayout>
            </c:layout>
          </c:dispUnitsLbl>
        </c:dispUnits>
      </c:valAx>
    </c:plotArea>
    <c:legend>
      <c:legendPos val="t"/>
      <c:layout>
        <c:manualLayout>
          <c:xMode val="edge"/>
          <c:yMode val="edge"/>
          <c:x val="0.11571695122268133"/>
          <c:y val="5.074957835593745E-2"/>
          <c:w val="0.78133364517554116"/>
          <c:h val="7.3501077131142706E-2"/>
        </c:manualLayout>
      </c:layout>
      <c:overlay val="0"/>
      <c:txPr>
        <a:bodyPr/>
        <a:lstStyle/>
        <a:p>
          <a:pPr>
            <a:defRPr sz="1100"/>
          </a:pPr>
          <a:endParaRPr lang="es-ES"/>
        </a:p>
      </c:txPr>
    </c:legend>
    <c:plotVisOnly val="1"/>
    <c:dispBlanksAs val="gap"/>
    <c:showDLblsOverMax val="0"/>
  </c:chart>
  <c:spPr>
    <a:ln>
      <a:noFill/>
    </a:ln>
  </c:spPr>
  <c:printSettings>
    <c:headerFooter/>
    <c:pageMargins b="0.7480314960630039" l="0.70866141732284593" r="0.70866141732284593" t="0.7480314960630039" header="0.31496062992126883" footer="0.31496062992126883"/>
    <c:pageSetup orientation="landscape"/>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0"/>
      <c:depthPercent val="100"/>
      <c:rAngAx val="0"/>
      <c:perspective val="0"/>
    </c:view3D>
    <c:floor>
      <c:thickness val="0"/>
      <c:spPr>
        <a:scene3d>
          <a:camera prst="orthographicFront"/>
          <a:lightRig rig="threePt" dir="t"/>
        </a:scene3d>
        <a:sp3d>
          <a:contourClr>
            <a:srgbClr val="000000"/>
          </a:contourClr>
        </a:sp3d>
      </c:spPr>
    </c:floor>
    <c:sideWall>
      <c:thickness val="0"/>
    </c:sideWall>
    <c:backWall>
      <c:thickness val="0"/>
    </c:backWall>
    <c:plotArea>
      <c:layout>
        <c:manualLayout>
          <c:layoutTarget val="inner"/>
          <c:xMode val="edge"/>
          <c:yMode val="edge"/>
          <c:x val="1.7280478812725136E-2"/>
          <c:y val="0.18964909086697035"/>
          <c:w val="0.96562726454802461"/>
          <c:h val="0.60451342211826042"/>
        </c:manualLayout>
      </c:layout>
      <c:bar3DChart>
        <c:barDir val="col"/>
        <c:grouping val="clustered"/>
        <c:varyColors val="0"/>
        <c:ser>
          <c:idx val="0"/>
          <c:order val="0"/>
          <c:tx>
            <c:strRef>
              <c:f>'VII.1 CMR'!$B$3</c:f>
              <c:strCache>
                <c:ptCount val="1"/>
                <c:pt idx="0">
                  <c:v> Solicitudes de Evaluación</c:v>
                </c:pt>
              </c:strCache>
            </c:strRef>
          </c:tx>
          <c:spPr>
            <a:ln>
              <a:solidFill>
                <a:schemeClr val="accent5">
                  <a:lumMod val="75000"/>
                </a:schemeClr>
              </a:solidFill>
            </a:ln>
            <a:effectLst/>
          </c:spPr>
          <c:invertIfNegative val="0"/>
          <c:dLbls>
            <c:dLbl>
              <c:idx val="0"/>
              <c:layout>
                <c:manualLayout>
                  <c:x val="0"/>
                  <c:y val="-2.510034602347839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19177453806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640811766622721E-3"/>
                  <c:y val="-2.08340449724512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62688439509449E-3"/>
                  <c:y val="-2.03630216740081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253321772865706E-3"/>
                  <c:y val="-3.4131040014110041E-2"/>
                </c:manualLayout>
              </c:layout>
              <c:numFmt formatCode="#,##0" sourceLinked="0"/>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CMR'!$A$4:$A$8</c:f>
              <c:strCache>
                <c:ptCount val="5"/>
                <c:pt idx="0">
                  <c:v>2008    </c:v>
                </c:pt>
                <c:pt idx="1">
                  <c:v>2009</c:v>
                </c:pt>
                <c:pt idx="2">
                  <c:v>2010</c:v>
                </c:pt>
                <c:pt idx="3">
                  <c:v>2011</c:v>
                </c:pt>
                <c:pt idx="4">
                  <c:v>Mar.12</c:v>
                </c:pt>
              </c:strCache>
            </c:strRef>
          </c:cat>
          <c:val>
            <c:numRef>
              <c:f>'VII.1 CMR'!$B$4:$B$8</c:f>
              <c:numCache>
                <c:formatCode>#,##0</c:formatCode>
                <c:ptCount val="5"/>
                <c:pt idx="0">
                  <c:v>107</c:v>
                </c:pt>
                <c:pt idx="1">
                  <c:v>1018</c:v>
                </c:pt>
                <c:pt idx="2">
                  <c:v>1500</c:v>
                </c:pt>
                <c:pt idx="3">
                  <c:v>2058</c:v>
                </c:pt>
                <c:pt idx="4">
                  <c:v>468</c:v>
                </c:pt>
              </c:numCache>
            </c:numRef>
          </c:val>
        </c:ser>
        <c:ser>
          <c:idx val="1"/>
          <c:order val="1"/>
          <c:tx>
            <c:strRef>
              <c:f>'VII.1 CMR'!$C$3</c:f>
              <c:strCache>
                <c:ptCount val="1"/>
                <c:pt idx="0">
                  <c:v>Dictámenes </c:v>
                </c:pt>
              </c:strCache>
            </c:strRef>
          </c:tx>
          <c:spPr>
            <a:solidFill>
              <a:srgbClr val="00B050"/>
            </a:solidFill>
            <a:ln>
              <a:solidFill>
                <a:schemeClr val="accent3"/>
              </a:solidFill>
            </a:ln>
            <a:effectLst/>
          </c:spPr>
          <c:invertIfNegative val="0"/>
          <c:dLbls>
            <c:dLbl>
              <c:idx val="0"/>
              <c:layout>
                <c:manualLayout>
                  <c:x val="0"/>
                  <c:y val="-3.670853787641128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20486215403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7192446937707062E-4"/>
                  <c:y val="-2.13050682708942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493190840605794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7171609883377999E-4"/>
                  <c:y val="-1.9946570937087023E-2"/>
                </c:manualLayout>
              </c:layout>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CMR'!$A$4:$A$8</c:f>
              <c:strCache>
                <c:ptCount val="5"/>
                <c:pt idx="0">
                  <c:v>2008    </c:v>
                </c:pt>
                <c:pt idx="1">
                  <c:v>2009</c:v>
                </c:pt>
                <c:pt idx="2">
                  <c:v>2010</c:v>
                </c:pt>
                <c:pt idx="3">
                  <c:v>2011</c:v>
                </c:pt>
                <c:pt idx="4">
                  <c:v>Mar.12</c:v>
                </c:pt>
              </c:strCache>
            </c:strRef>
          </c:cat>
          <c:val>
            <c:numRef>
              <c:f>'VII.1 CMR'!$C$4:$C$8</c:f>
              <c:numCache>
                <c:formatCode>General</c:formatCode>
                <c:ptCount val="5"/>
                <c:pt idx="0">
                  <c:v>36</c:v>
                </c:pt>
                <c:pt idx="1">
                  <c:v>828</c:v>
                </c:pt>
                <c:pt idx="2">
                  <c:v>1062</c:v>
                </c:pt>
                <c:pt idx="3">
                  <c:v>1076</c:v>
                </c:pt>
                <c:pt idx="4">
                  <c:v>325</c:v>
                </c:pt>
              </c:numCache>
            </c:numRef>
          </c:val>
        </c:ser>
        <c:dLbls>
          <c:showLegendKey val="0"/>
          <c:showVal val="0"/>
          <c:showCatName val="0"/>
          <c:showSerName val="0"/>
          <c:showPercent val="0"/>
          <c:showBubbleSize val="0"/>
        </c:dLbls>
        <c:gapWidth val="78"/>
        <c:shape val="cylinder"/>
        <c:axId val="293027344"/>
        <c:axId val="293027736"/>
        <c:axId val="0"/>
      </c:bar3DChart>
      <c:catAx>
        <c:axId val="293027344"/>
        <c:scaling>
          <c:orientation val="minMax"/>
        </c:scaling>
        <c:delete val="0"/>
        <c:axPos val="b"/>
        <c:numFmt formatCode="General" sourceLinked="1"/>
        <c:majorTickMark val="none"/>
        <c:minorTickMark val="none"/>
        <c:tickLblPos val="nextTo"/>
        <c:spPr>
          <a:ln w="9525">
            <a:noFill/>
          </a:ln>
        </c:spPr>
        <c:txPr>
          <a:bodyPr rot="-5400000" vert="horz"/>
          <a:lstStyle/>
          <a:p>
            <a:pPr>
              <a:defRPr lang="en-US" sz="1400" b="0">
                <a:latin typeface="Calibri" pitchFamily="34" charset="0"/>
              </a:defRPr>
            </a:pPr>
            <a:endParaRPr lang="es-ES"/>
          </a:p>
        </c:txPr>
        <c:crossAx val="293027736"/>
        <c:crosses val="autoZero"/>
        <c:auto val="0"/>
        <c:lblAlgn val="ctr"/>
        <c:lblOffset val="100"/>
        <c:noMultiLvlLbl val="0"/>
      </c:catAx>
      <c:valAx>
        <c:axId val="293027736"/>
        <c:scaling>
          <c:orientation val="minMax"/>
        </c:scaling>
        <c:delete val="1"/>
        <c:axPos val="l"/>
        <c:numFmt formatCode="#,##0" sourceLinked="1"/>
        <c:majorTickMark val="out"/>
        <c:minorTickMark val="none"/>
        <c:tickLblPos val="nextTo"/>
        <c:crossAx val="293027344"/>
        <c:crosses val="autoZero"/>
        <c:crossBetween val="between"/>
      </c:valAx>
      <c:spPr>
        <a:noFill/>
        <a:ln w="25400">
          <a:noFill/>
        </a:ln>
      </c:spPr>
    </c:plotArea>
    <c:legend>
      <c:legendPos val="b"/>
      <c:layout>
        <c:manualLayout>
          <c:xMode val="edge"/>
          <c:yMode val="edge"/>
          <c:x val="0.29303621570597738"/>
          <c:y val="0.11005821545463981"/>
          <c:w val="0.53716045121598788"/>
          <c:h val="4.2111608917373686E-2"/>
        </c:manualLayout>
      </c:layout>
      <c:overlay val="0"/>
      <c:txPr>
        <a:bodyPr/>
        <a:lstStyle/>
        <a:p>
          <a:pPr>
            <a:defRPr lang="en-US" sz="1600">
              <a:latin typeface="Calibri" pitchFamily="34" charset="0"/>
            </a:defRPr>
          </a:pPr>
          <a:endParaRPr lang="es-ES"/>
        </a:p>
      </c:txPr>
    </c:legend>
    <c:plotVisOnly val="1"/>
    <c:dispBlanksAs val="gap"/>
    <c:showDLblsOverMax val="0"/>
  </c:chart>
  <c:spPr>
    <a:ln>
      <a:noFill/>
    </a:ln>
  </c:spPr>
  <c:printSettings>
    <c:headerFooter/>
    <c:pageMargins b="0.74803149606300956" l="0.70866141732284915" r="0.70866141732284915" t="0.74803149606300956" header="0.31496062992127138" footer="0.31496062992127138"/>
    <c:pageSetup orientation="landscape"/>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0"/>
      <c:depthPercent val="100"/>
      <c:rAngAx val="0"/>
      <c:perspective val="0"/>
    </c:view3D>
    <c:floor>
      <c:thickness val="0"/>
      <c:spPr>
        <a:scene3d>
          <a:camera prst="orthographicFront"/>
          <a:lightRig rig="threePt" dir="t"/>
        </a:scene3d>
        <a:sp3d>
          <a:contourClr>
            <a:srgbClr val="000000"/>
          </a:contourClr>
        </a:sp3d>
      </c:spPr>
    </c:floor>
    <c:sideWall>
      <c:thickness val="0"/>
    </c:sideWall>
    <c:backWall>
      <c:thickness val="0"/>
    </c:backWall>
    <c:plotArea>
      <c:layout>
        <c:manualLayout>
          <c:layoutTarget val="inner"/>
          <c:xMode val="edge"/>
          <c:yMode val="edge"/>
          <c:x val="1.7280478812725136E-2"/>
          <c:y val="0.18964909086697035"/>
          <c:w val="0.96562726454802461"/>
          <c:h val="0.60451342211826042"/>
        </c:manualLayout>
      </c:layout>
      <c:bar3DChart>
        <c:barDir val="col"/>
        <c:grouping val="clustered"/>
        <c:varyColors val="0"/>
        <c:ser>
          <c:idx val="0"/>
          <c:order val="0"/>
          <c:tx>
            <c:strRef>
              <c:f>'VII.1 CMR '!$B$3</c:f>
              <c:strCache>
                <c:ptCount val="1"/>
                <c:pt idx="0">
                  <c:v> Solicitudes de Evaluación</c:v>
                </c:pt>
              </c:strCache>
            </c:strRef>
          </c:tx>
          <c:spPr>
            <a:ln>
              <a:solidFill>
                <a:schemeClr val="accent5">
                  <a:lumMod val="75000"/>
                </a:schemeClr>
              </a:solidFill>
            </a:ln>
            <a:effectLst/>
          </c:spPr>
          <c:invertIfNegative val="0"/>
          <c:dLbls>
            <c:dLbl>
              <c:idx val="0"/>
              <c:layout>
                <c:manualLayout>
                  <c:x val="0"/>
                  <c:y val="-2.510034602347839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19177453806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640811766622721E-3"/>
                  <c:y val="-2.08340449724512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62688439509449E-3"/>
                  <c:y val="-2.03630216740081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253321772865706E-3"/>
                  <c:y val="-3.4131040014110041E-2"/>
                </c:manualLayout>
              </c:layout>
              <c:numFmt formatCode="#,##0" sourceLinked="0"/>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'VII.1 CMR '!$A$4:$A$8</c:f>
              <c:numCache>
                <c:formatCode>General</c:formatCode>
                <c:ptCount val="5"/>
                <c:pt idx="0" formatCode="#\ ?/?">
                  <c:v>2008</c:v>
                </c:pt>
                <c:pt idx="1">
                  <c:v>2009</c:v>
                </c:pt>
                <c:pt idx="2">
                  <c:v>2010</c:v>
                </c:pt>
                <c:pt idx="3">
                  <c:v>2011</c:v>
                </c:pt>
                <c:pt idx="4">
                  <c:v>2012</c:v>
                </c:pt>
              </c:numCache>
            </c:numRef>
          </c:cat>
          <c:val>
            <c:numRef>
              <c:f>'VII.1 CMR '!$B$4:$B$8</c:f>
              <c:numCache>
                <c:formatCode>#,##0</c:formatCode>
                <c:ptCount val="5"/>
                <c:pt idx="0">
                  <c:v>107</c:v>
                </c:pt>
                <c:pt idx="1">
                  <c:v>1018</c:v>
                </c:pt>
                <c:pt idx="2">
                  <c:v>1500</c:v>
                </c:pt>
                <c:pt idx="3">
                  <c:v>2058</c:v>
                </c:pt>
                <c:pt idx="4">
                  <c:v>2036</c:v>
                </c:pt>
              </c:numCache>
            </c:numRef>
          </c:val>
        </c:ser>
        <c:ser>
          <c:idx val="1"/>
          <c:order val="1"/>
          <c:tx>
            <c:strRef>
              <c:f>'VII.1 CMR '!$C$3</c:f>
              <c:strCache>
                <c:ptCount val="1"/>
                <c:pt idx="0">
                  <c:v>Dictámenes </c:v>
                </c:pt>
              </c:strCache>
            </c:strRef>
          </c:tx>
          <c:spPr>
            <a:solidFill>
              <a:srgbClr val="00B050"/>
            </a:solidFill>
            <a:ln>
              <a:solidFill>
                <a:schemeClr val="accent3"/>
              </a:solidFill>
            </a:ln>
            <a:effectLst/>
          </c:spPr>
          <c:invertIfNegative val="0"/>
          <c:dLbls>
            <c:dLbl>
              <c:idx val="0"/>
              <c:layout>
                <c:manualLayout>
                  <c:x val="0"/>
                  <c:y val="-3.670853787641128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20486215403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7192446937707062E-4"/>
                  <c:y val="-2.13050682708942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493190840605794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7171609883377999E-4"/>
                  <c:y val="-1.9946570937087023E-2"/>
                </c:manualLayout>
              </c:layout>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'VII.1 CMR '!$A$4:$A$8</c:f>
              <c:numCache>
                <c:formatCode>General</c:formatCode>
                <c:ptCount val="5"/>
                <c:pt idx="0" formatCode="#\ ?/?">
                  <c:v>2008</c:v>
                </c:pt>
                <c:pt idx="1">
                  <c:v>2009</c:v>
                </c:pt>
                <c:pt idx="2">
                  <c:v>2010</c:v>
                </c:pt>
                <c:pt idx="3">
                  <c:v>2011</c:v>
                </c:pt>
                <c:pt idx="4">
                  <c:v>2012</c:v>
                </c:pt>
              </c:numCache>
            </c:numRef>
          </c:cat>
          <c:val>
            <c:numRef>
              <c:f>'VII.1 CMR '!$C$4:$C$8</c:f>
              <c:numCache>
                <c:formatCode>General</c:formatCode>
                <c:ptCount val="5"/>
                <c:pt idx="0">
                  <c:v>36</c:v>
                </c:pt>
                <c:pt idx="1">
                  <c:v>828</c:v>
                </c:pt>
                <c:pt idx="2">
                  <c:v>1062</c:v>
                </c:pt>
                <c:pt idx="3">
                  <c:v>1076</c:v>
                </c:pt>
                <c:pt idx="4">
                  <c:v>1821</c:v>
                </c:pt>
              </c:numCache>
            </c:numRef>
          </c:val>
        </c:ser>
        <c:dLbls>
          <c:showLegendKey val="0"/>
          <c:showVal val="0"/>
          <c:showCatName val="0"/>
          <c:showSerName val="0"/>
          <c:showPercent val="0"/>
          <c:showBubbleSize val="0"/>
        </c:dLbls>
        <c:gapWidth val="78"/>
        <c:shape val="cylinder"/>
        <c:axId val="293028520"/>
        <c:axId val="293028912"/>
        <c:axId val="0"/>
      </c:bar3DChart>
      <c:catAx>
        <c:axId val="293028520"/>
        <c:scaling>
          <c:orientation val="minMax"/>
        </c:scaling>
        <c:delete val="0"/>
        <c:axPos val="b"/>
        <c:numFmt formatCode="#\ ?/?" sourceLinked="1"/>
        <c:majorTickMark val="none"/>
        <c:minorTickMark val="none"/>
        <c:tickLblPos val="nextTo"/>
        <c:spPr>
          <a:ln w="9525">
            <a:noFill/>
          </a:ln>
        </c:spPr>
        <c:txPr>
          <a:bodyPr rot="-5400000" vert="horz"/>
          <a:lstStyle/>
          <a:p>
            <a:pPr>
              <a:defRPr lang="en-US" sz="1400" b="0">
                <a:latin typeface="Calibri" pitchFamily="34" charset="0"/>
              </a:defRPr>
            </a:pPr>
            <a:endParaRPr lang="es-ES"/>
          </a:p>
        </c:txPr>
        <c:crossAx val="293028912"/>
        <c:crosses val="autoZero"/>
        <c:auto val="0"/>
        <c:lblAlgn val="ctr"/>
        <c:lblOffset val="100"/>
        <c:noMultiLvlLbl val="0"/>
      </c:catAx>
      <c:valAx>
        <c:axId val="293028912"/>
        <c:scaling>
          <c:orientation val="minMax"/>
        </c:scaling>
        <c:delete val="1"/>
        <c:axPos val="l"/>
        <c:numFmt formatCode="#,##0" sourceLinked="1"/>
        <c:majorTickMark val="out"/>
        <c:minorTickMark val="none"/>
        <c:tickLblPos val="nextTo"/>
        <c:crossAx val="293028520"/>
        <c:crosses val="autoZero"/>
        <c:crossBetween val="between"/>
      </c:valAx>
      <c:spPr>
        <a:noFill/>
        <a:ln w="25400">
          <a:noFill/>
        </a:ln>
      </c:spPr>
    </c:plotArea>
    <c:legend>
      <c:legendPos val="b"/>
      <c:layout>
        <c:manualLayout>
          <c:xMode val="edge"/>
          <c:yMode val="edge"/>
          <c:x val="0.29303621570597738"/>
          <c:y val="0.11005821545463981"/>
          <c:w val="0.53716045121598788"/>
          <c:h val="4.2111608917373686E-2"/>
        </c:manualLayout>
      </c:layout>
      <c:overlay val="0"/>
      <c:txPr>
        <a:bodyPr/>
        <a:lstStyle/>
        <a:p>
          <a:pPr>
            <a:defRPr lang="en-US" sz="1600">
              <a:latin typeface="Calibri" pitchFamily="34" charset="0"/>
            </a:defRPr>
          </a:pPr>
          <a:endParaRPr lang="es-ES"/>
        </a:p>
      </c:txPr>
    </c:legend>
    <c:plotVisOnly val="1"/>
    <c:dispBlanksAs val="gap"/>
    <c:showDLblsOverMax val="0"/>
  </c:chart>
  <c:spPr>
    <a:ln>
      <a:noFill/>
    </a:ln>
  </c:spPr>
  <c:printSettings>
    <c:headerFooter/>
    <c:pageMargins b="0.74803149606300956" l="0.70866141732284915" r="0.70866141732284915" t="0.74803149606300956" header="0.31496062992127138" footer="0.31496062992127138"/>
    <c:pageSetup orientation="landscape"/>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0"/>
      <c:depthPercent val="100"/>
      <c:rAngAx val="0"/>
      <c:perspective val="0"/>
    </c:view3D>
    <c:floor>
      <c:thickness val="0"/>
      <c:spPr>
        <a:scene3d>
          <a:camera prst="orthographicFront"/>
          <a:lightRig rig="threePt" dir="t"/>
        </a:scene3d>
        <a:sp3d>
          <a:contourClr>
            <a:srgbClr val="000000"/>
          </a:contourClr>
        </a:sp3d>
      </c:spPr>
    </c:floor>
    <c:sideWall>
      <c:thickness val="0"/>
    </c:sideWall>
    <c:backWall>
      <c:thickness val="0"/>
    </c:backWall>
    <c:plotArea>
      <c:layout>
        <c:manualLayout>
          <c:layoutTarget val="inner"/>
          <c:xMode val="edge"/>
          <c:yMode val="edge"/>
          <c:x val="1.7280478812725136E-2"/>
          <c:y val="0.18964909086697035"/>
          <c:w val="0.96562726454802461"/>
          <c:h val="0.60451342211826042"/>
        </c:manualLayout>
      </c:layout>
      <c:bar3DChart>
        <c:barDir val="col"/>
        <c:grouping val="clustered"/>
        <c:varyColors val="0"/>
        <c:ser>
          <c:idx val="0"/>
          <c:order val="0"/>
          <c:tx>
            <c:strRef>
              <c:f>'VII.1 CMR (2)'!$B$3</c:f>
              <c:strCache>
                <c:ptCount val="1"/>
                <c:pt idx="0">
                  <c:v> Solicitudes de Evaluación</c:v>
                </c:pt>
              </c:strCache>
            </c:strRef>
          </c:tx>
          <c:spPr>
            <a:ln>
              <a:solidFill>
                <a:schemeClr val="accent5">
                  <a:lumMod val="75000"/>
                </a:schemeClr>
              </a:solidFill>
            </a:ln>
            <a:effectLst/>
          </c:spPr>
          <c:invertIfNegative val="0"/>
          <c:dLbls>
            <c:dLbl>
              <c:idx val="0"/>
              <c:layout>
                <c:manualLayout>
                  <c:x val="0"/>
                  <c:y val="-2.510034602347839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19177453806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640811766622721E-3"/>
                  <c:y val="-2.08340449724512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62688439509449E-3"/>
                  <c:y val="-2.036302167400816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253321772865706E-3"/>
                  <c:y val="-3.4131040014110041E-2"/>
                </c:manualLayout>
              </c:layout>
              <c:numFmt formatCode="#,##0" sourceLinked="0"/>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'VII.1 CMR (2)'!$A$4:$A$8</c:f>
              <c:numCache>
                <c:formatCode>General</c:formatCode>
                <c:ptCount val="5"/>
                <c:pt idx="0" formatCode="#\ ?/?">
                  <c:v>2008</c:v>
                </c:pt>
                <c:pt idx="1">
                  <c:v>2009</c:v>
                </c:pt>
                <c:pt idx="2">
                  <c:v>2010</c:v>
                </c:pt>
                <c:pt idx="3">
                  <c:v>2011</c:v>
                </c:pt>
                <c:pt idx="4">
                  <c:v>2012</c:v>
                </c:pt>
              </c:numCache>
            </c:numRef>
          </c:cat>
          <c:val>
            <c:numRef>
              <c:f>'VII.1 CMR (2)'!$B$4:$B$8</c:f>
              <c:numCache>
                <c:formatCode>#,##0</c:formatCode>
                <c:ptCount val="5"/>
                <c:pt idx="0">
                  <c:v>107</c:v>
                </c:pt>
                <c:pt idx="1">
                  <c:v>1018</c:v>
                </c:pt>
                <c:pt idx="2">
                  <c:v>1500</c:v>
                </c:pt>
                <c:pt idx="3">
                  <c:v>2058</c:v>
                </c:pt>
                <c:pt idx="4">
                  <c:v>2036</c:v>
                </c:pt>
              </c:numCache>
            </c:numRef>
          </c:val>
        </c:ser>
        <c:ser>
          <c:idx val="1"/>
          <c:order val="1"/>
          <c:tx>
            <c:strRef>
              <c:f>'VII.1 CMR (2)'!$C$3</c:f>
              <c:strCache>
                <c:ptCount val="1"/>
                <c:pt idx="0">
                  <c:v>Dictámenes </c:v>
                </c:pt>
              </c:strCache>
            </c:strRef>
          </c:tx>
          <c:spPr>
            <a:solidFill>
              <a:srgbClr val="00B050"/>
            </a:solidFill>
            <a:ln>
              <a:solidFill>
                <a:schemeClr val="accent3"/>
              </a:solidFill>
            </a:ln>
            <a:effectLst/>
          </c:spPr>
          <c:invertIfNegative val="0"/>
          <c:dLbls>
            <c:dLbl>
              <c:idx val="0"/>
              <c:layout>
                <c:manualLayout>
                  <c:x val="0"/>
                  <c:y val="-3.670853787641128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1720486215403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7192446937707062E-4"/>
                  <c:y val="-2.13050682708942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493190840605794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7171609883377999E-4"/>
                  <c:y val="-1.9946570937087023E-2"/>
                </c:manualLayout>
              </c:layout>
              <c:spPr/>
              <c:txPr>
                <a:bodyPr/>
                <a:lstStyle/>
                <a:p>
                  <a:pPr>
                    <a:defRPr lang="en-US"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'VII.1 CMR (2)'!$A$4:$A$8</c:f>
              <c:numCache>
                <c:formatCode>General</c:formatCode>
                <c:ptCount val="5"/>
                <c:pt idx="0" formatCode="#\ ?/?">
                  <c:v>2008</c:v>
                </c:pt>
                <c:pt idx="1">
                  <c:v>2009</c:v>
                </c:pt>
                <c:pt idx="2">
                  <c:v>2010</c:v>
                </c:pt>
                <c:pt idx="3">
                  <c:v>2011</c:v>
                </c:pt>
                <c:pt idx="4">
                  <c:v>2012</c:v>
                </c:pt>
              </c:numCache>
            </c:numRef>
          </c:cat>
          <c:val>
            <c:numRef>
              <c:f>'VII.1 CMR (2)'!$C$4:$C$8</c:f>
              <c:numCache>
                <c:formatCode>General</c:formatCode>
                <c:ptCount val="5"/>
                <c:pt idx="0">
                  <c:v>36</c:v>
                </c:pt>
                <c:pt idx="1">
                  <c:v>828</c:v>
                </c:pt>
                <c:pt idx="2">
                  <c:v>1062</c:v>
                </c:pt>
                <c:pt idx="3">
                  <c:v>1076</c:v>
                </c:pt>
                <c:pt idx="4">
                  <c:v>1821</c:v>
                </c:pt>
              </c:numCache>
            </c:numRef>
          </c:val>
        </c:ser>
        <c:dLbls>
          <c:showLegendKey val="0"/>
          <c:showVal val="0"/>
          <c:showCatName val="0"/>
          <c:showSerName val="0"/>
          <c:showPercent val="0"/>
          <c:showBubbleSize val="0"/>
        </c:dLbls>
        <c:gapWidth val="78"/>
        <c:shape val="cylinder"/>
        <c:axId val="293029696"/>
        <c:axId val="293030088"/>
        <c:axId val="0"/>
      </c:bar3DChart>
      <c:catAx>
        <c:axId val="293029696"/>
        <c:scaling>
          <c:orientation val="minMax"/>
        </c:scaling>
        <c:delete val="0"/>
        <c:axPos val="b"/>
        <c:numFmt formatCode="#\ ?/?" sourceLinked="1"/>
        <c:majorTickMark val="none"/>
        <c:minorTickMark val="none"/>
        <c:tickLblPos val="nextTo"/>
        <c:spPr>
          <a:ln w="9525">
            <a:noFill/>
          </a:ln>
        </c:spPr>
        <c:txPr>
          <a:bodyPr rot="-5400000" vert="horz"/>
          <a:lstStyle/>
          <a:p>
            <a:pPr>
              <a:defRPr lang="en-US" sz="1400" b="0">
                <a:latin typeface="Calibri" pitchFamily="34" charset="0"/>
              </a:defRPr>
            </a:pPr>
            <a:endParaRPr lang="es-ES"/>
          </a:p>
        </c:txPr>
        <c:crossAx val="293030088"/>
        <c:crosses val="autoZero"/>
        <c:auto val="0"/>
        <c:lblAlgn val="ctr"/>
        <c:lblOffset val="100"/>
        <c:noMultiLvlLbl val="0"/>
      </c:catAx>
      <c:valAx>
        <c:axId val="293030088"/>
        <c:scaling>
          <c:orientation val="minMax"/>
        </c:scaling>
        <c:delete val="1"/>
        <c:axPos val="l"/>
        <c:numFmt formatCode="#,##0" sourceLinked="1"/>
        <c:majorTickMark val="out"/>
        <c:minorTickMark val="none"/>
        <c:tickLblPos val="nextTo"/>
        <c:crossAx val="293029696"/>
        <c:crosses val="autoZero"/>
        <c:crossBetween val="between"/>
      </c:valAx>
      <c:spPr>
        <a:noFill/>
        <a:ln w="25400">
          <a:noFill/>
        </a:ln>
      </c:spPr>
    </c:plotArea>
    <c:legend>
      <c:legendPos val="b"/>
      <c:layout>
        <c:manualLayout>
          <c:xMode val="edge"/>
          <c:yMode val="edge"/>
          <c:x val="0.29303621570597738"/>
          <c:y val="0.11005821545463981"/>
          <c:w val="0.53716045121598788"/>
          <c:h val="4.2111608917373686E-2"/>
        </c:manualLayout>
      </c:layout>
      <c:overlay val="0"/>
      <c:txPr>
        <a:bodyPr/>
        <a:lstStyle/>
        <a:p>
          <a:pPr>
            <a:defRPr lang="en-US" sz="1600">
              <a:latin typeface="Calibri" pitchFamily="34" charset="0"/>
            </a:defRPr>
          </a:pPr>
          <a:endParaRPr lang="es-ES"/>
        </a:p>
      </c:txPr>
    </c:legend>
    <c:plotVisOnly val="1"/>
    <c:dispBlanksAs val="gap"/>
    <c:showDLblsOverMax val="0"/>
  </c:chart>
  <c:spPr>
    <a:ln>
      <a:noFill/>
    </a:ln>
  </c:spPr>
  <c:printSettings>
    <c:headerFooter/>
    <c:pageMargins b="0.74803149606300956" l="0.70866141732284915" r="0.70866141732284915" t="0.74803149606300956" header="0.31496062992127138" footer="0.31496062992127138"/>
    <c:pageSetup orientation="landscape"/>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Status!$A$4:$A$10</c:f>
              <c:strCache>
                <c:ptCount val="7"/>
                <c:pt idx="0">
                  <c:v>Oct-Dic 2008</c:v>
                </c:pt>
                <c:pt idx="1">
                  <c:v>2009</c:v>
                </c:pt>
                <c:pt idx="2">
                  <c:v>2010</c:v>
                </c:pt>
                <c:pt idx="3">
                  <c:v>2011</c:v>
                </c:pt>
                <c:pt idx="4">
                  <c:v>2012</c:v>
                </c:pt>
                <c:pt idx="5">
                  <c:v>2013</c:v>
                </c:pt>
                <c:pt idx="6">
                  <c:v>2014</c:v>
                </c:pt>
              </c:strCache>
            </c:strRef>
          </c:cat>
          <c:val>
            <c:numRef>
              <c:f>Status!$B$4:$B$10</c:f>
              <c:numCache>
                <c:formatCode>_(* #,##0_);_(* \(#,##0\);_(* "-"??_);_(@_)</c:formatCode>
                <c:ptCount val="7"/>
                <c:pt idx="0">
                  <c:v>107</c:v>
                </c:pt>
                <c:pt idx="1">
                  <c:v>1018</c:v>
                </c:pt>
                <c:pt idx="2">
                  <c:v>1491</c:v>
                </c:pt>
                <c:pt idx="3">
                  <c:v>2085</c:v>
                </c:pt>
                <c:pt idx="4">
                  <c:v>2165</c:v>
                </c:pt>
                <c:pt idx="5">
                  <c:v>1670</c:v>
                </c:pt>
                <c:pt idx="6">
                  <c:v>1561</c:v>
                </c:pt>
              </c:numCache>
            </c:numRef>
          </c:val>
        </c:ser>
        <c:ser>
          <c:idx val="1"/>
          <c:order val="1"/>
          <c:tx>
            <c:strRef>
              <c:f>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Status!$A$4:$A$10</c:f>
              <c:strCache>
                <c:ptCount val="7"/>
                <c:pt idx="0">
                  <c:v>Oct-Dic 2008</c:v>
                </c:pt>
                <c:pt idx="1">
                  <c:v>2009</c:v>
                </c:pt>
                <c:pt idx="2">
                  <c:v>2010</c:v>
                </c:pt>
                <c:pt idx="3">
                  <c:v>2011</c:v>
                </c:pt>
                <c:pt idx="4">
                  <c:v>2012</c:v>
                </c:pt>
                <c:pt idx="5">
                  <c:v>2013</c:v>
                </c:pt>
                <c:pt idx="6">
                  <c:v>2014</c:v>
                </c:pt>
              </c:strCache>
            </c:strRef>
          </c:cat>
          <c:val>
            <c:numRef>
              <c:f>Status!$C$4:$C$10</c:f>
              <c:numCache>
                <c:formatCode>_(* #,##0_);_(* \(#,##0\);_(* "-"??_);_(@_)</c:formatCode>
                <c:ptCount val="7"/>
                <c:pt idx="0">
                  <c:v>16</c:v>
                </c:pt>
                <c:pt idx="1">
                  <c:v>659</c:v>
                </c:pt>
                <c:pt idx="2">
                  <c:v>785</c:v>
                </c:pt>
                <c:pt idx="3">
                  <c:v>750</c:v>
                </c:pt>
                <c:pt idx="4">
                  <c:v>1830</c:v>
                </c:pt>
                <c:pt idx="5">
                  <c:v>2885</c:v>
                </c:pt>
                <c:pt idx="6">
                  <c:v>1731</c:v>
                </c:pt>
              </c:numCache>
            </c:numRef>
          </c:val>
        </c:ser>
        <c:dLbls>
          <c:showLegendKey val="0"/>
          <c:showVal val="0"/>
          <c:showCatName val="0"/>
          <c:showSerName val="0"/>
          <c:showPercent val="0"/>
          <c:showBubbleSize val="0"/>
        </c:dLbls>
        <c:gapWidth val="34"/>
        <c:overlap val="13"/>
        <c:axId val="293030872"/>
        <c:axId val="293031264"/>
      </c:barChart>
      <c:catAx>
        <c:axId val="293030872"/>
        <c:scaling>
          <c:orientation val="minMax"/>
        </c:scaling>
        <c:delete val="0"/>
        <c:axPos val="b"/>
        <c:numFmt formatCode="General" sourceLinked="0"/>
        <c:majorTickMark val="none"/>
        <c:minorTickMark val="none"/>
        <c:tickLblPos val="nextTo"/>
        <c:txPr>
          <a:bodyPr/>
          <a:lstStyle/>
          <a:p>
            <a:pPr>
              <a:defRPr sz="1200"/>
            </a:pPr>
            <a:endParaRPr lang="es-ES"/>
          </a:p>
        </c:txPr>
        <c:crossAx val="293031264"/>
        <c:crosses val="autoZero"/>
        <c:auto val="1"/>
        <c:lblAlgn val="ctr"/>
        <c:lblOffset val="100"/>
        <c:noMultiLvlLbl val="0"/>
      </c:catAx>
      <c:valAx>
        <c:axId val="293031264"/>
        <c:scaling>
          <c:orientation val="minMax"/>
        </c:scaling>
        <c:delete val="1"/>
        <c:axPos val="l"/>
        <c:numFmt formatCode="_(* #,##0_);_(* \(#,##0\);_(* &quot;-&quot;??_);_(@_)" sourceLinked="1"/>
        <c:majorTickMark val="none"/>
        <c:minorTickMark val="none"/>
        <c:tickLblPos val="nextTo"/>
        <c:crossAx val="293030872"/>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6545195008518671E-2"/>
          <c:y val="0.20848733672996755"/>
          <c:w val="0.94831602891743794"/>
          <c:h val="0.68373283927744322"/>
        </c:manualLayout>
      </c:layout>
      <c:bar3DChart>
        <c:barDir val="col"/>
        <c:grouping val="standard"/>
        <c:varyColors val="0"/>
        <c:ser>
          <c:idx val="0"/>
          <c:order val="0"/>
          <c:tx>
            <c:strRef>
              <c:f>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Apelaciones1!$A$5:$A$11</c:f>
              <c:strCache>
                <c:ptCount val="7"/>
                <c:pt idx="0">
                  <c:v>2009</c:v>
                </c:pt>
                <c:pt idx="1">
                  <c:v>2010</c:v>
                </c:pt>
                <c:pt idx="2">
                  <c:v>2011</c:v>
                </c:pt>
                <c:pt idx="3">
                  <c:v>2012</c:v>
                </c:pt>
                <c:pt idx="4">
                  <c:v>2013</c:v>
                </c:pt>
                <c:pt idx="5">
                  <c:v>Ene-Dic. 14</c:v>
                </c:pt>
                <c:pt idx="6">
                  <c:v>Fecha no especificada</c:v>
                </c:pt>
              </c:strCache>
            </c:strRef>
          </c:cat>
          <c:val>
            <c:numRef>
              <c:f>Apelaciones1!$B$5:$B$11</c:f>
              <c:numCache>
                <c:formatCode>_(* #,##0_);_(* \(#,##0\);_(* "-"??_);_(@_)</c:formatCode>
                <c:ptCount val="7"/>
                <c:pt idx="0">
                  <c:v>81</c:v>
                </c:pt>
                <c:pt idx="1">
                  <c:v>61</c:v>
                </c:pt>
                <c:pt idx="2">
                  <c:v>78</c:v>
                </c:pt>
                <c:pt idx="3">
                  <c:v>313</c:v>
                </c:pt>
                <c:pt idx="4">
                  <c:v>527</c:v>
                </c:pt>
                <c:pt idx="5">
                  <c:v>287</c:v>
                </c:pt>
                <c:pt idx="6">
                  <c:v>5</c:v>
                </c:pt>
              </c:numCache>
            </c:numRef>
          </c:val>
        </c:ser>
        <c:ser>
          <c:idx val="1"/>
          <c:order val="1"/>
          <c:tx>
            <c:strRef>
              <c:f>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Apelaciones1!$A$5:$A$11</c:f>
              <c:strCache>
                <c:ptCount val="7"/>
                <c:pt idx="0">
                  <c:v>2009</c:v>
                </c:pt>
                <c:pt idx="1">
                  <c:v>2010</c:v>
                </c:pt>
                <c:pt idx="2">
                  <c:v>2011</c:v>
                </c:pt>
                <c:pt idx="3">
                  <c:v>2012</c:v>
                </c:pt>
                <c:pt idx="4">
                  <c:v>2013</c:v>
                </c:pt>
                <c:pt idx="5">
                  <c:v>Ene-Dic. 14</c:v>
                </c:pt>
                <c:pt idx="6">
                  <c:v>Fecha no especificada</c:v>
                </c:pt>
              </c:strCache>
            </c:strRef>
          </c:cat>
          <c:val>
            <c:numRef>
              <c:f>Apelaciones1!$C$5:$C$11</c:f>
              <c:numCache>
                <c:formatCode>_(* #,##0_);_(* \(#,##0\);_(* "-"??_);_(@_)</c:formatCode>
                <c:ptCount val="7"/>
                <c:pt idx="0">
                  <c:v>13</c:v>
                </c:pt>
                <c:pt idx="1">
                  <c:v>25</c:v>
                </c:pt>
                <c:pt idx="2">
                  <c:v>45</c:v>
                </c:pt>
                <c:pt idx="3">
                  <c:v>186</c:v>
                </c:pt>
                <c:pt idx="4">
                  <c:v>218</c:v>
                </c:pt>
                <c:pt idx="5">
                  <c:v>99</c:v>
                </c:pt>
                <c:pt idx="6">
                  <c:v>0</c:v>
                </c:pt>
              </c:numCache>
            </c:numRef>
          </c:val>
        </c:ser>
        <c:ser>
          <c:idx val="2"/>
          <c:order val="2"/>
          <c:tx>
            <c:strRef>
              <c:f>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Apelaciones1!$A$5:$A$11</c:f>
              <c:strCache>
                <c:ptCount val="7"/>
                <c:pt idx="0">
                  <c:v>2009</c:v>
                </c:pt>
                <c:pt idx="1">
                  <c:v>2010</c:v>
                </c:pt>
                <c:pt idx="2">
                  <c:v>2011</c:v>
                </c:pt>
                <c:pt idx="3">
                  <c:v>2012</c:v>
                </c:pt>
                <c:pt idx="4">
                  <c:v>2013</c:v>
                </c:pt>
                <c:pt idx="5">
                  <c:v>Ene-Dic. 14</c:v>
                </c:pt>
                <c:pt idx="6">
                  <c:v>Fecha no especificada</c:v>
                </c:pt>
              </c:strCache>
            </c:strRef>
          </c:cat>
          <c:val>
            <c:numRef>
              <c:f>Apelaciones1!$D$5:$D$11</c:f>
              <c:numCache>
                <c:formatCode>_(* #,##0_);_(* \(#,##0\);_(* "-"??_);_(@_)</c:formatCode>
                <c:ptCount val="7"/>
                <c:pt idx="0">
                  <c:v>0</c:v>
                </c:pt>
                <c:pt idx="1">
                  <c:v>0</c:v>
                </c:pt>
                <c:pt idx="2">
                  <c:v>0</c:v>
                </c:pt>
                <c:pt idx="3">
                  <c:v>60</c:v>
                </c:pt>
                <c:pt idx="4">
                  <c:v>22</c:v>
                </c:pt>
                <c:pt idx="5">
                  <c:v>2</c:v>
                </c:pt>
                <c:pt idx="6">
                  <c:v>1</c:v>
                </c:pt>
              </c:numCache>
            </c:numRef>
          </c:val>
        </c:ser>
        <c:dLbls>
          <c:showLegendKey val="0"/>
          <c:showVal val="0"/>
          <c:showCatName val="0"/>
          <c:showSerName val="0"/>
          <c:showPercent val="0"/>
          <c:showBubbleSize val="0"/>
        </c:dLbls>
        <c:gapWidth val="37"/>
        <c:gapDepth val="74"/>
        <c:shape val="box"/>
        <c:axId val="293032048"/>
        <c:axId val="293032440"/>
        <c:axId val="291916488"/>
      </c:bar3DChart>
      <c:catAx>
        <c:axId val="293032048"/>
        <c:scaling>
          <c:orientation val="minMax"/>
        </c:scaling>
        <c:delete val="0"/>
        <c:axPos val="b"/>
        <c:numFmt formatCode="General" sourceLinked="0"/>
        <c:majorTickMark val="none"/>
        <c:minorTickMark val="none"/>
        <c:tickLblPos val="nextTo"/>
        <c:txPr>
          <a:bodyPr/>
          <a:lstStyle/>
          <a:p>
            <a:pPr>
              <a:defRPr sz="1800"/>
            </a:pPr>
            <a:endParaRPr lang="es-ES"/>
          </a:p>
        </c:txPr>
        <c:crossAx val="293032440"/>
        <c:crosses val="autoZero"/>
        <c:auto val="1"/>
        <c:lblAlgn val="ctr"/>
        <c:lblOffset val="100"/>
        <c:noMultiLvlLbl val="0"/>
      </c:catAx>
      <c:valAx>
        <c:axId val="293032440"/>
        <c:scaling>
          <c:orientation val="minMax"/>
        </c:scaling>
        <c:delete val="1"/>
        <c:axPos val="r"/>
        <c:numFmt formatCode="_(* #,##0_);_(* \(#,##0\);_(* &quot;-&quot;??_);_(@_)" sourceLinked="1"/>
        <c:majorTickMark val="none"/>
        <c:minorTickMark val="none"/>
        <c:tickLblPos val="nextTo"/>
        <c:crossAx val="293032048"/>
        <c:crosses val="autoZero"/>
        <c:crossBetween val="between"/>
      </c:valAx>
      <c:serAx>
        <c:axId val="291916488"/>
        <c:scaling>
          <c:orientation val="minMax"/>
        </c:scaling>
        <c:delete val="1"/>
        <c:axPos val="b"/>
        <c:majorTickMark val="out"/>
        <c:minorTickMark val="none"/>
        <c:tickLblPos val="nextTo"/>
        <c:crossAx val="293032440"/>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Afiliación Total  Vs. Cantidad de Cápitas Pagadas</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0526317859600402E-2"/>
          <c:y val="0.22483667313557368"/>
          <c:w val="0.93894736428079961"/>
          <c:h val="0.51375300807819069"/>
        </c:manualLayout>
      </c:layout>
      <c:bar3DChart>
        <c:barDir val="col"/>
        <c:grouping val="clustered"/>
        <c:varyColors val="0"/>
        <c:ser>
          <c:idx val="0"/>
          <c:order val="0"/>
          <c:tx>
            <c:strRef>
              <c:f>'Afil. mensual (Mod.)'!$N$2</c:f>
              <c:strCache>
                <c:ptCount val="1"/>
                <c:pt idx="0">
                  <c:v>Afiliación Total SDSS </c:v>
                </c:pt>
              </c:strCache>
            </c:strRef>
          </c:tx>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(Mod.)'!$N$3:$N$8</c:f>
              <c:numCache>
                <c:formatCode>_(* #,##0_);_(* \(#,##0\);_(* "-"??_);_(@_)</c:formatCode>
                <c:ptCount val="6"/>
                <c:pt idx="0">
                  <c:v>5423245</c:v>
                </c:pt>
                <c:pt idx="1">
                  <c:v>5458131</c:v>
                </c:pt>
                <c:pt idx="2">
                  <c:v>5485250</c:v>
                </c:pt>
                <c:pt idx="3">
                  <c:v>5530583</c:v>
                </c:pt>
                <c:pt idx="4">
                  <c:v>5568316</c:v>
                </c:pt>
                <c:pt idx="5">
                  <c:v>5605255</c:v>
                </c:pt>
              </c:numCache>
            </c:numRef>
          </c:val>
        </c:ser>
        <c:ser>
          <c:idx val="1"/>
          <c:order val="1"/>
          <c:tx>
            <c:strRef>
              <c:f>'Afil. mensual (Mod.)'!$O$2</c:f>
              <c:strCache>
                <c:ptCount val="1"/>
                <c:pt idx="0">
                  <c:v>Total Cápitas pagadas al SFS</c:v>
                </c:pt>
              </c:strCache>
            </c:strRef>
          </c:tx>
          <c:spPr>
            <a:solidFill>
              <a:srgbClr val="00B050"/>
            </a:solidFill>
          </c:spPr>
          <c:invertIfNegative val="0"/>
          <c:dLbls>
            <c:dLbl>
              <c:idx val="0"/>
              <c:layout>
                <c:manualLayout>
                  <c:x val="1.2450805429858361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450805429858361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37567119154861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25939668168194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005369532389729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0375671191548615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(Mod.)'!$O$3:$O$8</c:f>
              <c:numCache>
                <c:formatCode>_(* #,##0_);_(* \(#,##0\);_(* "-"??_);_(@_)</c:formatCode>
                <c:ptCount val="6"/>
                <c:pt idx="0">
                  <c:v>4448849</c:v>
                </c:pt>
                <c:pt idx="1">
                  <c:v>4525692</c:v>
                </c:pt>
                <c:pt idx="2">
                  <c:v>4544184</c:v>
                </c:pt>
                <c:pt idx="3">
                  <c:v>4529282</c:v>
                </c:pt>
                <c:pt idx="4">
                  <c:v>4488113</c:v>
                </c:pt>
                <c:pt idx="5">
                  <c:v>4563337</c:v>
                </c:pt>
              </c:numCache>
            </c:numRef>
          </c:val>
        </c:ser>
        <c:dLbls>
          <c:showLegendKey val="0"/>
          <c:showVal val="0"/>
          <c:showCatName val="0"/>
          <c:showSerName val="0"/>
          <c:showPercent val="0"/>
          <c:showBubbleSize val="0"/>
        </c:dLbls>
        <c:gapWidth val="75"/>
        <c:shape val="cylinder"/>
        <c:axId val="242522808"/>
        <c:axId val="242523200"/>
        <c:axId val="0"/>
      </c:bar3DChart>
      <c:dateAx>
        <c:axId val="242522808"/>
        <c:scaling>
          <c:orientation val="minMax"/>
        </c:scaling>
        <c:delete val="0"/>
        <c:axPos val="b"/>
        <c:numFmt formatCode="mmm\-yy" sourceLinked="0"/>
        <c:majorTickMark val="none"/>
        <c:minorTickMark val="none"/>
        <c:tickLblPos val="nextTo"/>
        <c:crossAx val="242523200"/>
        <c:crosses val="autoZero"/>
        <c:auto val="1"/>
        <c:lblOffset val="100"/>
        <c:baseTimeUnit val="months"/>
      </c:dateAx>
      <c:valAx>
        <c:axId val="242523200"/>
        <c:scaling>
          <c:orientation val="minMax"/>
        </c:scaling>
        <c:delete val="0"/>
        <c:axPos val="l"/>
        <c:numFmt formatCode="_(* #,##0_);_(* \(#,##0\);_(* &quot;-&quot;??_);_(@_)" sourceLinked="1"/>
        <c:majorTickMark val="none"/>
        <c:minorTickMark val="none"/>
        <c:tickLblPos val="nextTo"/>
        <c:spPr>
          <a:ln w="9525">
            <a:noFill/>
          </a:ln>
        </c:spPr>
        <c:crossAx val="242522808"/>
        <c:crosses val="autoZero"/>
        <c:crossBetween val="between"/>
        <c:dispUnits>
          <c:builtInUnit val="thousands"/>
          <c:dispUnitsLbl/>
        </c:dispUnits>
      </c:valAx>
      <c:spPr>
        <a:noFill/>
        <a:ln w="25400">
          <a:noFill/>
        </a:ln>
      </c:spPr>
    </c:plotArea>
    <c:legend>
      <c:legendPos val="b"/>
      <c:layout>
        <c:manualLayout>
          <c:xMode val="edge"/>
          <c:yMode val="edge"/>
          <c:x val="0.12722806845406007"/>
          <c:y val="0.10304299351961536"/>
          <c:w val="0.5491899493871677"/>
          <c:h val="5.43425545258170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Apelaciones de Dictámenes de la CMNR por Estatus de la Solicitud
</a:t>
            </a:r>
          </a:p>
        </c:rich>
      </c:tx>
      <c:layout>
        <c:manualLayout>
          <c:xMode val="edge"/>
          <c:yMode val="edge"/>
          <c:x val="0.33129096035484645"/>
          <c:y val="4.5433026829335185E-2"/>
        </c:manualLayout>
      </c:layout>
      <c:overlay val="0"/>
    </c:title>
    <c:autoTitleDeleted val="0"/>
    <c:plotArea>
      <c:layout>
        <c:manualLayout>
          <c:layoutTarget val="inner"/>
          <c:xMode val="edge"/>
          <c:yMode val="edge"/>
          <c:x val="0.17669317133884063"/>
          <c:y val="9.5956997222742271E-2"/>
          <c:w val="0.78880483919853994"/>
          <c:h val="0.53364414015313677"/>
        </c:manualLayout>
      </c:layout>
      <c:barChart>
        <c:barDir val="col"/>
        <c:grouping val="stacked"/>
        <c:varyColors val="0"/>
        <c:ser>
          <c:idx val="0"/>
          <c:order val="0"/>
          <c:tx>
            <c:strRef>
              <c:f>Apelaciones2!$B$4</c:f>
              <c:strCache>
                <c:ptCount val="1"/>
                <c:pt idx="0">
                  <c:v>Revisado validado</c:v>
                </c:pt>
              </c:strCache>
            </c:strRef>
          </c:tx>
          <c:spPr>
            <a:solidFill>
              <a:schemeClr val="tx2">
                <a:lumMod val="75000"/>
              </a:schemeClr>
            </a:solidFill>
          </c:spPr>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Apelaciones2!$B$5:$B$10</c:f>
              <c:numCache>
                <c:formatCode>_(* #,##0_);_(* \(#,##0\);_(* "-"??_);_(@_)</c:formatCode>
                <c:ptCount val="6"/>
                <c:pt idx="0">
                  <c:v>44</c:v>
                </c:pt>
                <c:pt idx="1">
                  <c:v>57</c:v>
                </c:pt>
                <c:pt idx="2">
                  <c:v>51</c:v>
                </c:pt>
                <c:pt idx="3">
                  <c:v>285</c:v>
                </c:pt>
                <c:pt idx="4">
                  <c:v>108</c:v>
                </c:pt>
                <c:pt idx="5">
                  <c:v>2</c:v>
                </c:pt>
              </c:numCache>
            </c:numRef>
          </c:val>
        </c:ser>
        <c:ser>
          <c:idx val="1"/>
          <c:order val="1"/>
          <c:tx>
            <c:strRef>
              <c:f>Apelaciones2!$C$4</c:f>
              <c:strCache>
                <c:ptCount val="1"/>
                <c:pt idx="0">
                  <c:v>Revisado rechazado</c:v>
                </c:pt>
              </c:strCache>
            </c:strRef>
          </c:tx>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Apelaciones2!$C$5:$C$10</c:f>
              <c:numCache>
                <c:formatCode>_(* #,##0_);_(* \(#,##0\);_(* "-"??_);_(@_)</c:formatCode>
                <c:ptCount val="6"/>
                <c:pt idx="0">
                  <c:v>14</c:v>
                </c:pt>
                <c:pt idx="1">
                  <c:v>14</c:v>
                </c:pt>
                <c:pt idx="2">
                  <c:v>57</c:v>
                </c:pt>
                <c:pt idx="3">
                  <c:v>188</c:v>
                </c:pt>
                <c:pt idx="4">
                  <c:v>87</c:v>
                </c:pt>
                <c:pt idx="5">
                  <c:v>1</c:v>
                </c:pt>
              </c:numCache>
            </c:numRef>
          </c:val>
        </c:ser>
        <c:ser>
          <c:idx val="2"/>
          <c:order val="2"/>
          <c:tx>
            <c:strRef>
              <c:f>Apelaciones2!$D$4</c:f>
              <c:strCache>
                <c:ptCount val="1"/>
                <c:pt idx="0">
                  <c:v>Reevaluado</c:v>
                </c:pt>
              </c:strCache>
            </c:strRef>
          </c:tx>
          <c:spPr>
            <a:solidFill>
              <a:schemeClr val="tx1">
                <a:lumMod val="95000"/>
                <a:lumOff val="5000"/>
              </a:schemeClr>
            </a:solidFill>
          </c:spPr>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Apelaciones2!$D$5:$D$10</c:f>
              <c:numCache>
                <c:formatCode>_(* #,##0_);_(* \(#,##0\);_(* "-"??_);_(@_)</c:formatCode>
                <c:ptCount val="6"/>
                <c:pt idx="0">
                  <c:v>0</c:v>
                </c:pt>
                <c:pt idx="1">
                  <c:v>0</c:v>
                </c:pt>
                <c:pt idx="2">
                  <c:v>8</c:v>
                </c:pt>
                <c:pt idx="3">
                  <c:v>0</c:v>
                </c:pt>
                <c:pt idx="4">
                  <c:v>0</c:v>
                </c:pt>
                <c:pt idx="5">
                  <c:v>0</c:v>
                </c:pt>
              </c:numCache>
            </c:numRef>
          </c:val>
        </c:ser>
        <c:ser>
          <c:idx val="3"/>
          <c:order val="3"/>
          <c:tx>
            <c:strRef>
              <c:f>Apelaciones2!$E$4</c:f>
              <c:strCache>
                <c:ptCount val="1"/>
                <c:pt idx="0">
                  <c:v>Revisado corregido</c:v>
                </c:pt>
              </c:strCache>
            </c:strRef>
          </c:tx>
          <c:spPr>
            <a:solidFill>
              <a:srgbClr val="7030A0"/>
            </a:solidFill>
          </c:spPr>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Apelaciones2!$E$5:$E$10</c:f>
              <c:numCache>
                <c:formatCode>_(* #,##0_);_(* \(#,##0\);_(* "-"??_);_(@_)</c:formatCode>
                <c:ptCount val="6"/>
                <c:pt idx="0">
                  <c:v>5</c:v>
                </c:pt>
                <c:pt idx="1">
                  <c:v>5</c:v>
                </c:pt>
                <c:pt idx="2">
                  <c:v>3</c:v>
                </c:pt>
                <c:pt idx="3">
                  <c:v>0</c:v>
                </c:pt>
                <c:pt idx="4">
                  <c:v>0</c:v>
                </c:pt>
                <c:pt idx="5">
                  <c:v>0</c:v>
                </c:pt>
              </c:numCache>
            </c:numRef>
          </c:val>
        </c:ser>
        <c:ser>
          <c:idx val="4"/>
          <c:order val="4"/>
          <c:tx>
            <c:strRef>
              <c:f>Apelaciones2!$F$4</c:f>
              <c:strCache>
                <c:ptCount val="1"/>
                <c:pt idx="0">
                  <c:v>Solicitud exámenes médicos</c:v>
                </c:pt>
              </c:strCache>
            </c:strRef>
          </c:tx>
          <c:spPr>
            <a:solidFill>
              <a:schemeClr val="accent3">
                <a:lumMod val="50000"/>
              </a:schemeClr>
            </a:solidFill>
          </c:spPr>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Apelaciones2!$F$5:$F$10</c:f>
              <c:numCache>
                <c:formatCode>_(* #,##0_);_(* \(#,##0\);_(* "-"??_);_(@_)</c:formatCode>
                <c:ptCount val="6"/>
                <c:pt idx="1">
                  <c:v>1</c:v>
                </c:pt>
                <c:pt idx="2">
                  <c:v>1</c:v>
                </c:pt>
                <c:pt idx="3">
                  <c:v>0</c:v>
                </c:pt>
                <c:pt idx="4">
                  <c:v>0</c:v>
                </c:pt>
                <c:pt idx="5">
                  <c:v>0</c:v>
                </c:pt>
              </c:numCache>
            </c:numRef>
          </c:val>
        </c:ser>
        <c:ser>
          <c:idx val="5"/>
          <c:order val="5"/>
          <c:tx>
            <c:strRef>
              <c:f>Apelaciones2!$G$4</c:f>
              <c:strCache>
                <c:ptCount val="1"/>
                <c:pt idx="0">
                  <c:v>Estado no especificado</c:v>
                </c:pt>
              </c:strCache>
            </c:strRef>
          </c:tx>
          <c:spPr>
            <a:solidFill>
              <a:schemeClr val="accent3">
                <a:lumMod val="50000"/>
              </a:schemeClr>
            </a:solidFill>
          </c:spPr>
          <c:invertIfNegative val="0"/>
          <c:cat>
            <c:strRef>
              <c:f>Apelaciones2!$A$5:$A$10</c:f>
              <c:strCache>
                <c:ptCount val="6"/>
                <c:pt idx="0">
                  <c:v>2009</c:v>
                </c:pt>
                <c:pt idx="1">
                  <c:v>2010</c:v>
                </c:pt>
                <c:pt idx="2">
                  <c:v>2011</c:v>
                </c:pt>
                <c:pt idx="3">
                  <c:v>2012</c:v>
                </c:pt>
                <c:pt idx="4">
                  <c:v>Ene- Abril 2013</c:v>
                </c:pt>
                <c:pt idx="5">
                  <c:v>Fecha no especificada</c:v>
                </c:pt>
              </c:strCache>
            </c:strRef>
          </c:cat>
          <c:val>
            <c:numRef>
              <c:f>Apelaciones2!$G$5:$G$10</c:f>
              <c:numCache>
                <c:formatCode>_(* #,##0_);_(* \(#,##0\);_(* "-"??_);_(@_)</c:formatCode>
                <c:ptCount val="6"/>
                <c:pt idx="0">
                  <c:v>29</c:v>
                </c:pt>
                <c:pt idx="1">
                  <c:v>8</c:v>
                </c:pt>
                <c:pt idx="2">
                  <c:v>3</c:v>
                </c:pt>
                <c:pt idx="3">
                  <c:v>17</c:v>
                </c:pt>
                <c:pt idx="4">
                  <c:v>0</c:v>
                </c:pt>
                <c:pt idx="5">
                  <c:v>49</c:v>
                </c:pt>
              </c:numCache>
            </c:numRef>
          </c:val>
        </c:ser>
        <c:dLbls>
          <c:showLegendKey val="0"/>
          <c:showVal val="0"/>
          <c:showCatName val="0"/>
          <c:showSerName val="0"/>
          <c:showPercent val="0"/>
          <c:showBubbleSize val="0"/>
        </c:dLbls>
        <c:gapWidth val="95"/>
        <c:overlap val="100"/>
        <c:axId val="293033224"/>
        <c:axId val="293033616"/>
      </c:barChart>
      <c:catAx>
        <c:axId val="293033224"/>
        <c:scaling>
          <c:orientation val="minMax"/>
        </c:scaling>
        <c:delete val="0"/>
        <c:axPos val="b"/>
        <c:numFmt formatCode="General" sourceLinked="0"/>
        <c:majorTickMark val="none"/>
        <c:minorTickMark val="none"/>
        <c:tickLblPos val="nextTo"/>
        <c:txPr>
          <a:bodyPr rot="-5400000" vert="horz"/>
          <a:lstStyle/>
          <a:p>
            <a:pPr>
              <a:defRPr/>
            </a:pPr>
            <a:endParaRPr lang="es-ES"/>
          </a:p>
        </c:txPr>
        <c:crossAx val="293033616"/>
        <c:crosses val="autoZero"/>
        <c:auto val="1"/>
        <c:lblAlgn val="ctr"/>
        <c:lblOffset val="100"/>
        <c:noMultiLvlLbl val="0"/>
      </c:catAx>
      <c:valAx>
        <c:axId val="293033616"/>
        <c:scaling>
          <c:orientation val="minMax"/>
        </c:scaling>
        <c:delete val="1"/>
        <c:axPos val="l"/>
        <c:numFmt formatCode="_(* #,##0_);_(* \(#,##0\);_(* &quot;-&quot;??_);_(@_)" sourceLinked="1"/>
        <c:majorTickMark val="none"/>
        <c:minorTickMark val="none"/>
        <c:tickLblPos val="nextTo"/>
        <c:crossAx val="293033224"/>
        <c:crosses val="autoZero"/>
        <c:crossBetween val="between"/>
      </c:valAx>
      <c:dTable>
        <c:showHorzBorder val="1"/>
        <c:showVertBorder val="1"/>
        <c:showOutline val="1"/>
        <c:showKeys val="1"/>
        <c:txPr>
          <a:bodyPr/>
          <a:lstStyle/>
          <a:p>
            <a:pPr rtl="0">
              <a:defRPr sz="1600"/>
            </a:pPr>
            <a:endParaRPr lang="es-ES"/>
          </a:p>
        </c:txPr>
      </c:dTable>
    </c:plotArea>
    <c:plotVisOnly val="1"/>
    <c:dispBlanksAs val="gap"/>
    <c:showDLblsOverMax val="0"/>
  </c:chart>
  <c:spPr>
    <a:ln>
      <a:noFill/>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'Por Entidad Receptora Origen'!$A$4:$B$4</c:f>
              <c:strCache>
                <c:ptCount val="2"/>
                <c:pt idx="0">
                  <c:v>AFP y Otros</c:v>
                </c:pt>
                <c:pt idx="1">
                  <c:v>Solicitado por Afiliado</c:v>
                </c:pt>
              </c:strCache>
            </c:strRef>
          </c:tx>
          <c:spPr>
            <a:solidFill>
              <a:srgbClr val="002060"/>
            </a:solidFill>
          </c:spPr>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Origen'!$C$4:$I$4</c:f>
              <c:numCache>
                <c:formatCode>General</c:formatCode>
                <c:ptCount val="7"/>
                <c:pt idx="0">
                  <c:v>80</c:v>
                </c:pt>
                <c:pt idx="1">
                  <c:v>53</c:v>
                </c:pt>
                <c:pt idx="2">
                  <c:v>66</c:v>
                </c:pt>
                <c:pt idx="3">
                  <c:v>271</c:v>
                </c:pt>
                <c:pt idx="4">
                  <c:v>471</c:v>
                </c:pt>
                <c:pt idx="5">
                  <c:v>273</c:v>
                </c:pt>
                <c:pt idx="6">
                  <c:v>5</c:v>
                </c:pt>
              </c:numCache>
            </c:numRef>
          </c:val>
        </c:ser>
        <c:ser>
          <c:idx val="1"/>
          <c:order val="1"/>
          <c:tx>
            <c:strRef>
              <c:f>'Por Entidad Receptora Origen'!$A$5:$B$5</c:f>
              <c:strCache>
                <c:ptCount val="2"/>
                <c:pt idx="0">
                  <c:v>AFP y Otros</c:v>
                </c:pt>
                <c:pt idx="1">
                  <c:v>Solicitado por Seguro</c:v>
                </c:pt>
              </c:strCache>
            </c:strRef>
          </c:tx>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Origen'!$C$5:$I$5</c:f>
              <c:numCache>
                <c:formatCode>General</c:formatCode>
                <c:ptCount val="7"/>
                <c:pt idx="0">
                  <c:v>13</c:v>
                </c:pt>
                <c:pt idx="1">
                  <c:v>25</c:v>
                </c:pt>
                <c:pt idx="2">
                  <c:v>45</c:v>
                </c:pt>
                <c:pt idx="3">
                  <c:v>180</c:v>
                </c:pt>
                <c:pt idx="4">
                  <c:v>217</c:v>
                </c:pt>
                <c:pt idx="5">
                  <c:v>99</c:v>
                </c:pt>
                <c:pt idx="6">
                  <c:v>0</c:v>
                </c:pt>
              </c:numCache>
            </c:numRef>
          </c:val>
        </c:ser>
        <c:ser>
          <c:idx val="2"/>
          <c:order val="2"/>
          <c:tx>
            <c:strRef>
              <c:f>'Por Entidad Receptora Origen'!$A$6:$B$6</c:f>
              <c:strCache>
                <c:ptCount val="2"/>
                <c:pt idx="0">
                  <c:v>AFP y Otros</c:v>
                </c:pt>
                <c:pt idx="1">
                  <c:v>Origen no especificado</c:v>
                </c:pt>
              </c:strCache>
            </c:strRef>
          </c:tx>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Origen'!$C$6:$I$6</c:f>
              <c:numCache>
                <c:formatCode>General</c:formatCode>
                <c:ptCount val="7"/>
                <c:pt idx="0">
                  <c:v>0</c:v>
                </c:pt>
                <c:pt idx="1">
                  <c:v>0</c:v>
                </c:pt>
                <c:pt idx="2">
                  <c:v>0</c:v>
                </c:pt>
                <c:pt idx="3">
                  <c:v>54</c:v>
                </c:pt>
                <c:pt idx="4">
                  <c:v>19</c:v>
                </c:pt>
                <c:pt idx="5">
                  <c:v>2</c:v>
                </c:pt>
                <c:pt idx="6">
                  <c:v>1</c:v>
                </c:pt>
              </c:numCache>
            </c:numRef>
          </c:val>
        </c:ser>
        <c:ser>
          <c:idx val="3"/>
          <c:order val="3"/>
          <c:tx>
            <c:strRef>
              <c:f>'Por Entidad Receptora Origen'!$A$7:$B$7</c:f>
              <c:strCache>
                <c:ptCount val="2"/>
                <c:pt idx="0">
                  <c:v>ARL</c:v>
                </c:pt>
                <c:pt idx="1">
                  <c:v>Solicitado por Afiliado</c:v>
                </c:pt>
              </c:strCache>
            </c:strRef>
          </c:tx>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Origen'!$C$7:$I$7</c:f>
              <c:numCache>
                <c:formatCode>General</c:formatCode>
                <c:ptCount val="7"/>
                <c:pt idx="0">
                  <c:v>0</c:v>
                </c:pt>
                <c:pt idx="1">
                  <c:v>8</c:v>
                </c:pt>
                <c:pt idx="2">
                  <c:v>12</c:v>
                </c:pt>
                <c:pt idx="3">
                  <c:v>43</c:v>
                </c:pt>
                <c:pt idx="4">
                  <c:v>56</c:v>
                </c:pt>
                <c:pt idx="5">
                  <c:v>14</c:v>
                </c:pt>
                <c:pt idx="6">
                  <c:v>0</c:v>
                </c:pt>
              </c:numCache>
            </c:numRef>
          </c:val>
        </c:ser>
        <c:ser>
          <c:idx val="4"/>
          <c:order val="4"/>
          <c:tx>
            <c:strRef>
              <c:f>'Por Entidad Receptora Origen'!$A$8:$B$8</c:f>
              <c:strCache>
                <c:ptCount val="2"/>
                <c:pt idx="0">
                  <c:v>ARL</c:v>
                </c:pt>
                <c:pt idx="1">
                  <c:v>Solicitado por Seguro</c:v>
                </c:pt>
              </c:strCache>
            </c:strRef>
          </c:tx>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Origen'!$C$8:$I$8</c:f>
              <c:numCache>
                <c:formatCode>General</c:formatCode>
                <c:ptCount val="7"/>
                <c:pt idx="0">
                  <c:v>0</c:v>
                </c:pt>
                <c:pt idx="1">
                  <c:v>0</c:v>
                </c:pt>
                <c:pt idx="2">
                  <c:v>0</c:v>
                </c:pt>
                <c:pt idx="3">
                  <c:v>5</c:v>
                </c:pt>
                <c:pt idx="4">
                  <c:v>2</c:v>
                </c:pt>
                <c:pt idx="5">
                  <c:v>0</c:v>
                </c:pt>
                <c:pt idx="6">
                  <c:v>0</c:v>
                </c:pt>
              </c:numCache>
            </c:numRef>
          </c:val>
        </c:ser>
        <c:ser>
          <c:idx val="5"/>
          <c:order val="5"/>
          <c:tx>
            <c:strRef>
              <c:f>'Por Entidad Receptora Origen'!$A$9:$B$9</c:f>
              <c:strCache>
                <c:ptCount val="2"/>
                <c:pt idx="0">
                  <c:v>ARL</c:v>
                </c:pt>
                <c:pt idx="1">
                  <c:v>Origen no especificado</c:v>
                </c:pt>
              </c:strCache>
            </c:strRef>
          </c:tx>
          <c:invertIfNegative val="0"/>
          <c:cat>
            <c:strRef>
              <c:f>'Por Entidad Receptora Origen'!$C$3:$I$3</c:f>
              <c:strCache>
                <c:ptCount val="7"/>
                <c:pt idx="0">
                  <c:v>2009</c:v>
                </c:pt>
                <c:pt idx="1">
                  <c:v>2010</c:v>
                </c:pt>
                <c:pt idx="2">
                  <c:v>2011</c:v>
                </c:pt>
                <c:pt idx="3">
                  <c:v>2012</c:v>
                </c:pt>
                <c:pt idx="4">
                  <c:v>2013</c:v>
                </c:pt>
                <c:pt idx="5">
                  <c:v>Ene-Dic. 2014</c:v>
                </c:pt>
                <c:pt idx="6">
                  <c:v>Fecha No especificada</c:v>
                </c:pt>
              </c:strCache>
            </c:strRef>
          </c:cat>
          <c:val>
            <c:numRef>
              <c:f>'Por Entidad Receptora Origen'!$C$9:$I$9</c:f>
              <c:numCache>
                <c:formatCode>General</c:formatCode>
                <c:ptCount val="7"/>
                <c:pt idx="0">
                  <c:v>1</c:v>
                </c:pt>
                <c:pt idx="1">
                  <c:v>0</c:v>
                </c:pt>
                <c:pt idx="2">
                  <c:v>0</c:v>
                </c:pt>
                <c:pt idx="3">
                  <c:v>6</c:v>
                </c:pt>
                <c:pt idx="4">
                  <c:v>2</c:v>
                </c:pt>
                <c:pt idx="5">
                  <c:v>0</c:v>
                </c:pt>
                <c:pt idx="6">
                  <c:v>0</c:v>
                </c:pt>
              </c:numCache>
            </c:numRef>
          </c:val>
        </c:ser>
        <c:dLbls>
          <c:showLegendKey val="0"/>
          <c:showVal val="0"/>
          <c:showCatName val="0"/>
          <c:showSerName val="0"/>
          <c:showPercent val="0"/>
          <c:showBubbleSize val="0"/>
        </c:dLbls>
        <c:gapWidth val="150"/>
        <c:axId val="293034792"/>
        <c:axId val="293035184"/>
      </c:barChart>
      <c:catAx>
        <c:axId val="293034792"/>
        <c:scaling>
          <c:orientation val="minMax"/>
        </c:scaling>
        <c:delete val="0"/>
        <c:axPos val="b"/>
        <c:numFmt formatCode="General" sourceLinked="1"/>
        <c:majorTickMark val="none"/>
        <c:minorTickMark val="none"/>
        <c:tickLblPos val="nextTo"/>
        <c:crossAx val="293035184"/>
        <c:crosses val="autoZero"/>
        <c:auto val="1"/>
        <c:lblAlgn val="ctr"/>
        <c:lblOffset val="100"/>
        <c:noMultiLvlLbl val="0"/>
      </c:catAx>
      <c:valAx>
        <c:axId val="293035184"/>
        <c:scaling>
          <c:orientation val="minMax"/>
        </c:scaling>
        <c:delete val="1"/>
        <c:axPos val="l"/>
        <c:numFmt formatCode="General" sourceLinked="1"/>
        <c:majorTickMark val="none"/>
        <c:minorTickMark val="none"/>
        <c:tickLblPos val="nextTo"/>
        <c:crossAx val="293034792"/>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0263362527810917E-2"/>
          <c:y val="0.23373768751510449"/>
          <c:w val="0.94968297139141167"/>
          <c:h val="0.6750711336420081"/>
        </c:manualLayout>
      </c:layout>
      <c:bar3DChart>
        <c:barDir val="col"/>
        <c:grouping val="clustered"/>
        <c:varyColors val="0"/>
        <c:ser>
          <c:idx val="1"/>
          <c:order val="0"/>
          <c:tx>
            <c:strRef>
              <c:f>'VIII.1 Sol.Pensiones'!$B$2</c:f>
              <c:strCache>
                <c:ptCount val="1"/>
                <c:pt idx="0">
                  <c:v>Solicitud de Pensión por Vejez a República Dominicana (Desde España a RD)</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Sol.Pensiones'!$B$3:$B$8</c:f>
              <c:numCache>
                <c:formatCode>@</c:formatCode>
                <c:ptCount val="6"/>
                <c:pt idx="0">
                  <c:v>0</c:v>
                </c:pt>
                <c:pt idx="1">
                  <c:v>0</c:v>
                </c:pt>
                <c:pt idx="2">
                  <c:v>0</c:v>
                </c:pt>
                <c:pt idx="3">
                  <c:v>3</c:v>
                </c:pt>
                <c:pt idx="4">
                  <c:v>0</c:v>
                </c:pt>
              </c:numCache>
            </c:numRef>
          </c:val>
        </c:ser>
        <c:ser>
          <c:idx val="2"/>
          <c:order val="1"/>
          <c:tx>
            <c:strRef>
              <c:f>'VIII.1 Sol.Pensiones'!$C$2</c:f>
              <c:strCache>
                <c:ptCount val="1"/>
                <c:pt idx="0">
                  <c:v>Solicitud  de Pensión por jubilación España (Desde RD a España)</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Sol.Pensiones'!$C$3:$C$8</c:f>
              <c:numCache>
                <c:formatCode>@</c:formatCode>
                <c:ptCount val="6"/>
                <c:pt idx="0">
                  <c:v>0</c:v>
                </c:pt>
                <c:pt idx="1">
                  <c:v>0</c:v>
                </c:pt>
                <c:pt idx="2">
                  <c:v>63</c:v>
                </c:pt>
                <c:pt idx="3">
                  <c:v>0</c:v>
                </c:pt>
                <c:pt idx="4">
                  <c:v>0</c:v>
                </c:pt>
                <c:pt idx="5">
                  <c:v>0</c:v>
                </c:pt>
              </c:numCache>
            </c:numRef>
          </c:val>
        </c:ser>
        <c:ser>
          <c:idx val="3"/>
          <c:order val="2"/>
          <c:tx>
            <c:strRef>
              <c:f>'VIII.1 Sol.Pensiones'!$D$2</c:f>
              <c:strCache>
                <c:ptCount val="1"/>
                <c:pt idx="0">
                  <c:v>Solicitud de Pensión por discapacidad a República Dominicana (Desde España a RD)</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Sol.Pensiones'!$D$3:$D$8</c:f>
              <c:numCache>
                <c:formatCode>@</c:formatCode>
                <c:ptCount val="6"/>
                <c:pt idx="0">
                  <c:v>0</c:v>
                </c:pt>
                <c:pt idx="1">
                  <c:v>0</c:v>
                </c:pt>
                <c:pt idx="2">
                  <c:v>22</c:v>
                </c:pt>
                <c:pt idx="3">
                  <c:v>0</c:v>
                </c:pt>
              </c:numCache>
            </c:numRef>
          </c:val>
        </c:ser>
        <c:ser>
          <c:idx val="4"/>
          <c:order val="3"/>
          <c:tx>
            <c:strRef>
              <c:f>'VIII.1 Sol.Pensiones'!$E$2</c:f>
              <c:strCache>
                <c:ptCount val="1"/>
                <c:pt idx="0">
                  <c:v>Solicitud de Pensión por Incapacidad España (Desde RD a España)</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Sol.Pensiones'!$E$3:$E$8</c:f>
              <c:numCache>
                <c:formatCode>@</c:formatCode>
                <c:ptCount val="6"/>
                <c:pt idx="0">
                  <c:v>0</c:v>
                </c:pt>
                <c:pt idx="1">
                  <c:v>0</c:v>
                </c:pt>
                <c:pt idx="2">
                  <c:v>25</c:v>
                </c:pt>
                <c:pt idx="3">
                  <c:v>0</c:v>
                </c:pt>
              </c:numCache>
            </c:numRef>
          </c:val>
        </c:ser>
        <c:ser>
          <c:idx val="5"/>
          <c:order val="4"/>
          <c:tx>
            <c:strRef>
              <c:f>'VIII.1 Sol.Pensiones'!$F$2</c:f>
              <c:strCache>
                <c:ptCount val="1"/>
                <c:pt idx="0">
                  <c:v>Solicitud De Pensión por Sobrevivencia Desde España a RD</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Sol.Pensiones'!$F$3:$F$8</c:f>
              <c:numCache>
                <c:formatCode>@</c:formatCode>
                <c:ptCount val="6"/>
                <c:pt idx="0">
                  <c:v>0</c:v>
                </c:pt>
                <c:pt idx="1">
                  <c:v>0</c:v>
                </c:pt>
                <c:pt idx="2">
                  <c:v>17</c:v>
                </c:pt>
                <c:pt idx="3">
                  <c:v>2</c:v>
                </c:pt>
                <c:pt idx="4">
                  <c:v>0</c:v>
                </c:pt>
              </c:numCache>
            </c:numRef>
          </c:val>
        </c:ser>
        <c:ser>
          <c:idx val="6"/>
          <c:order val="5"/>
          <c:tx>
            <c:strRef>
              <c:f>'VIII.1 Sol.Pensiones'!$G$2</c:f>
              <c:strCache>
                <c:ptCount val="1"/>
                <c:pt idx="0">
                  <c:v>Solicitud De Pensión por Sobrevivencia Desde Republica Dominicana a España</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Sol.Pensiones'!$G$3:$G$8</c:f>
              <c:numCache>
                <c:formatCode>@</c:formatCode>
                <c:ptCount val="6"/>
                <c:pt idx="0">
                  <c:v>0</c:v>
                </c:pt>
                <c:pt idx="1">
                  <c:v>0</c:v>
                </c:pt>
                <c:pt idx="2">
                  <c:v>11</c:v>
                </c:pt>
                <c:pt idx="3">
                  <c:v>0</c:v>
                </c:pt>
                <c:pt idx="4">
                  <c:v>0</c:v>
                </c:pt>
                <c:pt idx="5">
                  <c:v>0</c:v>
                </c:pt>
              </c:numCache>
            </c:numRef>
          </c:val>
        </c:ser>
        <c:ser>
          <c:idx val="7"/>
          <c:order val="6"/>
          <c:tx>
            <c:strRef>
              <c:f>'VIII.1 Sol.Pensiones'!$H$2</c:f>
              <c:strCache>
                <c:ptCount val="1"/>
                <c:pt idx="0">
                  <c:v>Número de Casos Solicitando Pensión a España, depositados en esta Oficina de Enlace</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Sol.Pensiones'!$A$3:$A$8</c:f>
              <c:strCache>
                <c:ptCount val="6"/>
                <c:pt idx="0">
                  <c:v>2009</c:v>
                </c:pt>
                <c:pt idx="1">
                  <c:v>2010</c:v>
                </c:pt>
                <c:pt idx="2">
                  <c:v>2011</c:v>
                </c:pt>
                <c:pt idx="3">
                  <c:v>2012</c:v>
                </c:pt>
                <c:pt idx="4">
                  <c:v>2013</c:v>
                </c:pt>
                <c:pt idx="5">
                  <c:v>Feb.2014</c:v>
                </c:pt>
              </c:strCache>
            </c:strRef>
          </c:cat>
          <c:val>
            <c:numRef>
              <c:f>'VIII.1 Sol.Pensiones'!$H$3:$H$8</c:f>
              <c:numCache>
                <c:formatCode>@</c:formatCode>
                <c:ptCount val="6"/>
                <c:pt idx="0">
                  <c:v>0</c:v>
                </c:pt>
                <c:pt idx="1">
                  <c:v>0</c:v>
                </c:pt>
                <c:pt idx="2">
                  <c:v>0</c:v>
                </c:pt>
                <c:pt idx="3">
                  <c:v>31</c:v>
                </c:pt>
                <c:pt idx="4">
                  <c:v>0</c:v>
                </c:pt>
                <c:pt idx="5">
                  <c:v>0</c:v>
                </c:pt>
              </c:numCache>
            </c:numRef>
          </c:val>
        </c:ser>
        <c:dLbls>
          <c:showLegendKey val="0"/>
          <c:showVal val="0"/>
          <c:showCatName val="0"/>
          <c:showSerName val="0"/>
          <c:showPercent val="0"/>
          <c:showBubbleSize val="0"/>
        </c:dLbls>
        <c:gapWidth val="150"/>
        <c:shape val="cylinder"/>
        <c:axId val="287325296"/>
        <c:axId val="287325688"/>
        <c:axId val="0"/>
      </c:bar3DChart>
      <c:catAx>
        <c:axId val="287325296"/>
        <c:scaling>
          <c:orientation val="minMax"/>
        </c:scaling>
        <c:delete val="0"/>
        <c:axPos val="b"/>
        <c:numFmt formatCode="General" sourceLinked="1"/>
        <c:majorTickMark val="out"/>
        <c:minorTickMark val="none"/>
        <c:tickLblPos val="nextTo"/>
        <c:txPr>
          <a:bodyPr/>
          <a:lstStyle/>
          <a:p>
            <a:pPr>
              <a:defRPr sz="1200"/>
            </a:pPr>
            <a:endParaRPr lang="es-ES"/>
          </a:p>
        </c:txPr>
        <c:crossAx val="287325688"/>
        <c:crosses val="autoZero"/>
        <c:auto val="1"/>
        <c:lblAlgn val="ctr"/>
        <c:lblOffset val="100"/>
        <c:noMultiLvlLbl val="0"/>
      </c:catAx>
      <c:valAx>
        <c:axId val="287325688"/>
        <c:scaling>
          <c:orientation val="minMax"/>
        </c:scaling>
        <c:delete val="0"/>
        <c:axPos val="l"/>
        <c:numFmt formatCode="@" sourceLinked="1"/>
        <c:majorTickMark val="out"/>
        <c:minorTickMark val="none"/>
        <c:tickLblPos val="nextTo"/>
        <c:crossAx val="287325296"/>
        <c:crosses val="autoZero"/>
        <c:crossBetween val="between"/>
      </c:valAx>
    </c:plotArea>
    <c:legend>
      <c:legendPos val="r"/>
      <c:layout>
        <c:manualLayout>
          <c:xMode val="edge"/>
          <c:yMode val="edge"/>
          <c:x val="8.0677022052870764E-2"/>
          <c:y val="2.2850590985142138E-2"/>
          <c:w val="0.87828029034059185"/>
          <c:h val="0.1353147314123295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7533728055182474E-2"/>
          <c:y val="0.16930474388996369"/>
          <c:w val="0.93176903016716861"/>
          <c:h val="0.54335691176862455"/>
        </c:manualLayout>
      </c:layout>
      <c:bar3DChart>
        <c:barDir val="col"/>
        <c:grouping val="clustered"/>
        <c:varyColors val="0"/>
        <c:ser>
          <c:idx val="0"/>
          <c:order val="0"/>
          <c:tx>
            <c:strRef>
              <c:f>'VIII.2 Sol.Ent.Sal.'!$A$4</c:f>
              <c:strCache>
                <c:ptCount val="1"/>
                <c:pt idx="0">
                  <c:v>2009</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Sol.Ent.Sal.'!$B$4:$J$4</c:f>
              <c:numCache>
                <c:formatCode>@</c:formatCode>
                <c:ptCount val="9"/>
                <c:pt idx="0">
                  <c:v>47</c:v>
                </c:pt>
                <c:pt idx="1">
                  <c:v>0</c:v>
                </c:pt>
                <c:pt idx="2">
                  <c:v>0</c:v>
                </c:pt>
                <c:pt idx="3">
                  <c:v>0</c:v>
                </c:pt>
                <c:pt idx="4">
                  <c:v>1</c:v>
                </c:pt>
                <c:pt idx="5">
                  <c:v>0</c:v>
                </c:pt>
                <c:pt idx="6">
                  <c:v>0</c:v>
                </c:pt>
                <c:pt idx="7">
                  <c:v>0</c:v>
                </c:pt>
                <c:pt idx="8">
                  <c:v>0</c:v>
                </c:pt>
              </c:numCache>
            </c:numRef>
          </c:val>
        </c:ser>
        <c:ser>
          <c:idx val="1"/>
          <c:order val="1"/>
          <c:tx>
            <c:strRef>
              <c:f>'VIII.2 Sol.Ent.Sal.'!$A$5</c:f>
              <c:strCache>
                <c:ptCount val="1"/>
                <c:pt idx="0">
                  <c:v>2010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Sol.Ent.Sal.'!$B$5:$J$5</c:f>
              <c:numCache>
                <c:formatCode>@</c:formatCode>
                <c:ptCount val="9"/>
                <c:pt idx="0">
                  <c:v>128</c:v>
                </c:pt>
                <c:pt idx="1">
                  <c:v>0</c:v>
                </c:pt>
                <c:pt idx="2">
                  <c:v>5</c:v>
                </c:pt>
                <c:pt idx="3">
                  <c:v>0</c:v>
                </c:pt>
                <c:pt idx="4">
                  <c:v>15</c:v>
                </c:pt>
                <c:pt idx="5">
                  <c:v>58</c:v>
                </c:pt>
                <c:pt idx="6">
                  <c:v>0</c:v>
                </c:pt>
                <c:pt idx="7">
                  <c:v>0</c:v>
                </c:pt>
                <c:pt idx="8">
                  <c:v>0</c:v>
                </c:pt>
              </c:numCache>
            </c:numRef>
          </c:val>
        </c:ser>
        <c:ser>
          <c:idx val="2"/>
          <c:order val="2"/>
          <c:tx>
            <c:strRef>
              <c:f>'VIII.2 Sol.Ent.Sal.'!$A$6</c:f>
              <c:strCache>
                <c:ptCount val="1"/>
                <c:pt idx="0">
                  <c:v>2011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Sol.Ent.Sal.'!$B$6:$J$6</c:f>
              <c:numCache>
                <c:formatCode>@</c:formatCode>
                <c:ptCount val="9"/>
                <c:pt idx="0">
                  <c:v>49</c:v>
                </c:pt>
                <c:pt idx="1">
                  <c:v>19</c:v>
                </c:pt>
                <c:pt idx="2">
                  <c:v>2</c:v>
                </c:pt>
                <c:pt idx="3">
                  <c:v>2</c:v>
                </c:pt>
                <c:pt idx="4">
                  <c:v>35</c:v>
                </c:pt>
                <c:pt idx="5">
                  <c:v>83</c:v>
                </c:pt>
                <c:pt idx="6">
                  <c:v>1</c:v>
                </c:pt>
                <c:pt idx="7">
                  <c:v>0</c:v>
                </c:pt>
                <c:pt idx="8">
                  <c:v>4</c:v>
                </c:pt>
              </c:numCache>
            </c:numRef>
          </c:val>
        </c:ser>
        <c:ser>
          <c:idx val="3"/>
          <c:order val="3"/>
          <c:tx>
            <c:strRef>
              <c:f>'VIII.2 Sol.Ent.Sal.'!$A$7</c:f>
              <c:strCache>
                <c:ptCount val="1"/>
                <c:pt idx="0">
                  <c:v>2012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Sol.Ent.Sal.'!$B$7:$J$7</c:f>
              <c:numCache>
                <c:formatCode>@</c:formatCode>
                <c:ptCount val="9"/>
                <c:pt idx="0">
                  <c:v>150</c:v>
                </c:pt>
                <c:pt idx="1">
                  <c:v>147</c:v>
                </c:pt>
                <c:pt idx="2">
                  <c:v>21</c:v>
                </c:pt>
                <c:pt idx="3">
                  <c:v>30</c:v>
                </c:pt>
                <c:pt idx="4">
                  <c:v>47</c:v>
                </c:pt>
                <c:pt idx="5">
                  <c:v>176</c:v>
                </c:pt>
                <c:pt idx="6">
                  <c:v>2</c:v>
                </c:pt>
                <c:pt idx="7">
                  <c:v>0</c:v>
                </c:pt>
                <c:pt idx="8">
                  <c:v>0</c:v>
                </c:pt>
              </c:numCache>
            </c:numRef>
          </c:val>
        </c:ser>
        <c:ser>
          <c:idx val="4"/>
          <c:order val="4"/>
          <c:tx>
            <c:strRef>
              <c:f>'VIII.2 Sol.Ent.Sal.'!$A$8</c:f>
              <c:strCache>
                <c:ptCount val="1"/>
                <c:pt idx="0">
                  <c:v>2013</c:v>
                </c:pt>
              </c:strCache>
            </c:strRef>
          </c:tx>
          <c:invertIfNegative val="0"/>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Sol.Ent.Sal.'!$B$8:$J$8</c:f>
              <c:numCache>
                <c:formatCode>@</c:formatCode>
                <c:ptCount val="9"/>
                <c:pt idx="0">
                  <c:v>0</c:v>
                </c:pt>
                <c:pt idx="1">
                  <c:v>0</c:v>
                </c:pt>
                <c:pt idx="2">
                  <c:v>0</c:v>
                </c:pt>
                <c:pt idx="3">
                  <c:v>0</c:v>
                </c:pt>
                <c:pt idx="4">
                  <c:v>0</c:v>
                </c:pt>
                <c:pt idx="5">
                  <c:v>0</c:v>
                </c:pt>
                <c:pt idx="6">
                  <c:v>0</c:v>
                </c:pt>
                <c:pt idx="7">
                  <c:v>0</c:v>
                </c:pt>
                <c:pt idx="8">
                  <c:v>0</c:v>
                </c:pt>
              </c:numCache>
            </c:numRef>
          </c:val>
        </c:ser>
        <c:ser>
          <c:idx val="5"/>
          <c:order val="5"/>
          <c:tx>
            <c:strRef>
              <c:f>'VIII.2 Sol.Ent.Sal.'!$A$9</c:f>
              <c:strCache>
                <c:ptCount val="1"/>
                <c:pt idx="0">
                  <c:v>Feb. 2014</c:v>
                </c:pt>
              </c:strCache>
            </c:strRef>
          </c:tx>
          <c:invertIfNegative val="0"/>
          <c:cat>
            <c:strRef>
              <c:f>'VIII.2 Sol.Ent.Sal.'!$B$3:$J$3</c:f>
              <c:strCache>
                <c:ptCount val="9"/>
                <c:pt idx="0">
                  <c:v>Solicitudes de Períodos Cotizados (nuevos expediente desde España)</c:v>
                </c:pt>
                <c:pt idx="1">
                  <c:v>Reiteraciones de expedientes desde España (Respuesta al expediente que está proceso)</c:v>
                </c:pt>
                <c:pt idx="2">
                  <c:v>Deposito de documentación requerida desde España a República Dominicana</c:v>
                </c:pt>
                <c:pt idx="3">
                  <c:v>Otros tipos de Solicitudes desde España a República Dominicana</c:v>
                </c:pt>
                <c:pt idx="4">
                  <c:v>Otros tipos de respuestas desde República Dominicana a España</c:v>
                </c:pt>
                <c:pt idx="5">
                  <c:v>Respuestas a Solicitudes de períodos cotizados </c:v>
                </c:pt>
                <c:pt idx="6">
                  <c:v>Solicitud de eximición entrantes </c:v>
                </c:pt>
                <c:pt idx="7">
                  <c:v>Solicitud de eximición salientes)</c:v>
                </c:pt>
                <c:pt idx="8">
                  <c:v>Resoluciones Conclusiva Número Casos Cerrados por decisión de la entidad que otorga la prestación solicitada y notificados a las partes</c:v>
                </c:pt>
              </c:strCache>
            </c:strRef>
          </c:cat>
          <c:val>
            <c:numRef>
              <c:f>'VIII.2 Sol.Ent.Sal.'!$B$9:$J$9</c:f>
              <c:numCache>
                <c:formatCode>@</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150"/>
        <c:shape val="cylinder"/>
        <c:axId val="287326472"/>
        <c:axId val="287326864"/>
        <c:axId val="0"/>
      </c:bar3DChart>
      <c:catAx>
        <c:axId val="287326472"/>
        <c:scaling>
          <c:orientation val="minMax"/>
        </c:scaling>
        <c:delete val="0"/>
        <c:axPos val="b"/>
        <c:numFmt formatCode="General" sourceLinked="0"/>
        <c:majorTickMark val="out"/>
        <c:minorTickMark val="none"/>
        <c:tickLblPos val="nextTo"/>
        <c:txPr>
          <a:bodyPr/>
          <a:lstStyle/>
          <a:p>
            <a:pPr>
              <a:defRPr sz="900"/>
            </a:pPr>
            <a:endParaRPr lang="es-ES"/>
          </a:p>
        </c:txPr>
        <c:crossAx val="287326864"/>
        <c:crosses val="autoZero"/>
        <c:auto val="1"/>
        <c:lblAlgn val="ctr"/>
        <c:lblOffset val="100"/>
        <c:noMultiLvlLbl val="0"/>
      </c:catAx>
      <c:valAx>
        <c:axId val="287326864"/>
        <c:scaling>
          <c:orientation val="minMax"/>
        </c:scaling>
        <c:delete val="0"/>
        <c:axPos val="l"/>
        <c:numFmt formatCode="@" sourceLinked="1"/>
        <c:majorTickMark val="out"/>
        <c:minorTickMark val="none"/>
        <c:tickLblPos val="nextTo"/>
        <c:crossAx val="287326472"/>
        <c:crosses val="autoZero"/>
        <c:crossBetween val="between"/>
      </c:valAx>
    </c:plotArea>
    <c:legend>
      <c:legendPos val="r"/>
      <c:layout>
        <c:manualLayout>
          <c:xMode val="edge"/>
          <c:yMode val="edge"/>
          <c:x val="0.18614837293379477"/>
          <c:y val="4.4333682263182059E-2"/>
          <c:w val="0.70077206775446521"/>
          <c:h val="9.0180742029002586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1.9370862490974205E-2"/>
          <c:y val="0.19759660408129381"/>
          <c:w val="0.96155800824940585"/>
          <c:h val="0.68526270551093127"/>
        </c:manualLayout>
      </c:layout>
      <c:bar3DChart>
        <c:barDir val="col"/>
        <c:grouping val="clustered"/>
        <c:varyColors val="0"/>
        <c:ser>
          <c:idx val="2"/>
          <c:order val="0"/>
          <c:tx>
            <c:strRef>
              <c:f>'VIII.3 Sol.Realiz.Entid.'!$B$3</c:f>
              <c:strCache>
                <c:ptCount val="1"/>
                <c:pt idx="0">
                  <c:v>Número de Casos Tramitados ante la DIDA Para solicitudes de cerificaciones</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Sol.Realiz.Entid.'!$B$4:$B$9</c:f>
              <c:numCache>
                <c:formatCode>@</c:formatCode>
                <c:ptCount val="6"/>
                <c:pt idx="0">
                  <c:v>37</c:v>
                </c:pt>
                <c:pt idx="1">
                  <c:v>98</c:v>
                </c:pt>
                <c:pt idx="2">
                  <c:v>46</c:v>
                </c:pt>
                <c:pt idx="3">
                  <c:v>163</c:v>
                </c:pt>
                <c:pt idx="4">
                  <c:v>0</c:v>
                </c:pt>
                <c:pt idx="5">
                  <c:v>0</c:v>
                </c:pt>
              </c:numCache>
            </c:numRef>
          </c:val>
        </c:ser>
        <c:ser>
          <c:idx val="3"/>
          <c:order val="1"/>
          <c:tx>
            <c:strRef>
              <c:f>'VIII.3 Sol.Realiz.Entid.'!$C$3</c:f>
              <c:strCache>
                <c:ptCount val="1"/>
                <c:pt idx="0">
                  <c:v>2. Total de expedientes en espera de certificación (Contraloría General de la RD, DIDA, TSS,FFAA, ISSPOL, Otros)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Sol.Realiz.Entid.'!$C$4:$C$9</c:f>
            </c:numRef>
          </c:val>
        </c:ser>
        <c:ser>
          <c:idx val="4"/>
          <c:order val="2"/>
          <c:tx>
            <c:strRef>
              <c:f>'VIII.3 Sol.Realiz.Entid.'!$D$3</c:f>
              <c:strCache>
                <c:ptCount val="1"/>
                <c:pt idx="0">
                  <c:v>Expediente en espera de la TSS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Sol.Realiz.Entid.'!$D$4:$D$9</c:f>
              <c:numCache>
                <c:formatCode>@</c:formatCode>
                <c:ptCount val="6"/>
                <c:pt idx="0">
                  <c:v>0</c:v>
                </c:pt>
                <c:pt idx="1">
                  <c:v>5</c:v>
                </c:pt>
                <c:pt idx="2">
                  <c:v>0</c:v>
                </c:pt>
                <c:pt idx="3">
                  <c:v>0</c:v>
                </c:pt>
                <c:pt idx="4">
                  <c:v>0</c:v>
                </c:pt>
              </c:numCache>
            </c:numRef>
          </c:val>
        </c:ser>
        <c:ser>
          <c:idx val="0"/>
          <c:order val="3"/>
          <c:tx>
            <c:strRef>
              <c:f>'VIII.3 Sol.Realiz.Entid.'!$E$3</c:f>
              <c:strCache>
                <c:ptCount val="1"/>
                <c:pt idx="0">
                  <c:v>Expediente en espera del IDSS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Sol.Realiz.Entid.'!$E$4:$E$9</c:f>
              <c:numCache>
                <c:formatCode>@</c:formatCode>
                <c:ptCount val="6"/>
                <c:pt idx="0">
                  <c:v>0</c:v>
                </c:pt>
                <c:pt idx="1">
                  <c:v>81</c:v>
                </c:pt>
                <c:pt idx="2">
                  <c:v>0</c:v>
                </c:pt>
                <c:pt idx="3">
                  <c:v>0</c:v>
                </c:pt>
                <c:pt idx="4">
                  <c:v>0</c:v>
                </c:pt>
              </c:numCache>
            </c:numRef>
          </c:val>
        </c:ser>
        <c:ser>
          <c:idx val="5"/>
          <c:order val="4"/>
          <c:tx>
            <c:strRef>
              <c:f>'VIII.3 Sol.Realiz.Entid.'!$F$3</c:f>
              <c:strCache>
                <c:ptCount val="1"/>
                <c:pt idx="0">
                  <c:v>Expediente en espera del FFAA</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Sol.Realiz.Entid.'!$F$4:$F$9</c:f>
              <c:numCache>
                <c:formatCode>@</c:formatCode>
                <c:ptCount val="6"/>
                <c:pt idx="0">
                  <c:v>0</c:v>
                </c:pt>
                <c:pt idx="1">
                  <c:v>1</c:v>
                </c:pt>
                <c:pt idx="2">
                  <c:v>0</c:v>
                </c:pt>
                <c:pt idx="3">
                  <c:v>0</c:v>
                </c:pt>
                <c:pt idx="4">
                  <c:v>0</c:v>
                </c:pt>
              </c:numCache>
            </c:numRef>
          </c:val>
        </c:ser>
        <c:ser>
          <c:idx val="6"/>
          <c:order val="5"/>
          <c:tx>
            <c:strRef>
              <c:f>'VIII.3 Sol.Realiz.Entid.'!$G$3</c:f>
              <c:strCache>
                <c:ptCount val="1"/>
                <c:pt idx="0">
                  <c:v>Expediente en espera de Ministerio de Hacienda de la RD</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Sol.Realiz.Entid.'!$G$4:$G$9</c:f>
              <c:numCache>
                <c:formatCode>@</c:formatCode>
                <c:ptCount val="6"/>
                <c:pt idx="0">
                  <c:v>0</c:v>
                </c:pt>
                <c:pt idx="1">
                  <c:v>11</c:v>
                </c:pt>
                <c:pt idx="2">
                  <c:v>0</c:v>
                </c:pt>
                <c:pt idx="3">
                  <c:v>0</c:v>
                </c:pt>
                <c:pt idx="4">
                  <c:v>0</c:v>
                </c:pt>
              </c:numCache>
            </c:numRef>
          </c:val>
        </c:ser>
        <c:ser>
          <c:idx val="7"/>
          <c:order val="6"/>
          <c:tx>
            <c:strRef>
              <c:f>'VIII.3 Sol.Realiz.Entid.'!$H$3</c:f>
              <c:strCache>
                <c:ptCount val="1"/>
                <c:pt idx="0">
                  <c:v>Expedientes en espera del ISSPOL</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Sol.Realiz.Entid.'!$H$4:$H$9</c:f>
              <c:numCache>
                <c:formatCode>@</c:formatCode>
                <c:ptCount val="6"/>
                <c:pt idx="0">
                  <c:v>0</c:v>
                </c:pt>
                <c:pt idx="1">
                  <c:v>1</c:v>
                </c:pt>
                <c:pt idx="2">
                  <c:v>0</c:v>
                </c:pt>
                <c:pt idx="3">
                  <c:v>0</c:v>
                </c:pt>
                <c:pt idx="4">
                  <c:v>0</c:v>
                </c:pt>
              </c:numCache>
            </c:numRef>
          </c:val>
        </c:ser>
        <c:ser>
          <c:idx val="8"/>
          <c:order val="7"/>
          <c:tx>
            <c:strRef>
              <c:f>'VIII.3 Sol.Realiz.Entid.'!$I$3</c:f>
              <c:strCache>
                <c:ptCount val="1"/>
                <c:pt idx="0">
                  <c:v>Expediente en espera de la Contraloría General de la RD</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Sol.Realiz.Entid.'!$I$4:$I$9</c:f>
              <c:numCache>
                <c:formatCode>@</c:formatCode>
                <c:ptCount val="6"/>
                <c:pt idx="0">
                  <c:v>0</c:v>
                </c:pt>
                <c:pt idx="1">
                  <c:v>1</c:v>
                </c:pt>
                <c:pt idx="2">
                  <c:v>0</c:v>
                </c:pt>
                <c:pt idx="3">
                  <c:v>0</c:v>
                </c:pt>
                <c:pt idx="4">
                  <c:v>0</c:v>
                </c:pt>
              </c:numCache>
            </c:numRef>
          </c:val>
        </c:ser>
        <c:ser>
          <c:idx val="9"/>
          <c:order val="8"/>
          <c:tx>
            <c:strRef>
              <c:f>'VIII.3 Sol.Realiz.Entid.'!$J$3</c:f>
              <c:strCache>
                <c:ptCount val="1"/>
                <c:pt idx="0">
                  <c:v>Número Casos Tramitados opción al Ministerio de Hacienda</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Sol.Realiz.Entid.'!$J$4:$J$9</c:f>
              <c:numCache>
                <c:formatCode>@</c:formatCode>
                <c:ptCount val="6"/>
                <c:pt idx="0">
                  <c:v>12</c:v>
                </c:pt>
                <c:pt idx="1">
                  <c:v>9</c:v>
                </c:pt>
                <c:pt idx="2">
                  <c:v>0</c:v>
                </c:pt>
                <c:pt idx="3">
                  <c:v>20</c:v>
                </c:pt>
                <c:pt idx="4">
                  <c:v>0</c:v>
                </c:pt>
                <c:pt idx="5">
                  <c:v>0</c:v>
                </c:pt>
              </c:numCache>
            </c:numRef>
          </c:val>
        </c:ser>
        <c:ser>
          <c:idx val="10"/>
          <c:order val="9"/>
          <c:tx>
            <c:strRef>
              <c:f>'VIII.3 Sol.Realiz.Entid.'!$K$3</c:f>
              <c:strCache>
                <c:ptCount val="1"/>
                <c:pt idx="0">
                  <c:v>Número Casos Tramitados ante entidades descentralizadas.</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Sol.Realiz.Entid.'!$K$4:$K$9</c:f>
              <c:numCache>
                <c:formatCode>@</c:formatCode>
                <c:ptCount val="6"/>
                <c:pt idx="0">
                  <c:v>0</c:v>
                </c:pt>
                <c:pt idx="1">
                  <c:v>0</c:v>
                </c:pt>
                <c:pt idx="2">
                  <c:v>18</c:v>
                </c:pt>
                <c:pt idx="3">
                  <c:v>30</c:v>
                </c:pt>
                <c:pt idx="4">
                  <c:v>0</c:v>
                </c:pt>
              </c:numCache>
            </c:numRef>
          </c:val>
        </c:ser>
        <c:ser>
          <c:idx val="11"/>
          <c:order val="10"/>
          <c:tx>
            <c:strRef>
              <c:f>'VIII.3 Sol.Realiz.Entid.'!$L$3</c:f>
              <c:strCache>
                <c:ptCount val="1"/>
                <c:pt idx="0">
                  <c:v>Número de casos reiterados descentralizadas</c:v>
                </c:pt>
              </c:strCache>
            </c:strRef>
          </c:tx>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Sol.Realiz.Entid.'!$L$4:$L$9</c:f>
              <c:numCache>
                <c:formatCode>@</c:formatCode>
                <c:ptCount val="6"/>
                <c:pt idx="0">
                  <c:v>0</c:v>
                </c:pt>
                <c:pt idx="1">
                  <c:v>0</c:v>
                </c:pt>
                <c:pt idx="2">
                  <c:v>0</c:v>
                </c:pt>
                <c:pt idx="3">
                  <c:v>0</c:v>
                </c:pt>
                <c:pt idx="4">
                  <c:v>0</c:v>
                </c:pt>
              </c:numCache>
            </c:numRef>
          </c:val>
        </c:ser>
        <c:ser>
          <c:idx val="12"/>
          <c:order val="11"/>
          <c:tx>
            <c:strRef>
              <c:f>'VIII.3 Sol.Realiz.Entid.'!$M$3</c:f>
              <c:strCache>
                <c:ptCount val="1"/>
                <c:pt idx="0">
                  <c:v>Número de casos reiterados centralizadas</c:v>
                </c:pt>
              </c:strCache>
            </c:strRef>
          </c:tx>
          <c:invertIfNegative val="0"/>
          <c:dLbls>
            <c:spPr>
              <a:noFill/>
              <a:ln>
                <a:noFill/>
              </a:ln>
              <a:effectLst/>
            </c:spPr>
            <c:txPr>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'VIII.3 Sol.Realiz.Entid.'!$A$4:$A$9</c:f>
              <c:strCache>
                <c:ptCount val="6"/>
                <c:pt idx="0">
                  <c:v>2009</c:v>
                </c:pt>
                <c:pt idx="1">
                  <c:v>2010</c:v>
                </c:pt>
                <c:pt idx="2">
                  <c:v>2011</c:v>
                </c:pt>
                <c:pt idx="3">
                  <c:v>2012</c:v>
                </c:pt>
                <c:pt idx="4">
                  <c:v>2013</c:v>
                </c:pt>
                <c:pt idx="5">
                  <c:v>Feb.2014</c:v>
                </c:pt>
              </c:strCache>
            </c:strRef>
          </c:cat>
          <c:val>
            <c:numRef>
              <c:f>'VIII.3 Sol.Realiz.Entid.'!$M$4:$M$9</c:f>
              <c:numCache>
                <c:formatCode>@</c:formatCode>
                <c:ptCount val="6"/>
                <c:pt idx="0">
                  <c:v>0</c:v>
                </c:pt>
                <c:pt idx="1">
                  <c:v>0</c:v>
                </c:pt>
                <c:pt idx="2">
                  <c:v>19</c:v>
                </c:pt>
                <c:pt idx="3">
                  <c:v>0</c:v>
                </c:pt>
                <c:pt idx="4">
                  <c:v>0</c:v>
                </c:pt>
              </c:numCache>
            </c:numRef>
          </c:val>
        </c:ser>
        <c:dLbls>
          <c:showLegendKey val="0"/>
          <c:showVal val="1"/>
          <c:showCatName val="0"/>
          <c:showSerName val="0"/>
          <c:showPercent val="0"/>
          <c:showBubbleSize val="0"/>
        </c:dLbls>
        <c:gapWidth val="150"/>
        <c:shape val="cylinder"/>
        <c:axId val="287328040"/>
        <c:axId val="287328432"/>
        <c:axId val="0"/>
      </c:bar3DChart>
      <c:catAx>
        <c:axId val="287328040"/>
        <c:scaling>
          <c:orientation val="minMax"/>
        </c:scaling>
        <c:delete val="0"/>
        <c:axPos val="b"/>
        <c:numFmt formatCode="General" sourceLinked="1"/>
        <c:majorTickMark val="none"/>
        <c:minorTickMark val="none"/>
        <c:tickLblPos val="nextTo"/>
        <c:txPr>
          <a:bodyPr/>
          <a:lstStyle/>
          <a:p>
            <a:pPr>
              <a:defRPr sz="1600"/>
            </a:pPr>
            <a:endParaRPr lang="es-ES"/>
          </a:p>
        </c:txPr>
        <c:crossAx val="287328432"/>
        <c:crosses val="autoZero"/>
        <c:auto val="1"/>
        <c:lblAlgn val="ctr"/>
        <c:lblOffset val="100"/>
        <c:noMultiLvlLbl val="0"/>
      </c:catAx>
      <c:valAx>
        <c:axId val="287328432"/>
        <c:scaling>
          <c:orientation val="minMax"/>
        </c:scaling>
        <c:delete val="1"/>
        <c:axPos val="l"/>
        <c:numFmt formatCode="@" sourceLinked="1"/>
        <c:majorTickMark val="out"/>
        <c:minorTickMark val="none"/>
        <c:tickLblPos val="nextTo"/>
        <c:crossAx val="287328040"/>
        <c:crosses val="autoZero"/>
        <c:crossBetween val="between"/>
      </c:valAx>
    </c:plotArea>
    <c:legend>
      <c:legendPos val="t"/>
      <c:layout>
        <c:manualLayout>
          <c:xMode val="edge"/>
          <c:yMode val="edge"/>
          <c:x val="2.9440280770527471E-2"/>
          <c:y val="5.4350708335486407E-2"/>
          <c:w val="0.96008426488579068"/>
          <c:h val="0.12387066112218617"/>
        </c:manualLayout>
      </c:layout>
      <c:overlay val="0"/>
      <c:spPr>
        <a:ln>
          <a:noFill/>
        </a:ln>
      </c:spPr>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Afiliación Total  Vs. Cantidad de Cápitas Pagadas</a:t>
            </a:r>
            <a:r>
              <a:rPr lang="en-US"/>
              <a:t>
</a:t>
            </a:r>
          </a:p>
        </c:rich>
      </c:tx>
      <c:overlay val="0"/>
    </c:title>
    <c:autoTitleDeleted val="0"/>
    <c:plotArea>
      <c:layout/>
      <c:lineChart>
        <c:grouping val="standard"/>
        <c:varyColors val="0"/>
        <c:ser>
          <c:idx val="0"/>
          <c:order val="0"/>
          <c:tx>
            <c:strRef>
              <c:f>'Afil. mensual (Mod.)'!$N$2</c:f>
              <c:strCache>
                <c:ptCount val="1"/>
                <c:pt idx="0">
                  <c:v>Afiliación Total SDSS </c:v>
                </c:pt>
              </c:strCache>
            </c:strRef>
          </c:tx>
          <c:dLbls>
            <c:dLbl>
              <c:idx val="0"/>
              <c:layout>
                <c:manualLayout>
                  <c:x val="-5.7588657949445711E-2"/>
                  <c:y val="-2.93670815826775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475182381627746E-2"/>
                  <c:y val="-2.64303734244100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7588657949445711E-2"/>
                  <c:y val="-2.64303734244100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531920165536729E-2"/>
                  <c:y val="-3.23037897409453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7304969029901806E-2"/>
                  <c:y val="-2.93670815826775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5.1418444597719097E-2"/>
                  <c:y val="-3.2303789740945339E-2"/>
                </c:manualLayout>
              </c:layout>
              <c:spPr/>
              <c:txPr>
                <a:bodyPr/>
                <a:lstStyle/>
                <a:p>
                  <a:pPr>
                    <a:defRPr sz="12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(Mod.)'!$N$3:$N$8</c:f>
              <c:numCache>
                <c:formatCode>_(* #,##0_);_(* \(#,##0\);_(* "-"??_);_(@_)</c:formatCode>
                <c:ptCount val="6"/>
                <c:pt idx="0">
                  <c:v>5423245</c:v>
                </c:pt>
                <c:pt idx="1">
                  <c:v>5458131</c:v>
                </c:pt>
                <c:pt idx="2">
                  <c:v>5485250</c:v>
                </c:pt>
                <c:pt idx="3">
                  <c:v>5530583</c:v>
                </c:pt>
                <c:pt idx="4">
                  <c:v>5568316</c:v>
                </c:pt>
                <c:pt idx="5">
                  <c:v>5605255</c:v>
                </c:pt>
              </c:numCache>
            </c:numRef>
          </c:val>
          <c:smooth val="0"/>
        </c:ser>
        <c:ser>
          <c:idx val="1"/>
          <c:order val="1"/>
          <c:tx>
            <c:strRef>
              <c:f>'Afil. mensual (Mod.)'!$O$2</c:f>
              <c:strCache>
                <c:ptCount val="1"/>
                <c:pt idx="0">
                  <c:v>Total Cápitas pagadas al SFS</c:v>
                </c:pt>
              </c:strCache>
            </c:strRef>
          </c:tx>
          <c:spPr>
            <a:ln>
              <a:solidFill>
                <a:srgbClr val="00B050"/>
              </a:solidFill>
            </a:ln>
          </c:spPr>
          <c:marker>
            <c:spPr>
              <a:solidFill>
                <a:srgbClr val="00B050"/>
              </a:solidFill>
            </c:spPr>
          </c:marker>
          <c:dPt>
            <c:idx val="4"/>
            <c:marker>
              <c:spPr>
                <a:solidFill>
                  <a:srgbClr val="00B050"/>
                </a:solidFill>
                <a:ln>
                  <a:solidFill>
                    <a:srgbClr val="00B050"/>
                  </a:solidFill>
                </a:ln>
              </c:spPr>
            </c:marker>
            <c:bubble3D val="0"/>
          </c:dPt>
          <c:dLbls>
            <c:dLbl>
              <c:idx val="0"/>
              <c:layout>
                <c:manualLayout>
                  <c:x val="-6.5815609085080454E-2"/>
                  <c:y val="-2.64303734244100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1702133517262912E-2"/>
                  <c:y val="-2.93670815826775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645395733353958E-2"/>
                  <c:y val="-2.64303734244100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7588657949445635E-2"/>
                  <c:y val="-2.349366526614200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3758871301171693E-2"/>
                  <c:y val="-2.93670815826775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078017894266612E-2"/>
                  <c:y val="-2.9367081582677541E-2"/>
                </c:manualLayout>
              </c:layout>
              <c:spPr/>
              <c:txPr>
                <a:bodyPr/>
                <a:lstStyle/>
                <a:p>
                  <a:pPr>
                    <a:defRPr sz="12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mensual (Mod.)'!$A$3:$A$8</c:f>
              <c:numCache>
                <c:formatCode>mmm\-yy</c:formatCode>
                <c:ptCount val="6"/>
                <c:pt idx="0">
                  <c:v>40544</c:v>
                </c:pt>
                <c:pt idx="1">
                  <c:v>40575</c:v>
                </c:pt>
                <c:pt idx="2">
                  <c:v>40603</c:v>
                </c:pt>
                <c:pt idx="3">
                  <c:v>40634</c:v>
                </c:pt>
                <c:pt idx="4">
                  <c:v>40664</c:v>
                </c:pt>
                <c:pt idx="5">
                  <c:v>40695</c:v>
                </c:pt>
              </c:numCache>
            </c:numRef>
          </c:cat>
          <c:val>
            <c:numRef>
              <c:f>'Afil. mensual (Mod.)'!$O$3:$O$8</c:f>
              <c:numCache>
                <c:formatCode>_(* #,##0_);_(* \(#,##0\);_(* "-"??_);_(@_)</c:formatCode>
                <c:ptCount val="6"/>
                <c:pt idx="0">
                  <c:v>4448849</c:v>
                </c:pt>
                <c:pt idx="1">
                  <c:v>4525692</c:v>
                </c:pt>
                <c:pt idx="2">
                  <c:v>4544184</c:v>
                </c:pt>
                <c:pt idx="3">
                  <c:v>4529282</c:v>
                </c:pt>
                <c:pt idx="4">
                  <c:v>4488113</c:v>
                </c:pt>
                <c:pt idx="5">
                  <c:v>4563337</c:v>
                </c:pt>
              </c:numCache>
            </c:numRef>
          </c:val>
          <c:smooth val="0"/>
        </c:ser>
        <c:dLbls>
          <c:showLegendKey val="0"/>
          <c:showVal val="0"/>
          <c:showCatName val="0"/>
          <c:showSerName val="0"/>
          <c:showPercent val="0"/>
          <c:showBubbleSize val="0"/>
        </c:dLbls>
        <c:marker val="1"/>
        <c:smooth val="0"/>
        <c:axId val="243402888"/>
        <c:axId val="243403280"/>
      </c:lineChart>
      <c:dateAx>
        <c:axId val="243402888"/>
        <c:scaling>
          <c:orientation val="minMax"/>
        </c:scaling>
        <c:delete val="0"/>
        <c:axPos val="b"/>
        <c:numFmt formatCode="mmm\-yy" sourceLinked="0"/>
        <c:majorTickMark val="none"/>
        <c:minorTickMark val="none"/>
        <c:tickLblPos val="nextTo"/>
        <c:crossAx val="243403280"/>
        <c:crosses val="autoZero"/>
        <c:auto val="1"/>
        <c:lblOffset val="100"/>
        <c:baseTimeUnit val="months"/>
      </c:dateAx>
      <c:valAx>
        <c:axId val="243403280"/>
        <c:scaling>
          <c:orientation val="minMax"/>
        </c:scaling>
        <c:delete val="0"/>
        <c:axPos val="l"/>
        <c:numFmt formatCode="_(* #,##0_);_(* \(#,##0\);_(* &quot;-&quot;??_);_(@_)" sourceLinked="1"/>
        <c:majorTickMark val="none"/>
        <c:minorTickMark val="none"/>
        <c:tickLblPos val="nextTo"/>
        <c:spPr>
          <a:ln w="9525">
            <a:noFill/>
          </a:ln>
        </c:spPr>
        <c:crossAx val="243402888"/>
        <c:crosses val="autoZero"/>
        <c:crossBetween val="between"/>
        <c:majorUnit val="1000000"/>
        <c:dispUnits>
          <c:builtInUnit val="thousands"/>
          <c:dispUnitsLbl/>
        </c:dispUnits>
      </c:valAx>
    </c:plotArea>
    <c:legend>
      <c:legendPos val="b"/>
      <c:layout>
        <c:manualLayout>
          <c:xMode val="edge"/>
          <c:yMode val="edge"/>
          <c:x val="9.7760307262684198E-2"/>
          <c:y val="0.14001509467968865"/>
          <c:w val="0.60856814115084279"/>
          <c:h val="5.310420961328332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(2)'!$E$2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(2)'!$E$3:$E$11</c:f>
              <c:numCache>
                <c:formatCode>_([$€-2]* #,##0_);_([$€-2]* \(#,##0\);_([$€-2]* "-"??_)</c:formatCode>
                <c:ptCount val="9"/>
              </c:numCache>
            </c:numRef>
          </c:val>
        </c:ser>
        <c:ser>
          <c:idx val="1"/>
          <c:order val="1"/>
          <c:tx>
            <c:strRef>
              <c:f>' SDSS Definiciones (2)'!$L$2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(2)'!$L$3:$L$11</c:f>
              <c:numCache>
                <c:formatCode>_([$€-2]* #,##0_);_([$€-2]* \(#,##0\);_([$€-2]* "-"??_)</c:formatCode>
                <c:ptCount val="9"/>
              </c:numCache>
            </c:numRef>
          </c:val>
        </c:ser>
        <c:dLbls>
          <c:showLegendKey val="0"/>
          <c:showVal val="0"/>
          <c:showCatName val="0"/>
          <c:showSerName val="0"/>
          <c:showPercent val="0"/>
          <c:showBubbleSize val="0"/>
        </c:dLbls>
        <c:gapWidth val="150"/>
        <c:shape val="cylinder"/>
        <c:axId val="206727448"/>
        <c:axId val="206727840"/>
        <c:axId val="0"/>
      </c:bar3DChart>
      <c:catAx>
        <c:axId val="206727448"/>
        <c:scaling>
          <c:orientation val="minMax"/>
        </c:scaling>
        <c:delete val="0"/>
        <c:axPos val="b"/>
        <c:title>
          <c:overlay val="0"/>
        </c:title>
        <c:numFmt formatCode="_([$€-2]* #,##0_);_([$€-2]* \(#,##0\);_([$€-2]* &quot;-&quot;??_)" sourceLinked="1"/>
        <c:majorTickMark val="none"/>
        <c:minorTickMark val="none"/>
        <c:tickLblPos val="nextTo"/>
        <c:crossAx val="206727840"/>
        <c:crosses val="autoZero"/>
        <c:auto val="1"/>
        <c:lblAlgn val="ctr"/>
        <c:lblOffset val="100"/>
        <c:noMultiLvlLbl val="0"/>
      </c:catAx>
      <c:valAx>
        <c:axId val="206727840"/>
        <c:scaling>
          <c:orientation val="minMax"/>
        </c:scaling>
        <c:delete val="0"/>
        <c:axPos val="l"/>
        <c:title>
          <c:overlay val="0"/>
        </c:title>
        <c:numFmt formatCode="_([$€-2]* #,##0_);_([$€-2]* \(#,##0\);_([$€-2]* &quot;-&quot;??_)" sourceLinked="1"/>
        <c:majorTickMark val="out"/>
        <c:minorTickMark val="none"/>
        <c:tickLblPos val="nextTo"/>
        <c:crossAx val="20672744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Datos Generales del Sistema Dominicano de la Seguridad Social (SDSS) </a:t>
            </a:r>
          </a:p>
          <a:p>
            <a:pPr>
              <a:defRPr/>
            </a:pPr>
            <a:r>
              <a:rPr lang="es-DO"/>
              <a:t>Empresas y Empleados Afiliados Activos al SDSS por sector</a:t>
            </a:r>
          </a:p>
        </c:rich>
      </c:tx>
      <c:layout>
        <c:manualLayout>
          <c:xMode val="edge"/>
          <c:yMode val="edge"/>
          <c:x val="0.30857065630079306"/>
          <c:y val="1.0144927343281842E-2"/>
        </c:manualLayout>
      </c:layout>
      <c:overlay val="1"/>
    </c:title>
    <c:autoTitleDeleted val="0"/>
    <c:plotArea>
      <c:layout>
        <c:manualLayout>
          <c:layoutTarget val="inner"/>
          <c:xMode val="edge"/>
          <c:yMode val="edge"/>
          <c:x val="6.6031402879373813E-2"/>
          <c:y val="0.23120063084939271"/>
          <c:w val="0.85706589170223524"/>
          <c:h val="0.61158388277256859"/>
        </c:manualLayout>
      </c:layout>
      <c:barChart>
        <c:barDir val="col"/>
        <c:grouping val="clustered"/>
        <c:varyColors val="0"/>
        <c:ser>
          <c:idx val="2"/>
          <c:order val="0"/>
          <c:tx>
            <c:strRef>
              <c:f>'I.2.1 Empl x sector '!$O$3</c:f>
              <c:strCache>
                <c:ptCount val="1"/>
                <c:pt idx="0">
                  <c:v>Total  Empleados</c:v>
                </c:pt>
              </c:strCache>
            </c:strRef>
          </c:tx>
          <c:spPr>
            <a:solidFill>
              <a:schemeClr val="accent3">
                <a:lumMod val="50000"/>
              </a:schemeClr>
            </a:solidFill>
          </c:spPr>
          <c:invertIfNegative val="0"/>
          <c:dLbls>
            <c:dLbl>
              <c:idx val="0"/>
              <c:layout>
                <c:manualLayout>
                  <c:x val="-7.2947182316298442E-3"/>
                  <c:y val="-8.0085519425597811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257648911860921E-3"/>
                  <c:y val="-3.0633727197395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0240983800372277E-3"/>
                  <c:y val="-7.802751672954905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719803623681968E-16"/>
                  <c:y val="-4.946997016999751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5536963330664E-3"/>
                  <c:y val="-4.812999617484137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713190965437111E-5"/>
                  <c:y val="-6.461998623150751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'I.2.1 Empl x sector '!$A$4:$A$10</c:f>
              <c:strCache>
                <c:ptCount val="7"/>
                <c:pt idx="0">
                  <c:v>Dic.08</c:v>
                </c:pt>
                <c:pt idx="1">
                  <c:v>Dic.09</c:v>
                </c:pt>
                <c:pt idx="2">
                  <c:v>Dic.10</c:v>
                </c:pt>
                <c:pt idx="3">
                  <c:v>Dic.11</c:v>
                </c:pt>
                <c:pt idx="4">
                  <c:v>Dic.12</c:v>
                </c:pt>
                <c:pt idx="5">
                  <c:v>Dic.13</c:v>
                </c:pt>
                <c:pt idx="6">
                  <c:v>Dic.14</c:v>
                </c:pt>
              </c:strCache>
            </c:strRef>
          </c:cat>
          <c:val>
            <c:numRef>
              <c:f>'I.2.1 Empl x sector '!$O$4:$O$10</c:f>
              <c:numCache>
                <c:formatCode>#,##0</c:formatCode>
                <c:ptCount val="7"/>
                <c:pt idx="0">
                  <c:v>1188229</c:v>
                </c:pt>
                <c:pt idx="1">
                  <c:v>1227725</c:v>
                </c:pt>
                <c:pt idx="2">
                  <c:v>1299087</c:v>
                </c:pt>
                <c:pt idx="3">
                  <c:v>1367790</c:v>
                </c:pt>
                <c:pt idx="4">
                  <c:v>1430273</c:v>
                </c:pt>
                <c:pt idx="5">
                  <c:v>1530322</c:v>
                </c:pt>
                <c:pt idx="6">
                  <c:v>1651202</c:v>
                </c:pt>
              </c:numCache>
            </c:numRef>
          </c:val>
        </c:ser>
        <c:dLbls>
          <c:showLegendKey val="0"/>
          <c:showVal val="0"/>
          <c:showCatName val="0"/>
          <c:showSerName val="0"/>
          <c:showPercent val="0"/>
          <c:showBubbleSize val="0"/>
        </c:dLbls>
        <c:gapWidth val="65"/>
        <c:axId val="243404064"/>
        <c:axId val="243404456"/>
      </c:barChart>
      <c:barChart>
        <c:barDir val="col"/>
        <c:grouping val="clustered"/>
        <c:varyColors val="0"/>
        <c:ser>
          <c:idx val="1"/>
          <c:order val="2"/>
          <c:tx>
            <c:strRef>
              <c:f>'I.2.1 Empl x sector '!$G$3</c:f>
              <c:strCache>
                <c:ptCount val="1"/>
                <c:pt idx="0">
                  <c:v>Total Empresas</c:v>
                </c:pt>
              </c:strCache>
            </c:strRef>
          </c:tx>
          <c:spPr>
            <a:solidFill>
              <a:schemeClr val="accent5">
                <a:lumMod val="50000"/>
              </a:schemeClr>
            </a:solidFill>
          </c:spPr>
          <c:invertIfNegative val="0"/>
          <c:dLbls>
            <c:dLbl>
              <c:idx val="0"/>
              <c:layout>
                <c:manualLayout>
                  <c:x val="7.9568056971228548E-4"/>
                  <c:y val="5.55555555555554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9568056971230012E-4"/>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9568056971224168E-4"/>
                  <c:y val="5.396825396825402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669846878046771E-16"/>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712000496979298E-3"/>
                  <c:y val="6.20294519881187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3870536892947555E-3"/>
                  <c:y val="6.382426948785881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79092702170783E-3"/>
                  <c:y val="6.026759633613030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'I.2.1 Empl x sector '!$A$4:$A$10</c:f>
              <c:strCache>
                <c:ptCount val="7"/>
                <c:pt idx="0">
                  <c:v>Dic.08</c:v>
                </c:pt>
                <c:pt idx="1">
                  <c:v>Dic.09</c:v>
                </c:pt>
                <c:pt idx="2">
                  <c:v>Dic.10</c:v>
                </c:pt>
                <c:pt idx="3">
                  <c:v>Dic.11</c:v>
                </c:pt>
                <c:pt idx="4">
                  <c:v>Dic.12</c:v>
                </c:pt>
                <c:pt idx="5">
                  <c:v>Dic.13</c:v>
                </c:pt>
                <c:pt idx="6">
                  <c:v>Dic.14</c:v>
                </c:pt>
              </c:strCache>
            </c:strRef>
          </c:cat>
          <c:val>
            <c:numRef>
              <c:f>'I.2.1 Empl x sector '!$G$4:$G$10</c:f>
              <c:numCache>
                <c:formatCode>#,##0</c:formatCode>
                <c:ptCount val="7"/>
                <c:pt idx="0">
                  <c:v>41757</c:v>
                </c:pt>
                <c:pt idx="1">
                  <c:v>41671</c:v>
                </c:pt>
                <c:pt idx="2">
                  <c:v>44179</c:v>
                </c:pt>
                <c:pt idx="3">
                  <c:v>47222</c:v>
                </c:pt>
                <c:pt idx="4">
                  <c:v>51351</c:v>
                </c:pt>
                <c:pt idx="5">
                  <c:v>59335</c:v>
                </c:pt>
                <c:pt idx="6">
                  <c:v>65666</c:v>
                </c:pt>
              </c:numCache>
            </c:numRef>
          </c:val>
        </c:ser>
        <c:dLbls>
          <c:showLegendKey val="0"/>
          <c:showVal val="0"/>
          <c:showCatName val="0"/>
          <c:showSerName val="0"/>
          <c:showPercent val="0"/>
          <c:showBubbleSize val="0"/>
        </c:dLbls>
        <c:gapWidth val="109"/>
        <c:axId val="243405240"/>
        <c:axId val="243404848"/>
      </c:barChart>
      <c:lineChart>
        <c:grouping val="standard"/>
        <c:varyColors val="0"/>
        <c:ser>
          <c:idx val="3"/>
          <c:order val="1"/>
          <c:tx>
            <c:strRef>
              <c:f>'I.2.1 Empl x sector '!$Q$3</c:f>
              <c:strCache>
                <c:ptCount val="1"/>
                <c:pt idx="0">
                  <c:v>Relación Promedio Empleados / Empresas</c:v>
                </c:pt>
              </c:strCache>
            </c:strRef>
          </c:tx>
          <c:marker>
            <c:symbol val="circle"/>
            <c:size val="11"/>
            <c:spPr>
              <a:gradFill>
                <a:gsLst>
                  <a:gs pos="0">
                    <a:srgbClr val="825600"/>
                  </a:gs>
                  <a:gs pos="13000">
                    <a:srgbClr val="FFA800"/>
                  </a:gs>
                  <a:gs pos="28000">
                    <a:srgbClr val="825600"/>
                  </a:gs>
                  <a:gs pos="42999">
                    <a:srgbClr val="FFA800"/>
                  </a:gs>
                  <a:gs pos="58000">
                    <a:srgbClr val="825600"/>
                  </a:gs>
                  <a:gs pos="72000">
                    <a:srgbClr val="FFA800"/>
                  </a:gs>
                  <a:gs pos="87000">
                    <a:srgbClr val="825600"/>
                  </a:gs>
                  <a:gs pos="100000">
                    <a:srgbClr val="FFA800"/>
                  </a:gs>
                </a:gsLst>
                <a:lin ang="5400000" scaled="0"/>
              </a:gradFill>
            </c:spPr>
          </c:marker>
          <c:dLbls>
            <c:dLbl>
              <c:idx val="0"/>
              <c:layout>
                <c:manualLayout>
                  <c:x val="-2.578806991638901E-2"/>
                  <c:y val="-2.66282964629421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325573818826291E-2"/>
                  <c:y val="-2.5726159230096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959427809186275E-2"/>
                  <c:y val="-2.84196975378077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5017770242172992E-2"/>
                  <c:y val="-2.78835344462908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325573818826291E-2"/>
                  <c:y val="-2.731346081739782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5573818826291E-2"/>
                  <c:y val="-3.048806399200100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'I.2.1 Empl x sector '!$A$4:$A$9</c:f>
              <c:strCache>
                <c:ptCount val="6"/>
                <c:pt idx="0">
                  <c:v>Dic.08</c:v>
                </c:pt>
                <c:pt idx="1">
                  <c:v>Dic.09</c:v>
                </c:pt>
                <c:pt idx="2">
                  <c:v>Dic.10</c:v>
                </c:pt>
                <c:pt idx="3">
                  <c:v>Dic.11</c:v>
                </c:pt>
                <c:pt idx="4">
                  <c:v>Dic.12</c:v>
                </c:pt>
                <c:pt idx="5">
                  <c:v>Dic.13</c:v>
                </c:pt>
              </c:strCache>
            </c:strRef>
          </c:cat>
          <c:val>
            <c:numRef>
              <c:f>'I.2.1 Empl x sector '!$Q$4:$Q$10</c:f>
              <c:numCache>
                <c:formatCode>#,##0.0</c:formatCode>
                <c:ptCount val="7"/>
                <c:pt idx="0">
                  <c:v>28.455803817324043</c:v>
                </c:pt>
                <c:pt idx="1">
                  <c:v>29.462335917064625</c:v>
                </c:pt>
                <c:pt idx="2">
                  <c:v>29.405079336336268</c:v>
                </c:pt>
                <c:pt idx="3">
                  <c:v>28.965101012240059</c:v>
                </c:pt>
                <c:pt idx="4">
                  <c:v>27.852875309146853</c:v>
                </c:pt>
                <c:pt idx="5">
                  <c:v>25.791219347771129</c:v>
                </c:pt>
                <c:pt idx="6">
                  <c:v>25.145463405719855</c:v>
                </c:pt>
              </c:numCache>
            </c:numRef>
          </c:val>
          <c:smooth val="0"/>
        </c:ser>
        <c:dLbls>
          <c:showLegendKey val="0"/>
          <c:showVal val="0"/>
          <c:showCatName val="0"/>
          <c:showSerName val="0"/>
          <c:showPercent val="0"/>
          <c:showBubbleSize val="0"/>
        </c:dLbls>
        <c:marker val="1"/>
        <c:smooth val="0"/>
        <c:axId val="243405240"/>
        <c:axId val="243404848"/>
      </c:lineChart>
      <c:catAx>
        <c:axId val="243404064"/>
        <c:scaling>
          <c:orientation val="minMax"/>
        </c:scaling>
        <c:delete val="0"/>
        <c:axPos val="b"/>
        <c:numFmt formatCode="General" sourceLinked="0"/>
        <c:majorTickMark val="out"/>
        <c:minorTickMark val="none"/>
        <c:tickLblPos val="nextTo"/>
        <c:txPr>
          <a:bodyPr/>
          <a:lstStyle/>
          <a:p>
            <a:pPr>
              <a:defRPr sz="1800"/>
            </a:pPr>
            <a:endParaRPr lang="es-ES"/>
          </a:p>
        </c:txPr>
        <c:crossAx val="243404456"/>
        <c:crosses val="autoZero"/>
        <c:auto val="1"/>
        <c:lblAlgn val="ctr"/>
        <c:lblOffset val="100"/>
        <c:noMultiLvlLbl val="0"/>
      </c:catAx>
      <c:valAx>
        <c:axId val="243404456"/>
        <c:scaling>
          <c:orientation val="minMax"/>
        </c:scaling>
        <c:delete val="0"/>
        <c:axPos val="l"/>
        <c:numFmt formatCode="#,##0" sourceLinked="1"/>
        <c:majorTickMark val="out"/>
        <c:minorTickMark val="none"/>
        <c:tickLblPos val="nextTo"/>
        <c:txPr>
          <a:bodyPr/>
          <a:lstStyle/>
          <a:p>
            <a:pPr>
              <a:defRPr sz="1200"/>
            </a:pPr>
            <a:endParaRPr lang="es-ES"/>
          </a:p>
        </c:txPr>
        <c:crossAx val="243404064"/>
        <c:crosses val="autoZero"/>
        <c:crossBetween val="between"/>
      </c:valAx>
      <c:valAx>
        <c:axId val="243404848"/>
        <c:scaling>
          <c:orientation val="minMax"/>
          <c:max val="100000"/>
        </c:scaling>
        <c:delete val="0"/>
        <c:axPos val="r"/>
        <c:numFmt formatCode="#,##0" sourceLinked="1"/>
        <c:majorTickMark val="out"/>
        <c:minorTickMark val="none"/>
        <c:tickLblPos val="nextTo"/>
        <c:txPr>
          <a:bodyPr/>
          <a:lstStyle/>
          <a:p>
            <a:pPr>
              <a:defRPr sz="1400"/>
            </a:pPr>
            <a:endParaRPr lang="es-ES"/>
          </a:p>
        </c:txPr>
        <c:crossAx val="243405240"/>
        <c:crosses val="max"/>
        <c:crossBetween val="between"/>
      </c:valAx>
      <c:catAx>
        <c:axId val="243405240"/>
        <c:scaling>
          <c:orientation val="minMax"/>
        </c:scaling>
        <c:delete val="1"/>
        <c:axPos val="b"/>
        <c:numFmt formatCode="General" sourceLinked="1"/>
        <c:majorTickMark val="out"/>
        <c:minorTickMark val="none"/>
        <c:tickLblPos val="nextTo"/>
        <c:crossAx val="243404848"/>
        <c:crosses val="autoZero"/>
        <c:auto val="1"/>
        <c:lblAlgn val="ctr"/>
        <c:lblOffset val="100"/>
        <c:noMultiLvlLbl val="0"/>
      </c:catAx>
    </c:plotArea>
    <c:legend>
      <c:legendPos val="r"/>
      <c:layout>
        <c:manualLayout>
          <c:xMode val="edge"/>
          <c:yMode val="edge"/>
          <c:x val="7.8179680796163289E-2"/>
          <c:y val="0.10325885154895866"/>
          <c:w val="0.8609668461675164"/>
          <c:h val="5.414142694394181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 Datos Generales del Sistema Dominicano de la Seguridad Social (SDSS)</a:t>
            </a:r>
          </a:p>
          <a:p>
            <a:pPr>
              <a:defRPr sz="1600"/>
            </a:pPr>
            <a:r>
              <a:rPr lang="es-DO" sz="1600"/>
              <a:t>Empresas Afiliadas Activas al SDSS, por Cantidad de Empleados Registrados en TSS</a:t>
            </a:r>
          </a:p>
        </c:rich>
      </c:tx>
      <c:layout>
        <c:manualLayout>
          <c:xMode val="edge"/>
          <c:yMode val="edge"/>
          <c:x val="0.17511804786822258"/>
          <c:y val="1.7335054350349963E-2"/>
        </c:manualLayout>
      </c:layout>
      <c:overlay val="1"/>
    </c:title>
    <c:autoTitleDeleted val="0"/>
    <c:plotArea>
      <c:layout>
        <c:manualLayout>
          <c:layoutTarget val="inner"/>
          <c:xMode val="edge"/>
          <c:yMode val="edge"/>
          <c:x val="0.10054381667981238"/>
          <c:y val="0.17221667041946775"/>
          <c:w val="0.77621535252181695"/>
          <c:h val="0.7323746997445334"/>
        </c:manualLayout>
      </c:layout>
      <c:barChart>
        <c:barDir val="bar"/>
        <c:grouping val="clustered"/>
        <c:varyColors val="0"/>
        <c:ser>
          <c:idx val="1"/>
          <c:order val="1"/>
          <c:tx>
            <c:strRef>
              <c:f>'I.2.2 Empr x No. de empl'!$D$6</c:f>
              <c:strCache>
                <c:ptCount val="1"/>
                <c:pt idx="0">
                  <c:v>No. De Empleados</c:v>
                </c:pt>
              </c:strCache>
            </c:strRef>
          </c:tx>
          <c:spPr>
            <a:solidFill>
              <a:schemeClr val="accent6">
                <a:lumMod val="50000"/>
              </a:schemeClr>
            </a:solidFill>
          </c:spPr>
          <c:invertIfNegative val="0"/>
          <c:dLbls>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'I.2.2 Empr x No. de empl'!$A$7:$A$15</c:f>
              <c:strCache>
                <c:ptCount val="9"/>
                <c:pt idx="0">
                  <c:v> 01 y 05  </c:v>
                </c:pt>
                <c:pt idx="1">
                  <c:v> 06 y 10  </c:v>
                </c:pt>
                <c:pt idx="2">
                  <c:v> 11 y 20  </c:v>
                </c:pt>
                <c:pt idx="3">
                  <c:v> 21 y 50  </c:v>
                </c:pt>
                <c:pt idx="4">
                  <c:v> 51 y 100  </c:v>
                </c:pt>
                <c:pt idx="5">
                  <c:v> 101 y 500  </c:v>
                </c:pt>
                <c:pt idx="6">
                  <c:v> 501 y 1,000  </c:v>
                </c:pt>
                <c:pt idx="7">
                  <c:v> 1,001 y 10,000  </c:v>
                </c:pt>
                <c:pt idx="8">
                  <c:v> Mas de 10,000  </c:v>
                </c:pt>
              </c:strCache>
            </c:strRef>
          </c:cat>
          <c:val>
            <c:numRef>
              <c:f>'I.2.2 Empr x No. de empl'!$D$7:$D$15</c:f>
              <c:numCache>
                <c:formatCode>#,##0</c:formatCode>
                <c:ptCount val="9"/>
                <c:pt idx="0">
                  <c:v>97875</c:v>
                </c:pt>
                <c:pt idx="1">
                  <c:v>88028</c:v>
                </c:pt>
                <c:pt idx="2">
                  <c:v>106203</c:v>
                </c:pt>
                <c:pt idx="3">
                  <c:v>152433</c:v>
                </c:pt>
                <c:pt idx="4">
                  <c:v>113775</c:v>
                </c:pt>
                <c:pt idx="5">
                  <c:v>296328</c:v>
                </c:pt>
                <c:pt idx="6">
                  <c:v>148198</c:v>
                </c:pt>
                <c:pt idx="7">
                  <c:v>410751</c:v>
                </c:pt>
                <c:pt idx="8">
                  <c:v>237611</c:v>
                </c:pt>
              </c:numCache>
            </c:numRef>
          </c:val>
        </c:ser>
        <c:ser>
          <c:idx val="0"/>
          <c:order val="0"/>
          <c:tx>
            <c:strRef>
              <c:f>'I.2.2 Empr x No. de empl'!$B$6</c:f>
              <c:strCache>
                <c:ptCount val="1"/>
                <c:pt idx="0">
                  <c:v>Empresas</c:v>
                </c:pt>
              </c:strCache>
            </c:strRef>
          </c:tx>
          <c:spPr>
            <a:solidFill>
              <a:schemeClr val="accent3">
                <a:lumMod val="50000"/>
              </a:schemeClr>
            </a:solidFill>
          </c:spPr>
          <c:invertIfNegative val="0"/>
          <c:dLbls>
            <c:dLbl>
              <c:idx val="0"/>
              <c:layout>
                <c:manualLayout>
                  <c:x val="2.6708685693374212E-3"/>
                  <c:y val="3.61701649040149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223835989189049E-4"/>
                  <c:y val="-2.730054091847252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9167919121917201E-3"/>
                  <c:y val="-3.63226713365606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11100351326007E-4"/>
                  <c:y val="-2.254058935306663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2235745797230646E-3"/>
                  <c:y val="-6.4301100094069216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1997133080008014E-3"/>
                  <c:y val="-5.018826124225402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6748161120397538E-3"/>
                  <c:y val="-2.3241400935452468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189398974186968E-3"/>
                  <c:y val="-6.738434357451567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587250446804166E-3"/>
                  <c:y val="-4.333569939112900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'I.2.2 Empr x No. de empl'!$A$7:$A$15</c:f>
              <c:strCache>
                <c:ptCount val="9"/>
                <c:pt idx="0">
                  <c:v> 01 y 05  </c:v>
                </c:pt>
                <c:pt idx="1">
                  <c:v> 06 y 10  </c:v>
                </c:pt>
                <c:pt idx="2">
                  <c:v> 11 y 20  </c:v>
                </c:pt>
                <c:pt idx="3">
                  <c:v> 21 y 50  </c:v>
                </c:pt>
                <c:pt idx="4">
                  <c:v> 51 y 100  </c:v>
                </c:pt>
                <c:pt idx="5">
                  <c:v> 101 y 500  </c:v>
                </c:pt>
                <c:pt idx="6">
                  <c:v> 501 y 1,000  </c:v>
                </c:pt>
                <c:pt idx="7">
                  <c:v> 1,001 y 10,000  </c:v>
                </c:pt>
                <c:pt idx="8">
                  <c:v> Mas de 10,000  </c:v>
                </c:pt>
              </c:strCache>
            </c:strRef>
          </c:cat>
          <c:val>
            <c:numRef>
              <c:f>'I.2.2 Empr x No. de empl'!$B$7:$B$15</c:f>
              <c:numCache>
                <c:formatCode>#,##0</c:formatCode>
                <c:ptCount val="9"/>
                <c:pt idx="0">
                  <c:v>38332</c:v>
                </c:pt>
                <c:pt idx="1">
                  <c:v>11618</c:v>
                </c:pt>
                <c:pt idx="2">
                  <c:v>7333</c:v>
                </c:pt>
                <c:pt idx="3">
                  <c:v>4886</c:v>
                </c:pt>
                <c:pt idx="4">
                  <c:v>1626</c:v>
                </c:pt>
                <c:pt idx="5">
                  <c:v>1456</c:v>
                </c:pt>
                <c:pt idx="6">
                  <c:v>217</c:v>
                </c:pt>
                <c:pt idx="7">
                  <c:v>194</c:v>
                </c:pt>
                <c:pt idx="8">
                  <c:v>4</c:v>
                </c:pt>
              </c:numCache>
            </c:numRef>
          </c:val>
        </c:ser>
        <c:dLbls>
          <c:showLegendKey val="0"/>
          <c:showVal val="0"/>
          <c:showCatName val="0"/>
          <c:showSerName val="0"/>
          <c:showPercent val="0"/>
          <c:showBubbleSize val="0"/>
        </c:dLbls>
        <c:gapWidth val="7"/>
        <c:axId val="243406024"/>
        <c:axId val="243406416"/>
      </c:barChart>
      <c:catAx>
        <c:axId val="243406024"/>
        <c:scaling>
          <c:orientation val="minMax"/>
        </c:scaling>
        <c:delete val="0"/>
        <c:axPos val="l"/>
        <c:numFmt formatCode="General" sourceLinked="1"/>
        <c:majorTickMark val="none"/>
        <c:minorTickMark val="none"/>
        <c:tickLblPos val="nextTo"/>
        <c:txPr>
          <a:bodyPr rot="-2700000" vert="horz"/>
          <a:lstStyle/>
          <a:p>
            <a:pPr>
              <a:defRPr sz="1050"/>
            </a:pPr>
            <a:endParaRPr lang="es-ES"/>
          </a:p>
        </c:txPr>
        <c:crossAx val="243406416"/>
        <c:crosses val="autoZero"/>
        <c:auto val="1"/>
        <c:lblAlgn val="ctr"/>
        <c:lblOffset val="100"/>
        <c:noMultiLvlLbl val="0"/>
      </c:catAx>
      <c:valAx>
        <c:axId val="243406416"/>
        <c:scaling>
          <c:orientation val="minMax"/>
        </c:scaling>
        <c:delete val="0"/>
        <c:axPos val="b"/>
        <c:numFmt formatCode="#,##0" sourceLinked="1"/>
        <c:majorTickMark val="none"/>
        <c:minorTickMark val="none"/>
        <c:tickLblPos val="none"/>
        <c:crossAx val="243406024"/>
        <c:crosses val="autoZero"/>
        <c:crossBetween val="between"/>
      </c:valAx>
    </c:plotArea>
    <c:legend>
      <c:legendPos val="t"/>
      <c:layout>
        <c:manualLayout>
          <c:xMode val="edge"/>
          <c:yMode val="edge"/>
          <c:x val="0.3225616069980547"/>
          <c:y val="0.10172952671278972"/>
          <c:w val="0.31050389075738916"/>
          <c:h val="4.0959486961898321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Datos Generales del Sistema Dominicano de la Seguridad Social (SDSS) </a:t>
            </a:r>
          </a:p>
          <a:p>
            <a:pPr>
              <a:defRPr/>
            </a:pPr>
            <a:r>
              <a:rPr lang="es-DO"/>
              <a:t>Salario Promedio Mensual de los Empleados Afiliados Activos al SDSS, por Sector</a:t>
            </a:r>
          </a:p>
        </c:rich>
      </c:tx>
      <c:overlay val="1"/>
    </c:title>
    <c:autoTitleDeleted val="0"/>
    <c:plotArea>
      <c:layout>
        <c:manualLayout>
          <c:layoutTarget val="inner"/>
          <c:xMode val="edge"/>
          <c:yMode val="edge"/>
          <c:x val="1.7881273862946915E-2"/>
          <c:y val="0.36482015168388254"/>
          <c:w val="0.95092283374958964"/>
          <c:h val="0.46200117416333814"/>
        </c:manualLayout>
      </c:layout>
      <c:barChart>
        <c:barDir val="col"/>
        <c:grouping val="clustered"/>
        <c:varyColors val="0"/>
        <c:ser>
          <c:idx val="0"/>
          <c:order val="0"/>
          <c:tx>
            <c:strRef>
              <c:f>'I.2.3 Salario prom.'!$B$3</c:f>
              <c:strCache>
                <c:ptCount val="1"/>
                <c:pt idx="0">
                  <c:v>Privado</c:v>
                </c:pt>
              </c:strCache>
            </c:strRef>
          </c:tx>
          <c:invertIfNegative val="0"/>
          <c:dLbls>
            <c:spPr>
              <a:noFill/>
              <a:ln>
                <a:noFill/>
              </a:ln>
              <a:effectLst/>
            </c:spPr>
            <c:txPr>
              <a:bodyPr rot="-5400000" vert="horz"/>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'I.2.3 Salario prom.'!$A$4:$A$10</c:f>
              <c:strCache>
                <c:ptCount val="7"/>
                <c:pt idx="0">
                  <c:v>Dic.08</c:v>
                </c:pt>
                <c:pt idx="1">
                  <c:v>Dic.09</c:v>
                </c:pt>
                <c:pt idx="2">
                  <c:v>Dic.10</c:v>
                </c:pt>
                <c:pt idx="3">
                  <c:v>Dic.11</c:v>
                </c:pt>
                <c:pt idx="4">
                  <c:v>Dic.12</c:v>
                </c:pt>
                <c:pt idx="5">
                  <c:v>Dic.13</c:v>
                </c:pt>
                <c:pt idx="6">
                  <c:v>Dic.14</c:v>
                </c:pt>
              </c:strCache>
            </c:strRef>
          </c:cat>
          <c:val>
            <c:numRef>
              <c:f>'I.2.3 Salario prom.'!$B$4:$B$10</c:f>
              <c:numCache>
                <c:formatCode>General</c:formatCode>
                <c:ptCount val="7"/>
                <c:pt idx="0">
                  <c:v>12759.99</c:v>
                </c:pt>
                <c:pt idx="1">
                  <c:v>13452.51</c:v>
                </c:pt>
                <c:pt idx="2">
                  <c:v>13943.45</c:v>
                </c:pt>
                <c:pt idx="3">
                  <c:v>15101.3</c:v>
                </c:pt>
                <c:pt idx="4">
                  <c:v>15510.225345000001</c:v>
                </c:pt>
                <c:pt idx="5">
                  <c:v>16160.85</c:v>
                </c:pt>
                <c:pt idx="6">
                  <c:v>16415</c:v>
                </c:pt>
              </c:numCache>
            </c:numRef>
          </c:val>
        </c:ser>
        <c:ser>
          <c:idx val="1"/>
          <c:order val="1"/>
          <c:tx>
            <c:strRef>
              <c:f>'I.2.3 Salario prom.'!$C$3</c:f>
              <c:strCache>
                <c:ptCount val="1"/>
                <c:pt idx="0">
                  <c:v>Público</c:v>
                </c:pt>
              </c:strCache>
            </c:strRef>
          </c:tx>
          <c:spPr>
            <a:solidFill>
              <a:schemeClr val="accent3">
                <a:lumMod val="50000"/>
              </a:schemeClr>
            </a:solidFill>
          </c:spPr>
          <c:invertIfNegative val="0"/>
          <c:dLbls>
            <c:spPr>
              <a:noFill/>
              <a:ln>
                <a:noFill/>
              </a:ln>
              <a:effectLst/>
            </c:spPr>
            <c:txPr>
              <a:bodyPr rot="-5400000" vert="horz"/>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'I.2.3 Salario prom.'!$A$4:$A$10</c:f>
              <c:strCache>
                <c:ptCount val="7"/>
                <c:pt idx="0">
                  <c:v>Dic.08</c:v>
                </c:pt>
                <c:pt idx="1">
                  <c:v>Dic.09</c:v>
                </c:pt>
                <c:pt idx="2">
                  <c:v>Dic.10</c:v>
                </c:pt>
                <c:pt idx="3">
                  <c:v>Dic.11</c:v>
                </c:pt>
                <c:pt idx="4">
                  <c:v>Dic.12</c:v>
                </c:pt>
                <c:pt idx="5">
                  <c:v>Dic.13</c:v>
                </c:pt>
                <c:pt idx="6">
                  <c:v>Dic.14</c:v>
                </c:pt>
              </c:strCache>
            </c:strRef>
          </c:cat>
          <c:val>
            <c:numRef>
              <c:f>'I.2.3 Salario prom.'!$C$4:$C$10</c:f>
              <c:numCache>
                <c:formatCode>General</c:formatCode>
                <c:ptCount val="7"/>
                <c:pt idx="0">
                  <c:v>15836.19</c:v>
                </c:pt>
                <c:pt idx="1">
                  <c:v>14653.84</c:v>
                </c:pt>
                <c:pt idx="2">
                  <c:v>16719.03</c:v>
                </c:pt>
                <c:pt idx="3">
                  <c:v>17359.740000000002</c:v>
                </c:pt>
                <c:pt idx="4">
                  <c:v>18573.343870000001</c:v>
                </c:pt>
                <c:pt idx="5">
                  <c:v>18287.32</c:v>
                </c:pt>
                <c:pt idx="6">
                  <c:v>20545</c:v>
                </c:pt>
              </c:numCache>
            </c:numRef>
          </c:val>
        </c:ser>
        <c:ser>
          <c:idx val="2"/>
          <c:order val="2"/>
          <c:tx>
            <c:strRef>
              <c:f>'I.2.3 Salario prom.'!$D$3</c:f>
              <c:strCache>
                <c:ptCount val="1"/>
                <c:pt idx="0">
                  <c:v>Público Centralizado</c:v>
                </c:pt>
              </c:strCache>
            </c:strRef>
          </c:tx>
          <c:spPr>
            <a:solidFill>
              <a:schemeClr val="accent6">
                <a:lumMod val="50000"/>
              </a:schemeClr>
            </a:solidFill>
          </c:spPr>
          <c:invertIfNegative val="0"/>
          <c:dLbls>
            <c:spPr>
              <a:noFill/>
              <a:ln>
                <a:noFill/>
              </a:ln>
              <a:effectLst/>
            </c:spPr>
            <c:txPr>
              <a:bodyPr rot="-5400000" vert="horz"/>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'I.2.3 Salario prom.'!$A$4:$A$10</c:f>
              <c:strCache>
                <c:ptCount val="7"/>
                <c:pt idx="0">
                  <c:v>Dic.08</c:v>
                </c:pt>
                <c:pt idx="1">
                  <c:v>Dic.09</c:v>
                </c:pt>
                <c:pt idx="2">
                  <c:v>Dic.10</c:v>
                </c:pt>
                <c:pt idx="3">
                  <c:v>Dic.11</c:v>
                </c:pt>
                <c:pt idx="4">
                  <c:v>Dic.12</c:v>
                </c:pt>
                <c:pt idx="5">
                  <c:v>Dic.13</c:v>
                </c:pt>
                <c:pt idx="6">
                  <c:v>Dic.14</c:v>
                </c:pt>
              </c:strCache>
            </c:strRef>
          </c:cat>
          <c:val>
            <c:numRef>
              <c:f>'I.2.3 Salario prom.'!$D$4:$D$10</c:f>
              <c:numCache>
                <c:formatCode>General</c:formatCode>
                <c:ptCount val="7"/>
                <c:pt idx="0">
                  <c:v>14748.51</c:v>
                </c:pt>
                <c:pt idx="1">
                  <c:v>15155.74</c:v>
                </c:pt>
                <c:pt idx="2">
                  <c:v>15971.57</c:v>
                </c:pt>
                <c:pt idx="3">
                  <c:v>17325.060000000001</c:v>
                </c:pt>
                <c:pt idx="4">
                  <c:v>17762.509957999999</c:v>
                </c:pt>
                <c:pt idx="5">
                  <c:v>20644</c:v>
                </c:pt>
                <c:pt idx="6">
                  <c:v>22507</c:v>
                </c:pt>
              </c:numCache>
            </c:numRef>
          </c:val>
        </c:ser>
        <c:dLbls>
          <c:showLegendKey val="0"/>
          <c:showVal val="0"/>
          <c:showCatName val="0"/>
          <c:showSerName val="0"/>
          <c:showPercent val="0"/>
          <c:showBubbleSize val="0"/>
        </c:dLbls>
        <c:gapWidth val="63"/>
        <c:overlap val="-6"/>
        <c:axId val="243407200"/>
        <c:axId val="243407592"/>
      </c:barChart>
      <c:catAx>
        <c:axId val="243407200"/>
        <c:scaling>
          <c:orientation val="minMax"/>
        </c:scaling>
        <c:delete val="0"/>
        <c:axPos val="b"/>
        <c:numFmt formatCode="General" sourceLinked="1"/>
        <c:majorTickMark val="none"/>
        <c:minorTickMark val="none"/>
        <c:tickLblPos val="nextTo"/>
        <c:txPr>
          <a:bodyPr/>
          <a:lstStyle/>
          <a:p>
            <a:pPr>
              <a:defRPr sz="1600"/>
            </a:pPr>
            <a:endParaRPr lang="es-ES"/>
          </a:p>
        </c:txPr>
        <c:crossAx val="243407592"/>
        <c:crosses val="autoZero"/>
        <c:auto val="1"/>
        <c:lblAlgn val="ctr"/>
        <c:lblOffset val="100"/>
        <c:noMultiLvlLbl val="0"/>
      </c:catAx>
      <c:valAx>
        <c:axId val="243407592"/>
        <c:scaling>
          <c:orientation val="minMax"/>
        </c:scaling>
        <c:delete val="1"/>
        <c:axPos val="l"/>
        <c:numFmt formatCode="General" sourceLinked="1"/>
        <c:majorTickMark val="out"/>
        <c:minorTickMark val="none"/>
        <c:tickLblPos val="nextTo"/>
        <c:crossAx val="243407200"/>
        <c:crosses val="autoZero"/>
        <c:crossBetween val="between"/>
      </c:valAx>
    </c:plotArea>
    <c:legend>
      <c:legendPos val="t"/>
      <c:layout>
        <c:manualLayout>
          <c:xMode val="edge"/>
          <c:yMode val="edge"/>
          <c:x val="0.17595426545163556"/>
          <c:y val="0.1078363435934185"/>
          <c:w val="0.5965894893819832"/>
          <c:h val="3.7314048940501048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9272090102981285"/>
          <c:y val="2.3086413918083387E-2"/>
        </c:manualLayout>
      </c:layout>
      <c:overlay val="1"/>
    </c:title>
    <c:autoTitleDeleted val="0"/>
    <c:plotArea>
      <c:layout>
        <c:manualLayout>
          <c:layoutTarget val="inner"/>
          <c:xMode val="edge"/>
          <c:yMode val="edge"/>
          <c:x val="5.7571545694337665E-2"/>
          <c:y val="0.20041006891550703"/>
          <c:w val="0.84117063044361229"/>
          <c:h val="0.56169564921438853"/>
        </c:manualLayout>
      </c:layout>
      <c:lineChart>
        <c:grouping val="standard"/>
        <c:varyColors val="0"/>
        <c:ser>
          <c:idx val="0"/>
          <c:order val="0"/>
          <c:tx>
            <c:strRef>
              <c:f>'II.1 Pob. econ. '!$B$4</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'!$B$5:$B$17</c:f>
              <c:numCache>
                <c:formatCode>#,##0</c:formatCode>
                <c:ptCount val="10"/>
                <c:pt idx="0">
                  <c:v>8968144</c:v>
                </c:pt>
                <c:pt idx="1">
                  <c:v>9072308</c:v>
                </c:pt>
                <c:pt idx="2">
                  <c:v>9175265</c:v>
                </c:pt>
                <c:pt idx="3">
                  <c:v>9277181</c:v>
                </c:pt>
                <c:pt idx="4">
                  <c:v>9378455</c:v>
                </c:pt>
                <c:pt idx="5">
                  <c:v>9445281</c:v>
                </c:pt>
                <c:pt idx="6">
                  <c:v>9579983</c:v>
                </c:pt>
                <c:pt idx="7">
                  <c:v>9680534</c:v>
                </c:pt>
                <c:pt idx="8">
                  <c:v>9780743</c:v>
                </c:pt>
                <c:pt idx="9">
                  <c:v>9880505</c:v>
                </c:pt>
              </c:numCache>
            </c:numRef>
          </c:val>
          <c:smooth val="0"/>
        </c:ser>
        <c:ser>
          <c:idx val="1"/>
          <c:order val="1"/>
          <c:tx>
            <c:strRef>
              <c:f>'II.1 Pob. econ. '!$C$4</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'!$C$5:$C$17</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'II.1 Pob. econ. '!$D$4</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'!$D$5:$D$17</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'II.1 Pob. econ. '!$E$4</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'!$E$5:$E$17</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'II.1 Pob. econ. '!$F$4</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'!$F$5:$F$17</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'II.1 Pob. econ. '!$G$4</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'II.1 Pob. econ. '!$A$5:$A$17</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'II.1 Pob. econ. '!$G$5:$G$17</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243408376"/>
        <c:axId val="243408768"/>
      </c:lineChart>
      <c:catAx>
        <c:axId val="243408376"/>
        <c:scaling>
          <c:orientation val="minMax"/>
        </c:scaling>
        <c:delete val="0"/>
        <c:axPos val="b"/>
        <c:numFmt formatCode="General" sourceLinked="1"/>
        <c:majorTickMark val="none"/>
        <c:minorTickMark val="none"/>
        <c:tickLblPos val="nextTo"/>
        <c:txPr>
          <a:bodyPr/>
          <a:lstStyle/>
          <a:p>
            <a:pPr>
              <a:defRPr lang="en-US" sz="1200"/>
            </a:pPr>
            <a:endParaRPr lang="es-ES"/>
          </a:p>
        </c:txPr>
        <c:crossAx val="243408768"/>
        <c:crosses val="autoZero"/>
        <c:auto val="1"/>
        <c:lblAlgn val="ctr"/>
        <c:lblOffset val="100"/>
        <c:noMultiLvlLbl val="0"/>
      </c:catAx>
      <c:valAx>
        <c:axId val="243408768"/>
        <c:scaling>
          <c:orientation val="minMax"/>
          <c:max val="10000000"/>
          <c:min val="0"/>
        </c:scaling>
        <c:delete val="1"/>
        <c:axPos val="l"/>
        <c:numFmt formatCode="#,##0" sourceLinked="1"/>
        <c:majorTickMark val="out"/>
        <c:minorTickMark val="none"/>
        <c:tickLblPos val="nextTo"/>
        <c:crossAx val="24340837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207295960163398"/>
          <c:y val="1.831649753953190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355544972017476E-4"/>
          <c:y val="0.25532007718889355"/>
          <c:w val="0.994650781533574"/>
          <c:h val="0.6417149993906599"/>
        </c:manualLayout>
      </c:layout>
      <c:bar3DChart>
        <c:barDir val="col"/>
        <c:grouping val="stacked"/>
        <c:varyColors val="0"/>
        <c:ser>
          <c:idx val="0"/>
          <c:order val="0"/>
          <c:tx>
            <c:strRef>
              <c:f>'II.2 Ocup. formal '!$A$5</c:f>
              <c:strCache>
                <c:ptCount val="1"/>
                <c:pt idx="0">
                  <c:v> Agricultura y Ganadería </c:v>
                </c:pt>
              </c:strCache>
            </c:strRef>
          </c:tx>
          <c:spPr>
            <a:solidFill>
              <a:srgbClr val="002060"/>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'!$B$5:$N$5</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er>
        <c:ser>
          <c:idx val="1"/>
          <c:order val="1"/>
          <c:tx>
            <c:strRef>
              <c:f>'II.2 Ocup. formal '!$A$6</c:f>
              <c:strCache>
                <c:ptCount val="1"/>
                <c:pt idx="0">
                  <c:v> Explotación de Minas y Canteras  </c:v>
                </c:pt>
              </c:strCache>
            </c:strRef>
          </c:tx>
          <c:spPr>
            <a:solidFill>
              <a:srgbClr val="FF0066"/>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'!$B$6:$N$6</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er>
        <c:ser>
          <c:idx val="2"/>
          <c:order val="2"/>
          <c:tx>
            <c:strRef>
              <c:f>'II.2 Ocup. formal '!$A$7</c:f>
              <c:strCache>
                <c:ptCount val="1"/>
                <c:pt idx="0">
                  <c:v> Industrias Manufactureras </c:v>
                </c:pt>
              </c:strCache>
            </c:strRef>
          </c:tx>
          <c:spPr>
            <a:solidFill>
              <a:srgbClr val="00B050"/>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'!$B$7:$N$7</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er>
        <c:ser>
          <c:idx val="3"/>
          <c:order val="3"/>
          <c:tx>
            <c:strRef>
              <c:f>'II.2 Ocup. formal '!$A$8</c:f>
              <c:strCache>
                <c:ptCount val="1"/>
                <c:pt idx="0">
                  <c:v> Electricidad, Gas y Agua </c:v>
                </c:pt>
              </c:strCache>
            </c:strRef>
          </c:tx>
          <c:spPr>
            <a:solidFill>
              <a:srgbClr val="FF0000"/>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'!$B$8:$N$8</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er>
        <c:ser>
          <c:idx val="4"/>
          <c:order val="4"/>
          <c:tx>
            <c:strRef>
              <c:f>'II.2 Ocup. formal '!$A$9</c:f>
              <c:strCache>
                <c:ptCount val="1"/>
                <c:pt idx="0">
                  <c:v> Construcción  </c:v>
                </c:pt>
              </c:strCache>
            </c:strRef>
          </c:tx>
          <c:spPr>
            <a:solidFill>
              <a:srgbClr val="0070C0"/>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'!$B$9:$N$9</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er>
        <c:ser>
          <c:idx val="5"/>
          <c:order val="5"/>
          <c:tx>
            <c:strRef>
              <c:f>'II.2 Ocup. formal '!$A$10</c:f>
              <c:strCache>
                <c:ptCount val="1"/>
                <c:pt idx="0">
                  <c:v> Comercio al por Mayor y Menor </c:v>
                </c:pt>
              </c:strCache>
            </c:strRef>
          </c:tx>
          <c:invertIfNegative val="0"/>
          <c:dPt>
            <c:idx val="2"/>
            <c:invertIfNegative val="0"/>
            <c:bubble3D val="0"/>
            <c:spPr>
              <a:solidFill>
                <a:schemeClr val="accent5">
                  <a:lumMod val="50000"/>
                </a:schemeClr>
              </a:solidFill>
            </c:spPr>
          </c:dPt>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'!$B$10:$N$10</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er>
        <c:ser>
          <c:idx val="6"/>
          <c:order val="6"/>
          <c:tx>
            <c:strRef>
              <c:f>'II.2 Ocup. formal '!$A$11</c:f>
              <c:strCache>
                <c:ptCount val="1"/>
                <c:pt idx="0">
                  <c:v> Hoteles, Bares y Restaurantes </c:v>
                </c:pt>
              </c:strCache>
            </c:strRef>
          </c:tx>
          <c:spPr>
            <a:solidFill>
              <a:schemeClr val="accent3">
                <a:lumMod val="50000"/>
              </a:schemeClr>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'!$B$11:$N$11</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er>
        <c:ser>
          <c:idx val="7"/>
          <c:order val="7"/>
          <c:tx>
            <c:strRef>
              <c:f>'II.2 Ocup. formal '!$A$12</c:f>
              <c:strCache>
                <c:ptCount val="1"/>
                <c:pt idx="0">
                  <c:v> Transporte y Comunicaciones </c:v>
                </c:pt>
              </c:strCache>
            </c:strRef>
          </c:tx>
          <c:spPr>
            <a:solidFill>
              <a:schemeClr val="accent1">
                <a:lumMod val="60000"/>
                <a:lumOff val="40000"/>
              </a:schemeClr>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'!$B$12:$N$12</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er>
        <c:ser>
          <c:idx val="8"/>
          <c:order val="8"/>
          <c:tx>
            <c:strRef>
              <c:f>'II.2 Ocup. formal '!$A$13</c:f>
              <c:strCache>
                <c:ptCount val="1"/>
                <c:pt idx="0">
                  <c:v> Intermediación Financiera y Seguros </c:v>
                </c:pt>
              </c:strCache>
            </c:strRef>
          </c:tx>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'!$B$13:$N$13</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er>
        <c:ser>
          <c:idx val="9"/>
          <c:order val="9"/>
          <c:tx>
            <c:strRef>
              <c:f>'II.2 Ocup. formal '!$A$14</c:f>
              <c:strCache>
                <c:ptCount val="1"/>
                <c:pt idx="0">
                  <c:v> Administración Pública y Defensa </c:v>
                </c:pt>
              </c:strCache>
            </c:strRef>
          </c:tx>
          <c:spPr>
            <a:solidFill>
              <a:schemeClr val="accent5"/>
            </a:solidFill>
          </c:spPr>
          <c:invertIfNegative val="0"/>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'!$B$14:$N$14</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er>
        <c:ser>
          <c:idx val="10"/>
          <c:order val="10"/>
          <c:tx>
            <c:strRef>
              <c:f>'II.2 Ocup. formal '!$A$15</c:f>
              <c:strCache>
                <c:ptCount val="1"/>
                <c:pt idx="0">
                  <c:v> Otros Servicios </c:v>
                </c:pt>
              </c:strCache>
            </c:strRef>
          </c:tx>
          <c:invertIfNegative val="0"/>
          <c:dLbls>
            <c:dLbl>
              <c:idx val="0"/>
              <c:layout>
                <c:manualLayout>
                  <c:x val="3.4678992793600984E-3"/>
                  <c:y val="-9.3152532948874114E-2"/>
                </c:manualLayout>
              </c:layout>
              <c:tx>
                <c:rich>
                  <a:bodyPr/>
                  <a:lstStyle/>
                  <a:p>
                    <a:r>
                      <a:rPr lang="en-US" sz="1100"/>
                      <a:t>1,437,260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4230524181515424E-3"/>
                  <c:y val="-9.9565612166067144E-2"/>
                </c:manualLayout>
              </c:layout>
              <c:tx>
                <c:rich>
                  <a:bodyPr/>
                  <a:lstStyle/>
                  <a:p>
                    <a:r>
                      <a:rPr lang="en-US" sz="1100"/>
                      <a:t>1,505,583</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1922018529977207E-2"/>
                  <c:y val="-0.1086721765191155"/>
                </c:manualLayout>
              </c:layout>
              <c:tx>
                <c:rich>
                  <a:bodyPr/>
                  <a:lstStyle/>
                  <a:p>
                    <a:r>
                      <a:rPr lang="en-US" sz="1100"/>
                      <a:t>1,571,912</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8.3546308089235098E-3"/>
                  <c:y val="-0.10569105980829908"/>
                </c:manualLayout>
              </c:layout>
              <c:tx>
                <c:rich>
                  <a:bodyPr/>
                  <a:lstStyle/>
                  <a:p>
                    <a:r>
                      <a:rPr lang="en-US" sz="1100"/>
                      <a:t>1,566,047</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1634985008867798E-3"/>
                  <c:y val="-0.12386675685498522"/>
                </c:manualLayout>
              </c:layout>
              <c:tx>
                <c:rich>
                  <a:bodyPr/>
                  <a:lstStyle/>
                  <a:p>
                    <a:r>
                      <a:rPr lang="en-US" sz="1100"/>
                      <a:t>1,560,994</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1905377040076569E-2"/>
                  <c:y val="-0.11691982854604512"/>
                </c:manualLayout>
              </c:layout>
              <c:tx>
                <c:rich>
                  <a:bodyPr/>
                  <a:lstStyle/>
                  <a:p>
                    <a:r>
                      <a:rPr lang="en-US" sz="1100"/>
                      <a:t>1,631,129</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1286782519631902E-3"/>
                  <c:y val="-0.12380347840383983"/>
                </c:manualLayout>
              </c:layout>
              <c:tx>
                <c:rich>
                  <a:bodyPr/>
                  <a:lstStyle/>
                  <a:p>
                    <a:r>
                      <a:rPr lang="en-US" sz="1100"/>
                      <a:t>1,686,216</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0464040097586265E-2"/>
                  <c:y val="-0.12741348108163017"/>
                </c:manualLayout>
              </c:layout>
              <c:tx>
                <c:rich>
                  <a:bodyPr/>
                  <a:lstStyle/>
                  <a:p>
                    <a:r>
                      <a:rPr lang="en-US" sz="1100"/>
                      <a:t>1,716,228</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2622805666533201E-2"/>
                  <c:y val="-0.11917392354239492"/>
                </c:manualLayout>
              </c:layout>
              <c:tx>
                <c:rich>
                  <a:bodyPr/>
                  <a:lstStyle/>
                  <a:p>
                    <a:r>
                      <a:rPr lang="en-US" sz="1100"/>
                      <a:t>1,769,801</a:t>
                    </a:r>
                    <a:endParaRPr lang="en-US" sz="1050"/>
                  </a:p>
                </c:rich>
              </c:tx>
              <c:showLegendKey val="0"/>
              <c:showVal val="0"/>
              <c:showCatName val="0"/>
              <c:showSerName val="0"/>
              <c:showPercent val="0"/>
              <c:showBubbleSize val="0"/>
              <c:extLst>
                <c:ext xmlns:c15="http://schemas.microsoft.com/office/drawing/2012/chart" uri="{CE6537A1-D6FC-4f65-9D91-7224C49458BB}"/>
              </c:extLst>
            </c:dLbl>
            <c:dLbl>
              <c:idx val="9"/>
              <c:layout>
                <c:manualLayout>
                  <c:x val="1.0505285282027283E-2"/>
                  <c:y val="-0.12683850041248176"/>
                </c:manualLayout>
              </c:layout>
              <c:tx>
                <c:rich>
                  <a:bodyPr/>
                  <a:lstStyle/>
                  <a:p>
                    <a:pPr>
                      <a:defRPr sz="1100" b="0"/>
                    </a:pPr>
                    <a:r>
                      <a:rPr lang="en-US" sz="1100" b="0"/>
                      <a:t>1,865,496</a:t>
                    </a:r>
                    <a:endParaRPr lang="en-US" sz="1050" b="0"/>
                  </a:p>
                </c:rich>
              </c:tx>
              <c:spPr/>
              <c:showLegendKey val="0"/>
              <c:showVal val="0"/>
              <c:showCatName val="0"/>
              <c:showSerName val="0"/>
              <c:showPercent val="0"/>
              <c:showBubbleSize val="0"/>
              <c:extLst>
                <c:ext xmlns:c15="http://schemas.microsoft.com/office/drawing/2012/chart" uri="{CE6537A1-D6FC-4f65-9D91-7224C49458BB}"/>
              </c:extLst>
            </c:dLbl>
            <c:dLbl>
              <c:idx val="10"/>
              <c:layout>
                <c:manualLayout>
                  <c:x val="9.1214648341104657E-3"/>
                  <c:y val="-0.12510761680131946"/>
                </c:manualLayout>
              </c:layout>
              <c:tx>
                <c:rich>
                  <a:bodyPr/>
                  <a:lstStyle/>
                  <a:p>
                    <a:pPr>
                      <a:defRPr sz="1100" b="0"/>
                    </a:pPr>
                    <a:r>
                      <a:rPr lang="en-US" sz="1100" b="0"/>
                      <a:t>1,679,397</a:t>
                    </a:r>
                    <a:endParaRPr lang="en-US" b="0"/>
                  </a:p>
                </c:rich>
              </c:tx>
              <c:spPr/>
              <c:showLegendKey val="0"/>
              <c:showVal val="1"/>
              <c:showCatName val="0"/>
              <c:showSerName val="0"/>
              <c:showPercent val="0"/>
              <c:showBubbleSize val="0"/>
              <c:extLst>
                <c:ext xmlns:c15="http://schemas.microsoft.com/office/drawing/2012/chart" uri="{CE6537A1-D6FC-4f65-9D91-7224C49458BB}"/>
              </c:extLst>
            </c:dLbl>
            <c:dLbl>
              <c:idx val="11"/>
              <c:layout>
                <c:manualLayout>
                  <c:x val="1.1578776952497349E-2"/>
                  <c:y val="-0.1335330477808796"/>
                </c:manualLayout>
              </c:layout>
              <c:tx>
                <c:rich>
                  <a:bodyPr/>
                  <a:lstStyle/>
                  <a:p>
                    <a:pPr>
                      <a:defRPr sz="1100" b="0">
                        <a:solidFill>
                          <a:sysClr val="windowText" lastClr="000000"/>
                        </a:solidFill>
                      </a:defRPr>
                    </a:pPr>
                    <a:r>
                      <a:rPr lang="en-US" sz="1100" b="0">
                        <a:solidFill>
                          <a:sysClr val="windowText" lastClr="000000"/>
                        </a:solidFill>
                      </a:rPr>
                      <a:t>1,769,801</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12"/>
              <c:layout>
                <c:manualLayout>
                  <c:x val="8.3193823993720755E-3"/>
                  <c:y val="-0.13341352261307166"/>
                </c:manualLayout>
              </c:layout>
              <c:tx>
                <c:rich>
                  <a:bodyPr/>
                  <a:lstStyle/>
                  <a:p>
                    <a:r>
                      <a:rPr lang="en-US"/>
                      <a:t>1,854,749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'II.2 Ocup. formal '!$B$4:$N$4</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'II.2 Ocup. formal '!$B$15:$N$15</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er>
        <c:dLbls>
          <c:showLegendKey val="0"/>
          <c:showVal val="0"/>
          <c:showCatName val="0"/>
          <c:showSerName val="0"/>
          <c:showPercent val="0"/>
          <c:showBubbleSize val="0"/>
        </c:dLbls>
        <c:gapWidth val="75"/>
        <c:shape val="cylinder"/>
        <c:axId val="243409552"/>
        <c:axId val="243409944"/>
        <c:axId val="0"/>
      </c:bar3DChart>
      <c:catAx>
        <c:axId val="243409552"/>
        <c:scaling>
          <c:orientation val="minMax"/>
        </c:scaling>
        <c:delete val="0"/>
        <c:axPos val="b"/>
        <c:numFmt formatCode="General" sourceLinked="1"/>
        <c:majorTickMark val="none"/>
        <c:minorTickMark val="none"/>
        <c:tickLblPos val="nextTo"/>
        <c:txPr>
          <a:bodyPr/>
          <a:lstStyle/>
          <a:p>
            <a:pPr>
              <a:defRPr lang="en-US" sz="1050"/>
            </a:pPr>
            <a:endParaRPr lang="es-ES"/>
          </a:p>
        </c:txPr>
        <c:crossAx val="243409944"/>
        <c:crosses val="autoZero"/>
        <c:auto val="1"/>
        <c:lblAlgn val="ctr"/>
        <c:lblOffset val="100"/>
        <c:noMultiLvlLbl val="0"/>
      </c:catAx>
      <c:valAx>
        <c:axId val="243409944"/>
        <c:scaling>
          <c:orientation val="minMax"/>
        </c:scaling>
        <c:delete val="1"/>
        <c:axPos val="l"/>
        <c:numFmt formatCode="_(* #,##0_);_(* \(#,##0\);_(* &quot;-&quot;??_);_(@_)" sourceLinked="1"/>
        <c:majorTickMark val="out"/>
        <c:minorTickMark val="none"/>
        <c:tickLblPos val="nextTo"/>
        <c:crossAx val="243409552"/>
        <c:crosses val="autoZero"/>
        <c:crossBetween val="between"/>
      </c:valAx>
      <c:spPr>
        <a:noFill/>
        <a:ln w="25400">
          <a:noFill/>
        </a:ln>
      </c:spPr>
    </c:plotArea>
    <c:legend>
      <c:legendPos val="b"/>
      <c:layout>
        <c:manualLayout>
          <c:xMode val="edge"/>
          <c:yMode val="edge"/>
          <c:x val="4.9111703012845202E-3"/>
          <c:y val="0.1591624312770781"/>
          <c:w val="0.97517491364000153"/>
          <c:h val="7.938200569974789E-2"/>
        </c:manualLayout>
      </c:layout>
      <c:overlay val="0"/>
      <c:txPr>
        <a:bodyPr/>
        <a:lstStyle/>
        <a:p>
          <a:pPr>
            <a:defRPr lang="en-US" sz="105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2400"/>
              <a:t>Datos Generales del Sistema Dominicano de Seguridad Social (SDSS) </a:t>
            </a:r>
          </a:p>
          <a:p>
            <a:pPr>
              <a:defRPr/>
            </a:pPr>
            <a:r>
              <a:rPr lang="es-DO" sz="2400"/>
              <a:t>Ingresos y Egresos Anuales del SDSS</a:t>
            </a:r>
          </a:p>
        </c:rich>
      </c:tx>
      <c:layout>
        <c:manualLayout>
          <c:xMode val="edge"/>
          <c:yMode val="edge"/>
          <c:x val="0.32974779052528114"/>
          <c:y val="1.4308944188639205E-2"/>
        </c:manualLayout>
      </c:layout>
      <c:overlay val="1"/>
    </c:title>
    <c:autoTitleDeleted val="0"/>
    <c:plotArea>
      <c:layout>
        <c:manualLayout>
          <c:layoutTarget val="inner"/>
          <c:xMode val="edge"/>
          <c:yMode val="edge"/>
          <c:x val="3.1624581622390881E-2"/>
          <c:y val="0.1492204113521004"/>
          <c:w val="0.95015699643329599"/>
          <c:h val="0.69551242546134395"/>
        </c:manualLayout>
      </c:layout>
      <c:barChart>
        <c:barDir val="col"/>
        <c:grouping val="clustered"/>
        <c:varyColors val="0"/>
        <c:ser>
          <c:idx val="0"/>
          <c:order val="0"/>
          <c:tx>
            <c:strRef>
              <c:f>'III.1 Ingr y egr SDSS'!$D$4</c:f>
              <c:strCache>
                <c:ptCount val="1"/>
                <c:pt idx="0">
                  <c:v>Ingresos SDSS</c:v>
                </c:pt>
              </c:strCache>
            </c:strRef>
          </c:tx>
          <c:invertIfNegative val="0"/>
          <c:dLbls>
            <c:spPr>
              <a:noFill/>
              <a:ln>
                <a:noFill/>
              </a:ln>
              <a:effectLst/>
            </c:spPr>
            <c:txPr>
              <a:bodyPr rot="-5400000" vert="horz"/>
              <a:lstStyle/>
              <a:p>
                <a:pPr>
                  <a:defRPr sz="20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 Ingr y egr SDSS'!$A$5:$A$16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'III.1 Ingr y egr SDSS'!$D$5:$D$16</c:f>
              <c:numCache>
                <c:formatCode>#,##0.00_);[Red]\(#,##0.00\)</c:formatCode>
                <c:ptCount val="10"/>
                <c:pt idx="0">
                  <c:v>10262627389.699999</c:v>
                </c:pt>
                <c:pt idx="1">
                  <c:v>11806542084.9</c:v>
                </c:pt>
                <c:pt idx="2">
                  <c:v>22794062857.330002</c:v>
                </c:pt>
                <c:pt idx="3">
                  <c:v>35281750582.270004</c:v>
                </c:pt>
                <c:pt idx="4">
                  <c:v>41088252321.32</c:v>
                </c:pt>
                <c:pt idx="5">
                  <c:v>47341681943.459999</c:v>
                </c:pt>
                <c:pt idx="6">
                  <c:v>53550560667.839996</c:v>
                </c:pt>
                <c:pt idx="7">
                  <c:v>59665532308.950005</c:v>
                </c:pt>
                <c:pt idx="8">
                  <c:v>66576315908.75</c:v>
                </c:pt>
                <c:pt idx="9">
                  <c:v>76760892413.539993</c:v>
                </c:pt>
              </c:numCache>
            </c:numRef>
          </c:val>
        </c:ser>
        <c:ser>
          <c:idx val="1"/>
          <c:order val="1"/>
          <c:tx>
            <c:strRef>
              <c:f>'III.1 Ingr y egr SDSS'!$J$4</c:f>
              <c:strCache>
                <c:ptCount val="1"/>
                <c:pt idx="0">
                  <c:v>Egresos SDSS</c:v>
                </c:pt>
              </c:strCache>
            </c:strRef>
          </c:tx>
          <c:invertIfNegative val="0"/>
          <c:dLbls>
            <c:spPr>
              <a:noFill/>
              <a:ln>
                <a:noFill/>
              </a:ln>
              <a:effectLst/>
            </c:spPr>
            <c:txPr>
              <a:bodyPr rot="-5400000" vert="horz"/>
              <a:lstStyle/>
              <a:p>
                <a:pPr>
                  <a:defRPr sz="18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 Ingr y egr SDSS'!$A$5:$A$16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'III.1 Ingr y egr SDSS'!$J$5:$J$16</c:f>
              <c:numCache>
                <c:formatCode>#,##0.00_);[Red]\(#,##0.00\)</c:formatCode>
                <c:ptCount val="10"/>
                <c:pt idx="0">
                  <c:v>9844215171.0299988</c:v>
                </c:pt>
                <c:pt idx="1">
                  <c:v>11808873938.42</c:v>
                </c:pt>
                <c:pt idx="2">
                  <c:v>21028301072.758999</c:v>
                </c:pt>
                <c:pt idx="3">
                  <c:v>32941233256.580002</c:v>
                </c:pt>
                <c:pt idx="4">
                  <c:v>38620707109.760002</c:v>
                </c:pt>
                <c:pt idx="5">
                  <c:v>47474512461.159988</c:v>
                </c:pt>
                <c:pt idx="6">
                  <c:v>54043659126.310005</c:v>
                </c:pt>
                <c:pt idx="7">
                  <c:v>60750943012.209999</c:v>
                </c:pt>
                <c:pt idx="8">
                  <c:v>61846215784.920013</c:v>
                </c:pt>
                <c:pt idx="9">
                  <c:v>77590729078.76001</c:v>
                </c:pt>
              </c:numCache>
            </c:numRef>
          </c:val>
        </c:ser>
        <c:ser>
          <c:idx val="2"/>
          <c:order val="2"/>
          <c:tx>
            <c:strRef>
              <c:f>'III.1 Ingr y egr SDSS'!$O$3:$O$4</c:f>
              <c:strCache>
                <c:ptCount val="2"/>
                <c:pt idx="0">
                  <c:v>Saldo  (Ingresos - Egresos SDSS)</c:v>
                </c:pt>
              </c:strCache>
            </c:strRef>
          </c:tx>
          <c:spPr>
            <a:gradFill>
              <a:gsLst>
                <a:gs pos="0">
                  <a:srgbClr val="FFF200"/>
                </a:gs>
                <a:gs pos="45000">
                  <a:srgbClr val="FF7A00"/>
                </a:gs>
                <a:gs pos="70000">
                  <a:srgbClr val="FF0300"/>
                </a:gs>
                <a:gs pos="100000">
                  <a:srgbClr val="4D0808"/>
                </a:gs>
              </a:gsLst>
              <a:lin ang="5400000" scaled="0"/>
            </a:gra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 Ingr y egr SDSS'!$A$5:$A$16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'III.1 Ingr y egr SDSS'!$O$5:$O$16</c:f>
              <c:numCache>
                <c:formatCode>#,##0.00_);[Red]\(#,##0.00\)</c:formatCode>
                <c:ptCount val="10"/>
                <c:pt idx="0">
                  <c:v>418412218.67000008</c:v>
                </c:pt>
                <c:pt idx="1">
                  <c:v>-2331853.5200004578</c:v>
                </c:pt>
                <c:pt idx="2">
                  <c:v>1765761784.571003</c:v>
                </c:pt>
                <c:pt idx="3">
                  <c:v>2340517325.6900024</c:v>
                </c:pt>
                <c:pt idx="4">
                  <c:v>2467545211.5599976</c:v>
                </c:pt>
                <c:pt idx="5">
                  <c:v>-132830517.69998932</c:v>
                </c:pt>
                <c:pt idx="6">
                  <c:v>-493098458.47000885</c:v>
                </c:pt>
                <c:pt idx="7">
                  <c:v>-1085410703.2599945</c:v>
                </c:pt>
                <c:pt idx="8">
                  <c:v>4730100123.8299866</c:v>
                </c:pt>
                <c:pt idx="9">
                  <c:v>-829836665.22001648</c:v>
                </c:pt>
              </c:numCache>
            </c:numRef>
          </c:val>
        </c:ser>
        <c:dLbls>
          <c:showLegendKey val="0"/>
          <c:showVal val="0"/>
          <c:showCatName val="0"/>
          <c:showSerName val="0"/>
          <c:showPercent val="0"/>
          <c:showBubbleSize val="0"/>
        </c:dLbls>
        <c:gapWidth val="39"/>
        <c:axId val="244261208"/>
        <c:axId val="244261600"/>
      </c:barChart>
      <c:catAx>
        <c:axId val="244261208"/>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244261600"/>
        <c:crosses val="autoZero"/>
        <c:auto val="1"/>
        <c:lblAlgn val="ctr"/>
        <c:lblOffset val="100"/>
        <c:noMultiLvlLbl val="0"/>
      </c:catAx>
      <c:valAx>
        <c:axId val="244261600"/>
        <c:scaling>
          <c:orientation val="minMax"/>
        </c:scaling>
        <c:delete val="0"/>
        <c:axPos val="l"/>
        <c:numFmt formatCode="#,##0.00_);[Red]\(#,##0.00\)" sourceLinked="1"/>
        <c:majorTickMark val="none"/>
        <c:minorTickMark val="none"/>
        <c:tickLblPos val="none"/>
        <c:spPr>
          <a:ln>
            <a:solidFill>
              <a:schemeClr val="bg1"/>
            </a:solidFill>
          </a:ln>
        </c:spPr>
        <c:crossAx val="244261208"/>
        <c:crosses val="autoZero"/>
        <c:crossBetween val="between"/>
        <c:dispUnits>
          <c:builtInUnit val="millions"/>
          <c:dispUnitsLbl>
            <c:layout>
              <c:manualLayout>
                <c:xMode val="edge"/>
                <c:yMode val="edge"/>
                <c:x val="1.9838085141124704E-2"/>
                <c:y val="0.42121756989160836"/>
              </c:manualLayout>
            </c:layout>
            <c:txPr>
              <a:bodyPr/>
              <a:lstStyle/>
              <a:p>
                <a:pPr>
                  <a:defRPr sz="2000" b="1"/>
                </a:pPr>
                <a:endParaRPr lang="es-ES"/>
              </a:p>
            </c:txPr>
          </c:dispUnitsLbl>
        </c:dispUnits>
      </c:valAx>
    </c:plotArea>
    <c:legend>
      <c:legendPos val="b"/>
      <c:layout>
        <c:manualLayout>
          <c:xMode val="edge"/>
          <c:yMode val="edge"/>
          <c:x val="0.27300560578750743"/>
          <c:y val="9.2075422825152201E-2"/>
          <c:w val="0.52947389261897937"/>
          <c:h val="4.1468220777699086E-2"/>
        </c:manualLayout>
      </c:layout>
      <c:overlay val="0"/>
      <c:txPr>
        <a:bodyPr/>
        <a:lstStyle/>
        <a:p>
          <a:pPr>
            <a:defRPr sz="2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7.7963647067481046E-2"/>
          <c:y val="0.13688030747290308"/>
          <c:w val="0.88952387960850687"/>
          <c:h val="0.7506801832736919"/>
        </c:manualLayout>
      </c:layout>
      <c:barChart>
        <c:barDir val="col"/>
        <c:grouping val="stacked"/>
        <c:varyColors val="0"/>
        <c:ser>
          <c:idx val="0"/>
          <c:order val="0"/>
          <c:tx>
            <c:strRef>
              <c:f>'Recaudo x sector'!$B$3</c:f>
              <c:strCache>
                <c:ptCount val="1"/>
                <c:pt idx="0">
                  <c:v>Sector  Público</c:v>
                </c:pt>
              </c:strCache>
            </c:strRef>
          </c:tx>
          <c:spPr>
            <a:solidFill>
              <a:schemeClr val="accent3">
                <a:lumMod val="50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'Recaudo x sector'!$A$4:$A$15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'Recaudo x sector'!$B$4:$B$15</c:f>
              <c:numCache>
                <c:formatCode>_(* #,##0.00_);_(* \(#,##0.00\);_(* "-"??_);_(@_)</c:formatCode>
                <c:ptCount val="10"/>
                <c:pt idx="0">
                  <c:v>2740119047.3900003</c:v>
                </c:pt>
                <c:pt idx="1">
                  <c:v>2679574110.783494</c:v>
                </c:pt>
                <c:pt idx="2">
                  <c:v>7440643704.1800003</c:v>
                </c:pt>
                <c:pt idx="3">
                  <c:v>10090935314.219999</c:v>
                </c:pt>
                <c:pt idx="4">
                  <c:v>12419428715.15</c:v>
                </c:pt>
                <c:pt idx="5">
                  <c:v>13982932933.34</c:v>
                </c:pt>
                <c:pt idx="6">
                  <c:v>15631836986.009998</c:v>
                </c:pt>
                <c:pt idx="7">
                  <c:v>17595724643.350403</c:v>
                </c:pt>
                <c:pt idx="8">
                  <c:v>20873289030.960003</c:v>
                </c:pt>
                <c:pt idx="9">
                  <c:v>24657599719.139999</c:v>
                </c:pt>
              </c:numCache>
            </c:numRef>
          </c:val>
        </c:ser>
        <c:ser>
          <c:idx val="1"/>
          <c:order val="1"/>
          <c:tx>
            <c:strRef>
              <c:f>'Recaudo x sector'!$C$3</c:f>
              <c:strCache>
                <c:ptCount val="1"/>
                <c:pt idx="0">
                  <c:v>Sector Privado</c:v>
                </c:pt>
              </c:strCache>
            </c:strRef>
          </c:tx>
          <c:spPr>
            <a:solidFill>
              <a:schemeClr val="accent5">
                <a:lumMod val="50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'Recaudo x sector'!$A$4:$A$15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'Recaudo x sector'!$C$4:$C$15</c:f>
              <c:numCache>
                <c:formatCode>_(* #,##0.00_);_(* \(#,##0.00\);_(* "-"??_);_(@_)</c:formatCode>
                <c:ptCount val="10"/>
                <c:pt idx="0">
                  <c:v>6918059326.1500006</c:v>
                </c:pt>
                <c:pt idx="1">
                  <c:v>8392526306.6965065</c:v>
                </c:pt>
                <c:pt idx="2">
                  <c:v>13755990830.42</c:v>
                </c:pt>
                <c:pt idx="3">
                  <c:v>22987229737.049999</c:v>
                </c:pt>
                <c:pt idx="4">
                  <c:v>25453341929.369999</c:v>
                </c:pt>
                <c:pt idx="5">
                  <c:v>29622073160.660004</c:v>
                </c:pt>
                <c:pt idx="6">
                  <c:v>33784047829.830002</c:v>
                </c:pt>
                <c:pt idx="7">
                  <c:v>37469807664.639603</c:v>
                </c:pt>
                <c:pt idx="8">
                  <c:v>40609714567.439995</c:v>
                </c:pt>
                <c:pt idx="9">
                  <c:v>45263293195.400002</c:v>
                </c:pt>
              </c:numCache>
            </c:numRef>
          </c:val>
        </c:ser>
        <c:dLbls>
          <c:showLegendKey val="0"/>
          <c:showVal val="0"/>
          <c:showCatName val="0"/>
          <c:showSerName val="0"/>
          <c:showPercent val="0"/>
          <c:showBubbleSize val="0"/>
        </c:dLbls>
        <c:gapWidth val="42"/>
        <c:overlap val="82"/>
        <c:axId val="244262776"/>
        <c:axId val="244263168"/>
      </c:barChart>
      <c:catAx>
        <c:axId val="244262776"/>
        <c:scaling>
          <c:orientation val="minMax"/>
        </c:scaling>
        <c:delete val="0"/>
        <c:axPos val="b"/>
        <c:numFmt formatCode="General" sourceLinked="1"/>
        <c:majorTickMark val="out"/>
        <c:minorTickMark val="none"/>
        <c:tickLblPos val="nextTo"/>
        <c:crossAx val="244263168"/>
        <c:crosses val="autoZero"/>
        <c:auto val="1"/>
        <c:lblAlgn val="ctr"/>
        <c:lblOffset val="100"/>
        <c:noMultiLvlLbl val="0"/>
      </c:catAx>
      <c:valAx>
        <c:axId val="24426316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244262776"/>
        <c:crosses val="autoZero"/>
        <c:crossBetween val="between"/>
        <c:dispUnits>
          <c:builtInUnit val="billions"/>
          <c:dispUnitsLbl>
            <c:layout>
              <c:manualLayout>
                <c:xMode val="edge"/>
                <c:yMode val="edge"/>
                <c:x val="4.7880884048372464E-2"/>
                <c:y val="0.326156804792097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200"/>
              <a:t>Recaudo del Régimen Contributivo del SDSS por origen de los aportes                                                 </a:t>
            </a:r>
            <a:endParaRPr lang="en-US" sz="1000"/>
          </a:p>
        </c:rich>
      </c:tx>
      <c:layout>
        <c:manualLayout>
          <c:xMode val="edge"/>
          <c:yMode val="edge"/>
          <c:x val="0.22136642863463701"/>
          <c:y val="2.5958702064896755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90136735988324E-4"/>
          <c:y val="0.13251239170324949"/>
          <c:w val="0.98334941783076579"/>
          <c:h val="0.78406726592804199"/>
        </c:manualLayout>
      </c:layout>
      <c:bar3DChart>
        <c:barDir val="col"/>
        <c:grouping val="standard"/>
        <c:varyColors val="0"/>
        <c:ser>
          <c:idx val="0"/>
          <c:order val="0"/>
          <c:tx>
            <c:strRef>
              <c:f>'Rec. x origen'!$B$3</c:f>
              <c:strCache>
                <c:ptCount val="1"/>
                <c:pt idx="0">
                  <c:v>Trabajador Sector Público</c:v>
                </c:pt>
              </c:strCache>
            </c:strRef>
          </c:tx>
          <c:invertIfNegative val="0"/>
          <c:cat>
            <c:numRef>
              <c:f>'Rec. x origen'!$A$4:$A$15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 x origen'!$B$4:$B$15</c:f>
              <c:numCache>
                <c:formatCode>_(* #,##0.00_);_(* \(#,##0.00\);_(* "-"??_);_(@_)</c:formatCode>
                <c:ptCount val="10"/>
                <c:pt idx="0">
                  <c:v>712430952.32140017</c:v>
                </c:pt>
                <c:pt idx="1">
                  <c:v>696689268.80370843</c:v>
                </c:pt>
                <c:pt idx="2">
                  <c:v>2008973800.1286001</c:v>
                </c:pt>
                <c:pt idx="3">
                  <c:v>2875916564.5526996</c:v>
                </c:pt>
                <c:pt idx="4">
                  <c:v>3539537183.8177495</c:v>
                </c:pt>
                <c:pt idx="5">
                  <c:v>3985135886.0018997</c:v>
                </c:pt>
                <c:pt idx="6">
                  <c:v>4455073541.0128489</c:v>
                </c:pt>
                <c:pt idx="7">
                  <c:v>5014781523.3548641</c:v>
                </c:pt>
                <c:pt idx="8">
                  <c:v>5948887373.8236008</c:v>
                </c:pt>
                <c:pt idx="9">
                  <c:v>7027415919.9548988</c:v>
                </c:pt>
              </c:numCache>
            </c:numRef>
          </c:val>
        </c:ser>
        <c:ser>
          <c:idx val="1"/>
          <c:order val="1"/>
          <c:tx>
            <c:strRef>
              <c:f>'Rec. x origen'!$C$3</c:f>
              <c:strCache>
                <c:ptCount val="1"/>
                <c:pt idx="0">
                  <c:v>Trabajador Sector Privado</c:v>
                </c:pt>
              </c:strCache>
            </c:strRef>
          </c:tx>
          <c:invertIfNegative val="0"/>
          <c:cat>
            <c:numRef>
              <c:f>'Rec. x origen'!$A$4:$A$15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 x origen'!$C$4:$C$15</c:f>
              <c:numCache>
                <c:formatCode>_(* #,##0.00_);_(* \(#,##0.00\);_(* "-"??_);_(@_)</c:formatCode>
                <c:ptCount val="10"/>
                <c:pt idx="0">
                  <c:v>1798695424.7990003</c:v>
                </c:pt>
                <c:pt idx="1">
                  <c:v>2182056839.7410917</c:v>
                </c:pt>
                <c:pt idx="2">
                  <c:v>3714117524.2134004</c:v>
                </c:pt>
                <c:pt idx="3">
                  <c:v>6551360475.0592489</c:v>
                </c:pt>
                <c:pt idx="4">
                  <c:v>7254202449.8704491</c:v>
                </c:pt>
                <c:pt idx="5">
                  <c:v>8442290850.7881002</c:v>
                </c:pt>
                <c:pt idx="6">
                  <c:v>9628453631.5015488</c:v>
                </c:pt>
                <c:pt idx="7">
                  <c:v>10678895184.422285</c:v>
                </c:pt>
                <c:pt idx="8">
                  <c:v>11573768651.720398</c:v>
                </c:pt>
                <c:pt idx="9">
                  <c:v>12900038560.688999</c:v>
                </c:pt>
              </c:numCache>
            </c:numRef>
          </c:val>
        </c:ser>
        <c:ser>
          <c:idx val="2"/>
          <c:order val="2"/>
          <c:tx>
            <c:strRef>
              <c:f>'Rec. x origen'!$D$3</c:f>
              <c:strCache>
                <c:ptCount val="1"/>
                <c:pt idx="0">
                  <c:v> Empleador Sector Público</c:v>
                </c:pt>
              </c:strCache>
            </c:strRef>
          </c:tx>
          <c:invertIfNegative val="0"/>
          <c:cat>
            <c:numRef>
              <c:f>'Rec. x origen'!$A$4:$A$15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 x origen'!$D$4:$D$15</c:f>
              <c:numCache>
                <c:formatCode>_(* #,##0.00_);_(* \(#,##0.00\);_(* "-"??_);_(@_)</c:formatCode>
                <c:ptCount val="10"/>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numCache>
            </c:numRef>
          </c:val>
        </c:ser>
        <c:ser>
          <c:idx val="3"/>
          <c:order val="3"/>
          <c:tx>
            <c:strRef>
              <c:f>'Rec. x origen'!$E$3</c:f>
              <c:strCache>
                <c:ptCount val="1"/>
                <c:pt idx="0">
                  <c:v>Empleador  Sector Privado</c:v>
                </c:pt>
              </c:strCache>
            </c:strRef>
          </c:tx>
          <c:invertIfNegative val="0"/>
          <c:cat>
            <c:numRef>
              <c:f>'Rec. x origen'!$A$4:$A$15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 x origen'!$E$4:$E$15</c:f>
              <c:numCache>
                <c:formatCode>_(* #,##0.00_);_(* \(#,##0.00\);_(* "-"??_);_(@_)</c:formatCode>
                <c:ptCount val="10"/>
                <c:pt idx="0">
                  <c:v>5119363901.3510008</c:v>
                </c:pt>
                <c:pt idx="1">
                  <c:v>6210469466.9554148</c:v>
                </c:pt>
                <c:pt idx="2">
                  <c:v>10041873306.2066</c:v>
                </c:pt>
                <c:pt idx="3">
                  <c:v>16435869261.990749</c:v>
                </c:pt>
                <c:pt idx="4">
                  <c:v>18199139479.49955</c:v>
                </c:pt>
                <c:pt idx="5">
                  <c:v>21179782309.871902</c:v>
                </c:pt>
                <c:pt idx="6">
                  <c:v>24155594198.328449</c:v>
                </c:pt>
                <c:pt idx="7">
                  <c:v>26790912480.217316</c:v>
                </c:pt>
                <c:pt idx="8">
                  <c:v>29035945915.719597</c:v>
                </c:pt>
                <c:pt idx="9">
                  <c:v>32363254634.710999</c:v>
                </c:pt>
              </c:numCache>
            </c:numRef>
          </c:val>
        </c:ser>
        <c:ser>
          <c:idx val="4"/>
          <c:order val="4"/>
          <c:tx>
            <c:strRef>
              <c:f>'Rec.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018055099326E-3"/>
                  <c:y val="-8.29024690497758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3610979415464E-17"/>
                  <c:y val="-1.18605439806749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500661974775276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'Rec. x origen'!$A$4:$A$15</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'Rec. x origen'!$F$4:$F$15</c:f>
              <c:numCache>
                <c:formatCode>_(* #,##0.00_);_(* \(#,##0.00\);_(* "-"??_);_(@_)</c:formatCode>
                <c:ptCount val="10"/>
                <c:pt idx="0">
                  <c:v>9658178373.5400009</c:v>
                </c:pt>
                <c:pt idx="1">
                  <c:v>11072100417.48</c:v>
                </c:pt>
                <c:pt idx="2">
                  <c:v>21196634534.600002</c:v>
                </c:pt>
                <c:pt idx="3">
                  <c:v>33078165051.269997</c:v>
                </c:pt>
                <c:pt idx="4">
                  <c:v>37872770644.519997</c:v>
                </c:pt>
                <c:pt idx="5">
                  <c:v>43605006094</c:v>
                </c:pt>
                <c:pt idx="6">
                  <c:v>49415884815.839996</c:v>
                </c:pt>
                <c:pt idx="7">
                  <c:v>55065532307.990005</c:v>
                </c:pt>
                <c:pt idx="8">
                  <c:v>61483003598.399994</c:v>
                </c:pt>
                <c:pt idx="9">
                  <c:v>69920892914.539993</c:v>
                </c:pt>
              </c:numCache>
            </c:numRef>
          </c:val>
        </c:ser>
        <c:dLbls>
          <c:showLegendKey val="0"/>
          <c:showVal val="0"/>
          <c:showCatName val="0"/>
          <c:showSerName val="0"/>
          <c:showPercent val="0"/>
          <c:showBubbleSize val="0"/>
        </c:dLbls>
        <c:gapWidth val="75"/>
        <c:shape val="cylinder"/>
        <c:axId val="244263952"/>
        <c:axId val="244264344"/>
        <c:axId val="242075328"/>
      </c:bar3DChart>
      <c:catAx>
        <c:axId val="244263952"/>
        <c:scaling>
          <c:orientation val="minMax"/>
        </c:scaling>
        <c:delete val="0"/>
        <c:axPos val="b"/>
        <c:numFmt formatCode="General" sourceLinked="1"/>
        <c:majorTickMark val="none"/>
        <c:minorTickMark val="none"/>
        <c:tickLblPos val="nextTo"/>
        <c:txPr>
          <a:bodyPr/>
          <a:lstStyle/>
          <a:p>
            <a:pPr>
              <a:defRPr sz="900"/>
            </a:pPr>
            <a:endParaRPr lang="es-ES"/>
          </a:p>
        </c:txPr>
        <c:crossAx val="244264344"/>
        <c:crosses val="autoZero"/>
        <c:auto val="1"/>
        <c:lblAlgn val="ctr"/>
        <c:lblOffset val="600"/>
        <c:tickLblSkip val="1"/>
        <c:noMultiLvlLbl val="0"/>
      </c:catAx>
      <c:valAx>
        <c:axId val="244264344"/>
        <c:scaling>
          <c:orientation val="minMax"/>
        </c:scaling>
        <c:delete val="1"/>
        <c:axPos val="l"/>
        <c:numFmt formatCode="_(* #,##0.00_);_(* \(#,##0.00\);_(* &quot;-&quot;??_);_(@_)" sourceLinked="1"/>
        <c:majorTickMark val="none"/>
        <c:minorTickMark val="none"/>
        <c:tickLblPos val="nextTo"/>
        <c:crossAx val="244263952"/>
        <c:crosses val="autoZero"/>
        <c:crossBetween val="between"/>
        <c:dispUnits>
          <c:builtInUnit val="billions"/>
          <c:dispUnitsLbl/>
        </c:dispUnits>
      </c:valAx>
      <c:serAx>
        <c:axId val="242075328"/>
        <c:scaling>
          <c:orientation val="minMax"/>
        </c:scaling>
        <c:delete val="1"/>
        <c:axPos val="b"/>
        <c:majorTickMark val="out"/>
        <c:minorTickMark val="none"/>
        <c:tickLblPos val="nextTo"/>
        <c:crossAx val="244264344"/>
        <c:crosses val="autoZero"/>
      </c:serAx>
    </c:plotArea>
    <c:legend>
      <c:legendPos val="l"/>
      <c:layout>
        <c:manualLayout>
          <c:xMode val="edge"/>
          <c:yMode val="edge"/>
          <c:x val="0.12939948635452828"/>
          <c:y val="9.2098947808515089E-2"/>
          <c:w val="0.71704162786103354"/>
          <c:h val="6.385654890483823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306203082948E-3"/>
          <c:y val="0.14504402862605237"/>
          <c:w val="0.97343910134202349"/>
          <c:h val="0.67158903366767519"/>
        </c:manualLayout>
      </c:layout>
      <c:bar3DChart>
        <c:barDir val="col"/>
        <c:grouping val="standard"/>
        <c:varyColors val="0"/>
        <c:ser>
          <c:idx val="0"/>
          <c:order val="0"/>
          <c:tx>
            <c:strRef>
              <c:f>Aport.Gob.SS!$B$4</c:f>
              <c:strCache>
                <c:ptCount val="1"/>
                <c:pt idx="0">
                  <c:v>Salud Pensionados</c:v>
                </c:pt>
              </c:strCache>
            </c:strRef>
          </c:tx>
          <c:invertIfNegative val="0"/>
          <c:cat>
            <c:numRef>
              <c:f>Aport.Gob.SS!$A$5:$A$17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Aport.Gob.SS!$B$5:$B$17</c:f>
              <c:numCache>
                <c:formatCode>_(* #,##0.00_);_(* \(#,##0.00\);_(* "-"??_);_(@_)</c:formatCode>
                <c:ptCount val="10"/>
                <c:pt idx="4">
                  <c:v>178872817.62</c:v>
                </c:pt>
                <c:pt idx="5">
                  <c:v>95767339.469999999</c:v>
                </c:pt>
                <c:pt idx="6">
                  <c:v>320281085.42000002</c:v>
                </c:pt>
                <c:pt idx="7">
                  <c:v>349151178.96000004</c:v>
                </c:pt>
                <c:pt idx="8">
                  <c:v>362641633.79000002</c:v>
                </c:pt>
                <c:pt idx="9">
                  <c:v>319928544.26999998</c:v>
                </c:pt>
              </c:numCache>
            </c:numRef>
          </c:val>
        </c:ser>
        <c:ser>
          <c:idx val="1"/>
          <c:order val="1"/>
          <c:tx>
            <c:strRef>
              <c:f>Aport.Gob.SS!$C$4</c:f>
              <c:strCache>
                <c:ptCount val="1"/>
                <c:pt idx="0">
                  <c:v> FONAMAT</c:v>
                </c:pt>
              </c:strCache>
            </c:strRef>
          </c:tx>
          <c:invertIfNegative val="0"/>
          <c:cat>
            <c:numRef>
              <c:f>Aport.Gob.SS!$A$5:$A$17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Aport.Gob.SS!$C$5:$C$17</c:f>
              <c:numCache>
                <c:formatCode>_(* #,##0.00_);_(* \(#,##0.00\);_(* "-"??_);_(@_)</c:formatCode>
                <c:ptCount val="10"/>
                <c:pt idx="0">
                  <c:v>0</c:v>
                </c:pt>
                <c:pt idx="1">
                  <c:v>0</c:v>
                </c:pt>
                <c:pt idx="2">
                  <c:v>125000000</c:v>
                </c:pt>
                <c:pt idx="3">
                  <c:v>256250000</c:v>
                </c:pt>
                <c:pt idx="4">
                  <c:v>18750000</c:v>
                </c:pt>
                <c:pt idx="5">
                  <c:v>0</c:v>
                </c:pt>
                <c:pt idx="6">
                  <c:v>0</c:v>
                </c:pt>
                <c:pt idx="7">
                  <c:v>0</c:v>
                </c:pt>
                <c:pt idx="8">
                  <c:v>0</c:v>
                </c:pt>
                <c:pt idx="9">
                  <c:v>0</c:v>
                </c:pt>
              </c:numCache>
            </c:numRef>
          </c:val>
        </c:ser>
        <c:ser>
          <c:idx val="2"/>
          <c:order val="2"/>
          <c:tx>
            <c:strRef>
              <c:f>Aport.Gob.SS!$D$4</c:f>
              <c:strCache>
                <c:ptCount val="1"/>
                <c:pt idx="0">
                  <c:v>Salud RS</c:v>
                </c:pt>
              </c:strCache>
            </c:strRef>
          </c:tx>
          <c:invertIfNegative val="0"/>
          <c:cat>
            <c:numRef>
              <c:f>Aport.Gob.SS!$A$5:$A$17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Aport.Gob.SS!$D$5:$D$17</c:f>
              <c:numCache>
                <c:formatCode>_(* #,##0.00_);_(* \(#,##0.00\);_(* "-"??_);_(@_)</c:formatCode>
                <c:ptCount val="10"/>
                <c:pt idx="0">
                  <c:v>604604920.63</c:v>
                </c:pt>
                <c:pt idx="1">
                  <c:v>724509996.65999997</c:v>
                </c:pt>
                <c:pt idx="2">
                  <c:v>1566425499.9599998</c:v>
                </c:pt>
                <c:pt idx="3">
                  <c:v>2203585531</c:v>
                </c:pt>
                <c:pt idx="4">
                  <c:v>3190675855.0100002</c:v>
                </c:pt>
                <c:pt idx="5">
                  <c:v>3736675849.46</c:v>
                </c:pt>
                <c:pt idx="6">
                  <c:v>4134675852</c:v>
                </c:pt>
                <c:pt idx="7">
                  <c:v>4600000000.96</c:v>
                </c:pt>
                <c:pt idx="8">
                  <c:v>5302610000</c:v>
                </c:pt>
                <c:pt idx="9">
                  <c:v>7378610518.96</c:v>
                </c:pt>
              </c:numCache>
            </c:numRef>
          </c:val>
        </c:ser>
        <c:ser>
          <c:idx val="3"/>
          <c:order val="3"/>
          <c:tx>
            <c:strRef>
              <c:f>Aport.Gob.SS!$E$4</c:f>
              <c:strCache>
                <c:ptCount val="1"/>
                <c:pt idx="0">
                  <c:v>RC (Empleador)</c:v>
                </c:pt>
              </c:strCache>
            </c:strRef>
          </c:tx>
          <c:invertIfNegative val="0"/>
          <c:cat>
            <c:numRef>
              <c:f>Aport.Gob.SS!$A$5:$A$17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Aport.Gob.SS!$E$5:$E$17</c:f>
              <c:numCache>
                <c:formatCode>_(* #,##0.00_);_(* \(#,##0.00\);_(* "-"??_);_(@_)</c:formatCode>
                <c:ptCount val="10"/>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c:v>
                </c:pt>
                <c:pt idx="9">
                  <c:v>17630183799.185101</c:v>
                </c:pt>
              </c:numCache>
            </c:numRef>
          </c:val>
        </c:ser>
        <c:ser>
          <c:idx val="4"/>
          <c:order val="4"/>
          <c:tx>
            <c:strRef>
              <c:f>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Aport.Gob.SS!$A$5:$A$17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Aport.Gob.SS!$F$5:$F$17</c:f>
              <c:numCache>
                <c:formatCode>_(* #,##0.00_);_(* \(#,##0.00\);_(* "-"??_);_(@_)</c:formatCode>
                <c:ptCount val="10"/>
                <c:pt idx="0">
                  <c:v>2632293015.6986003</c:v>
                </c:pt>
                <c:pt idx="1">
                  <c:v>2707394838.6397853</c:v>
                </c:pt>
                <c:pt idx="2">
                  <c:v>7123095404.0114002</c:v>
                </c:pt>
                <c:pt idx="3">
                  <c:v>9674854280.6672993</c:v>
                </c:pt>
                <c:pt idx="4">
                  <c:v>12268190203.96225</c:v>
                </c:pt>
                <c:pt idx="5">
                  <c:v>13830240236.268101</c:v>
                </c:pt>
                <c:pt idx="6">
                  <c:v>15631720382.417149</c:v>
                </c:pt>
                <c:pt idx="7">
                  <c:v>17530094299.915535</c:v>
                </c:pt>
                <c:pt idx="8">
                  <c:v>20589653290.926399</c:v>
                </c:pt>
                <c:pt idx="9">
                  <c:v>25328722862.4151</c:v>
                </c:pt>
              </c:numCache>
            </c:numRef>
          </c:val>
        </c:ser>
        <c:dLbls>
          <c:showLegendKey val="0"/>
          <c:showVal val="0"/>
          <c:showCatName val="0"/>
          <c:showSerName val="0"/>
          <c:showPercent val="0"/>
          <c:showBubbleSize val="0"/>
        </c:dLbls>
        <c:gapWidth val="75"/>
        <c:shape val="cylinder"/>
        <c:axId val="244265128"/>
        <c:axId val="244265520"/>
        <c:axId val="242077872"/>
      </c:bar3DChart>
      <c:catAx>
        <c:axId val="244265128"/>
        <c:scaling>
          <c:orientation val="minMax"/>
        </c:scaling>
        <c:delete val="0"/>
        <c:axPos val="b"/>
        <c:numFmt formatCode="General" sourceLinked="1"/>
        <c:majorTickMark val="none"/>
        <c:minorTickMark val="none"/>
        <c:tickLblPos val="nextTo"/>
        <c:txPr>
          <a:bodyPr/>
          <a:lstStyle/>
          <a:p>
            <a:pPr>
              <a:defRPr sz="1100"/>
            </a:pPr>
            <a:endParaRPr lang="es-ES"/>
          </a:p>
        </c:txPr>
        <c:crossAx val="244265520"/>
        <c:crosses val="autoZero"/>
        <c:auto val="1"/>
        <c:lblAlgn val="ctr"/>
        <c:lblOffset val="600"/>
        <c:noMultiLvlLbl val="0"/>
      </c:catAx>
      <c:valAx>
        <c:axId val="244265520"/>
        <c:scaling>
          <c:orientation val="minMax"/>
        </c:scaling>
        <c:delete val="1"/>
        <c:axPos val="l"/>
        <c:numFmt formatCode="_(* #,##0.00_);_(* \(#,##0.00\);_(* &quot;-&quot;??_);_(@_)" sourceLinked="1"/>
        <c:majorTickMark val="none"/>
        <c:minorTickMark val="none"/>
        <c:tickLblPos val="nextTo"/>
        <c:crossAx val="244265128"/>
        <c:crosses val="autoZero"/>
        <c:crossBetween val="between"/>
        <c:dispUnits>
          <c:builtInUnit val="billions"/>
          <c:dispUnitsLbl/>
        </c:dispUnits>
      </c:valAx>
      <c:serAx>
        <c:axId val="242077872"/>
        <c:scaling>
          <c:orientation val="minMax"/>
        </c:scaling>
        <c:delete val="1"/>
        <c:axPos val="b"/>
        <c:majorTickMark val="out"/>
        <c:minorTickMark val="none"/>
        <c:tickLblPos val="nextTo"/>
        <c:crossAx val="244265520"/>
        <c:crosses val="autoZero"/>
      </c:serAx>
    </c:plotArea>
    <c:legend>
      <c:legendPos val="l"/>
      <c:layout>
        <c:manualLayout>
          <c:xMode val="edge"/>
          <c:yMode val="edge"/>
          <c:x val="2.1346960887266963E-2"/>
          <c:y val="6.3089518877947864E-2"/>
          <c:w val="0.93911890950920451"/>
          <c:h val="6.785567552125257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Familiar de Salud (SFS) del Régimen Contributivo (RC)  </a:t>
            </a:r>
          </a:p>
          <a:p>
            <a:pPr>
              <a:defRPr sz="2000"/>
            </a:pPr>
            <a:r>
              <a:rPr lang="es-DO" sz="2000"/>
              <a:t>Afiliación  al  SFS del Régimen Contributivo (RC) y Número de Cápitas Pagadas por Afiliados</a:t>
            </a:r>
          </a:p>
        </c:rich>
      </c:tx>
      <c:layout>
        <c:manualLayout>
          <c:xMode val="edge"/>
          <c:yMode val="edge"/>
          <c:x val="0.26853625829482358"/>
          <c:y val="1.1538461538461539E-2"/>
        </c:manualLayout>
      </c:layout>
      <c:overlay val="1"/>
    </c:title>
    <c:autoTitleDeleted val="0"/>
    <c:plotArea>
      <c:layout>
        <c:manualLayout>
          <c:layoutTarget val="inner"/>
          <c:xMode val="edge"/>
          <c:yMode val="edge"/>
          <c:x val="4.2015444399134412E-2"/>
          <c:y val="0.23127680193821931"/>
          <c:w val="0.89904062549311847"/>
          <c:h val="0.56990803553401981"/>
        </c:manualLayout>
      </c:layout>
      <c:barChart>
        <c:barDir val="col"/>
        <c:grouping val="clustered"/>
        <c:varyColors val="0"/>
        <c:ser>
          <c:idx val="0"/>
          <c:order val="0"/>
          <c:tx>
            <c:strRef>
              <c:f>'IV.1.1.1 Afil. SFS RC Anual '!$F$3</c:f>
              <c:strCache>
                <c:ptCount val="1"/>
                <c:pt idx="0">
                  <c:v>Afiliación Total SFS RC </c:v>
                </c:pt>
              </c:strCache>
            </c:strRef>
          </c:tx>
          <c:spPr>
            <a:solidFill>
              <a:schemeClr val="accent5">
                <a:lumMod val="75000"/>
              </a:schemeClr>
            </a:solidFill>
          </c:spPr>
          <c:invertIfNegative val="0"/>
          <c:dLbls>
            <c:dLbl>
              <c:idx val="5"/>
              <c:spPr/>
              <c:txPr>
                <a:bodyPr rot="-5400000" vert="horz"/>
                <a:lstStyle/>
                <a:p>
                  <a:pPr>
                    <a:defRPr sz="2000" b="0"/>
                  </a:pPr>
                  <a:endParaRPr lang="es-ES"/>
                </a:p>
              </c:txPr>
              <c:dLblPos val="outEnd"/>
              <c:showLegendKey val="0"/>
              <c:showVal val="1"/>
              <c:showCatName val="0"/>
              <c:showSerName val="0"/>
              <c:showPercent val="0"/>
              <c:showBubbleSize val="0"/>
            </c:dLbl>
            <c:dLbl>
              <c:idx val="6"/>
              <c:spPr/>
              <c:txPr>
                <a:bodyPr rot="-5400000" vert="horz"/>
                <a:lstStyle/>
                <a:p>
                  <a:pPr>
                    <a:defRPr sz="2000" b="0"/>
                  </a:pPr>
                  <a:endParaRPr lang="es-ES"/>
                </a:p>
              </c:txPr>
              <c:dLblPos val="outEnd"/>
              <c:showLegendKey val="0"/>
              <c:showVal val="1"/>
              <c:showCatName val="0"/>
              <c:showSerName val="0"/>
              <c:showPercent val="0"/>
              <c:showBubbleSize val="0"/>
            </c:dLbl>
            <c:dLbl>
              <c:idx val="7"/>
              <c:spPr/>
              <c:txPr>
                <a:bodyPr rot="-5400000" vert="horz"/>
                <a:lstStyle/>
                <a:p>
                  <a:pPr>
                    <a:defRPr sz="2000" b="1"/>
                  </a:pPr>
                  <a:endParaRPr lang="es-ES"/>
                </a:p>
              </c:txPr>
              <c:dLblPos val="outEnd"/>
              <c:showLegendKey val="0"/>
              <c:showVal val="1"/>
              <c:showCatName val="0"/>
              <c:showSerName val="0"/>
              <c:showPercent val="0"/>
              <c:showBubbleSize val="0"/>
            </c:dLbl>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'IV.1.1.1 Afil. SFS RC Anual '!$A$4:$A$11</c:f>
              <c:strCache>
                <c:ptCount val="8"/>
                <c:pt idx="0">
                  <c:v>Dic.2007</c:v>
                </c:pt>
                <c:pt idx="1">
                  <c:v>Dic.2008</c:v>
                </c:pt>
                <c:pt idx="2">
                  <c:v>Dic.2009</c:v>
                </c:pt>
                <c:pt idx="3">
                  <c:v>Dic.2010</c:v>
                </c:pt>
                <c:pt idx="4">
                  <c:v>Dic.2011</c:v>
                </c:pt>
                <c:pt idx="5">
                  <c:v>Dic.2012</c:v>
                </c:pt>
                <c:pt idx="6">
                  <c:v>Dic.2013</c:v>
                </c:pt>
                <c:pt idx="7">
                  <c:v>Dic.2014</c:v>
                </c:pt>
              </c:strCache>
            </c:strRef>
          </c:cat>
          <c:val>
            <c:numRef>
              <c:f>'IV.1.1.1 Afil. SFS RC Anual '!$F$4:$F$11</c:f>
              <c:numCache>
                <c:formatCode>#,##0</c:formatCode>
                <c:ptCount val="8"/>
                <c:pt idx="0">
                  <c:v>1477181</c:v>
                </c:pt>
                <c:pt idx="1">
                  <c:v>1692259</c:v>
                </c:pt>
                <c:pt idx="2">
                  <c:v>2088299</c:v>
                </c:pt>
                <c:pt idx="3">
                  <c:v>2364083</c:v>
                </c:pt>
                <c:pt idx="4">
                  <c:v>2517423</c:v>
                </c:pt>
                <c:pt idx="5">
                  <c:v>2688411</c:v>
                </c:pt>
                <c:pt idx="6">
                  <c:v>2859306</c:v>
                </c:pt>
                <c:pt idx="7">
                  <c:v>3141599</c:v>
                </c:pt>
              </c:numCache>
            </c:numRef>
          </c:val>
        </c:ser>
        <c:ser>
          <c:idx val="1"/>
          <c:order val="1"/>
          <c:tx>
            <c:strRef>
              <c:f>'IV.1.1.1 Afil. SFS RC Anual '!$M$3</c:f>
              <c:strCache>
                <c:ptCount val="1"/>
                <c:pt idx="0">
                  <c:v>Total  No. de Capitas Pagadas SFS RC</c:v>
                </c:pt>
              </c:strCache>
            </c:strRef>
          </c:tx>
          <c:spPr>
            <a:solidFill>
              <a:schemeClr val="accent3">
                <a:lumMod val="50000"/>
              </a:schemeClr>
            </a:solidFill>
          </c:spPr>
          <c:invertIfNegative val="0"/>
          <c:dLbls>
            <c:dLbl>
              <c:idx val="0"/>
              <c:layout>
                <c:manualLayout>
                  <c:x val="1.4869888475836158E-3"/>
                  <c:y val="-1.109185441941074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7.4349442379182155E-4"/>
                  <c:y val="-1.802426343154256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2304832713754648E-3"/>
                  <c:y val="-2.91161178509532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4349442379182153E-3"/>
                  <c:y val="-2.079722703639519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4.4609665427508202E-3"/>
                  <c:y val="-1.663778162911611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4349442379182153E-3"/>
                  <c:y val="-1.802426343154246E-2"/>
                </c:manualLayout>
              </c:layout>
              <c:spPr/>
              <c:txPr>
                <a:bodyPr rot="-5400000" vert="horz"/>
                <a:lstStyle/>
                <a:p>
                  <a:pPr>
                    <a:defRPr sz="20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rot="-5400000" vert="horz"/>
                <a:lstStyle/>
                <a:p>
                  <a:pPr>
                    <a:defRPr sz="2000" b="0"/>
                  </a:pPr>
                  <a:endParaRPr lang="es-ES"/>
                </a:p>
              </c:txPr>
              <c:dLblPos val="outEnd"/>
              <c:showLegendKey val="0"/>
              <c:showVal val="1"/>
              <c:showCatName val="0"/>
              <c:showSerName val="0"/>
              <c:showPercent val="0"/>
              <c:showBubbleSize val="0"/>
            </c:dLbl>
            <c:dLbl>
              <c:idx val="7"/>
              <c:spPr/>
              <c:txPr>
                <a:bodyPr rot="-5400000" vert="horz"/>
                <a:lstStyle/>
                <a:p>
                  <a:pPr>
                    <a:defRPr sz="2000" b="1"/>
                  </a:pPr>
                  <a:endParaRPr lang="es-ES"/>
                </a:p>
              </c:txPr>
              <c:dLblPos val="outEnd"/>
              <c:showLegendKey val="0"/>
              <c:showVal val="1"/>
              <c:showCatName val="0"/>
              <c:showSerName val="0"/>
              <c:showPercent val="0"/>
              <c:showBubbleSize val="0"/>
            </c:dLbl>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'IV.1.1.1 Afil. SFS RC Anual '!$A$4:$A$11</c:f>
              <c:strCache>
                <c:ptCount val="8"/>
                <c:pt idx="0">
                  <c:v>Dic.2007</c:v>
                </c:pt>
                <c:pt idx="1">
                  <c:v>Dic.2008</c:v>
                </c:pt>
                <c:pt idx="2">
                  <c:v>Dic.2009</c:v>
                </c:pt>
                <c:pt idx="3">
                  <c:v>Dic.2010</c:v>
                </c:pt>
                <c:pt idx="4">
                  <c:v>Dic.2011</c:v>
                </c:pt>
                <c:pt idx="5">
                  <c:v>Dic.2012</c:v>
                </c:pt>
                <c:pt idx="6">
                  <c:v>Dic.2013</c:v>
                </c:pt>
                <c:pt idx="7">
                  <c:v>Dic.2014</c:v>
                </c:pt>
              </c:strCache>
            </c:strRef>
          </c:cat>
          <c:val>
            <c:numRef>
              <c:f>'IV.1.1.1 Afil. SFS RC Anual '!$M$4:$M$11</c:f>
              <c:numCache>
                <c:formatCode>#,##0</c:formatCode>
                <c:ptCount val="8"/>
                <c:pt idx="0">
                  <c:v>1599467</c:v>
                </c:pt>
                <c:pt idx="1">
                  <c:v>1729671</c:v>
                </c:pt>
                <c:pt idx="2">
                  <c:v>2096232</c:v>
                </c:pt>
                <c:pt idx="3">
                  <c:v>2417992</c:v>
                </c:pt>
                <c:pt idx="4">
                  <c:v>2586943</c:v>
                </c:pt>
                <c:pt idx="5">
                  <c:v>2747735</c:v>
                </c:pt>
                <c:pt idx="6">
                  <c:v>2965326</c:v>
                </c:pt>
                <c:pt idx="7">
                  <c:v>3224947</c:v>
                </c:pt>
              </c:numCache>
            </c:numRef>
          </c:val>
        </c:ser>
        <c:dLbls>
          <c:showLegendKey val="0"/>
          <c:showVal val="0"/>
          <c:showCatName val="0"/>
          <c:showSerName val="0"/>
          <c:showPercent val="0"/>
          <c:showBubbleSize val="0"/>
        </c:dLbls>
        <c:gapWidth val="150"/>
        <c:axId val="244266304"/>
        <c:axId val="244266696"/>
      </c:barChart>
      <c:lineChart>
        <c:grouping val="standard"/>
        <c:varyColors val="0"/>
        <c:ser>
          <c:idx val="2"/>
          <c:order val="2"/>
          <c:tx>
            <c:strRef>
              <c:f>'IV.1.1.1 Afil. SFS RC Anual '!$P$3</c:f>
              <c:strCache>
                <c:ptCount val="1"/>
                <c:pt idx="0">
                  <c:v>% Capitas Pagadas Total / Afiliación Total </c:v>
                </c:pt>
              </c:strCache>
            </c:strRef>
          </c:tx>
          <c:spPr>
            <a:ln w="41275">
              <a:solidFill>
                <a:srgbClr val="FFC000"/>
              </a:solidFill>
              <a:prstDash val="solid"/>
            </a:ln>
          </c:spPr>
          <c:marker>
            <c:symbol val="circle"/>
            <c:size val="16"/>
            <c:spPr>
              <a:gradFill>
                <a:gsLst>
                  <a:gs pos="0">
                    <a:srgbClr val="FFF200"/>
                  </a:gs>
                  <a:gs pos="45000">
                    <a:srgbClr val="FF7A00"/>
                  </a:gs>
                  <a:gs pos="70000">
                    <a:srgbClr val="FF0300"/>
                  </a:gs>
                  <a:gs pos="100000">
                    <a:srgbClr val="4D0808"/>
                  </a:gs>
                </a:gsLst>
                <a:lin ang="5400000" scaled="0"/>
              </a:gradFill>
              <a:ln>
                <a:solidFill>
                  <a:schemeClr val="tx1"/>
                </a:solidFill>
                <a:prstDash val="solid"/>
              </a:ln>
            </c:spPr>
          </c:marker>
          <c:dLbls>
            <c:dLbl>
              <c:idx val="0"/>
              <c:layout>
                <c:manualLayout>
                  <c:x val="-2.1824512025973065E-2"/>
                  <c:y val="-2.6157877790057498E-2"/>
                </c:manualLayout>
              </c:layout>
              <c:spPr/>
              <c:txPr>
                <a:bodyPr/>
                <a:lstStyle/>
                <a:p>
                  <a:pPr>
                    <a:defRPr sz="2000" b="1">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'IV.1.1.1 Afil. SFS RC Anual '!$A$4:$A$11</c:f>
              <c:strCache>
                <c:ptCount val="8"/>
                <c:pt idx="0">
                  <c:v>Dic.2007</c:v>
                </c:pt>
                <c:pt idx="1">
                  <c:v>Dic.2008</c:v>
                </c:pt>
                <c:pt idx="2">
                  <c:v>Dic.2009</c:v>
                </c:pt>
                <c:pt idx="3">
                  <c:v>Dic.2010</c:v>
                </c:pt>
                <c:pt idx="4">
                  <c:v>Dic.2011</c:v>
                </c:pt>
                <c:pt idx="5">
                  <c:v>Dic.2012</c:v>
                </c:pt>
                <c:pt idx="6">
                  <c:v>Dic.2013</c:v>
                </c:pt>
                <c:pt idx="7">
                  <c:v>Dic.2014</c:v>
                </c:pt>
              </c:strCache>
            </c:strRef>
          </c:cat>
          <c:val>
            <c:numRef>
              <c:f>'IV.1.1.1 Afil. SFS RC Anual '!$P$4:$P$11</c:f>
              <c:numCache>
                <c:formatCode>0.0%</c:formatCode>
                <c:ptCount val="8"/>
                <c:pt idx="0">
                  <c:v>1.0827833555942028</c:v>
                </c:pt>
                <c:pt idx="1">
                  <c:v>1.0221077270086907</c:v>
                </c:pt>
                <c:pt idx="2">
                  <c:v>1.0037987855187405</c:v>
                </c:pt>
                <c:pt idx="3">
                  <c:v>1.0228033448910212</c:v>
                </c:pt>
                <c:pt idx="4">
                  <c:v>1.0276155417663222</c:v>
                </c:pt>
                <c:pt idx="5">
                  <c:v>1.0220665664587743</c:v>
                </c:pt>
                <c:pt idx="6">
                  <c:v>1.0370789275439565</c:v>
                </c:pt>
                <c:pt idx="7">
                  <c:v>1.026530438798841</c:v>
                </c:pt>
              </c:numCache>
            </c:numRef>
          </c:val>
          <c:smooth val="0"/>
        </c:ser>
        <c:dLbls>
          <c:showLegendKey val="0"/>
          <c:showVal val="0"/>
          <c:showCatName val="0"/>
          <c:showSerName val="0"/>
          <c:showPercent val="0"/>
          <c:showBubbleSize val="0"/>
        </c:dLbls>
        <c:marker val="1"/>
        <c:smooth val="0"/>
        <c:axId val="244267480"/>
        <c:axId val="244267088"/>
      </c:lineChart>
      <c:catAx>
        <c:axId val="244266304"/>
        <c:scaling>
          <c:orientation val="minMax"/>
        </c:scaling>
        <c:delete val="0"/>
        <c:axPos val="b"/>
        <c:numFmt formatCode="General" sourceLinked="1"/>
        <c:majorTickMark val="none"/>
        <c:minorTickMark val="none"/>
        <c:tickLblPos val="nextTo"/>
        <c:txPr>
          <a:bodyPr/>
          <a:lstStyle/>
          <a:p>
            <a:pPr>
              <a:defRPr sz="1800"/>
            </a:pPr>
            <a:endParaRPr lang="es-ES"/>
          </a:p>
        </c:txPr>
        <c:crossAx val="244266696"/>
        <c:crosses val="autoZero"/>
        <c:auto val="1"/>
        <c:lblAlgn val="ctr"/>
        <c:lblOffset val="100"/>
        <c:noMultiLvlLbl val="0"/>
      </c:catAx>
      <c:valAx>
        <c:axId val="244266696"/>
        <c:scaling>
          <c:orientation val="minMax"/>
        </c:scaling>
        <c:delete val="0"/>
        <c:axPos val="l"/>
        <c:numFmt formatCode="#,##0" sourceLinked="1"/>
        <c:majorTickMark val="none"/>
        <c:minorTickMark val="none"/>
        <c:tickLblPos val="nextTo"/>
        <c:txPr>
          <a:bodyPr rot="-2700000" vert="horz"/>
          <a:lstStyle/>
          <a:p>
            <a:pPr>
              <a:defRPr sz="1100">
                <a:solidFill>
                  <a:schemeClr val="bg1"/>
                </a:solidFill>
              </a:defRPr>
            </a:pPr>
            <a:endParaRPr lang="es-ES"/>
          </a:p>
        </c:txPr>
        <c:crossAx val="244266304"/>
        <c:crosses val="autoZero"/>
        <c:crossBetween val="between"/>
      </c:valAx>
      <c:valAx>
        <c:axId val="244267088"/>
        <c:scaling>
          <c:orientation val="minMax"/>
        </c:scaling>
        <c:delete val="0"/>
        <c:axPos val="r"/>
        <c:numFmt formatCode="0.0%" sourceLinked="1"/>
        <c:majorTickMark val="out"/>
        <c:minorTickMark val="none"/>
        <c:tickLblPos val="nextTo"/>
        <c:txPr>
          <a:bodyPr/>
          <a:lstStyle/>
          <a:p>
            <a:pPr>
              <a:defRPr sz="1400"/>
            </a:pPr>
            <a:endParaRPr lang="es-ES"/>
          </a:p>
        </c:txPr>
        <c:crossAx val="244267480"/>
        <c:crosses val="max"/>
        <c:crossBetween val="between"/>
      </c:valAx>
      <c:catAx>
        <c:axId val="244267480"/>
        <c:scaling>
          <c:orientation val="minMax"/>
        </c:scaling>
        <c:delete val="1"/>
        <c:axPos val="b"/>
        <c:numFmt formatCode="General" sourceLinked="1"/>
        <c:majorTickMark val="out"/>
        <c:minorTickMark val="none"/>
        <c:tickLblPos val="nextTo"/>
        <c:crossAx val="244267088"/>
        <c:crosses val="autoZero"/>
        <c:auto val="1"/>
        <c:lblAlgn val="ctr"/>
        <c:lblOffset val="100"/>
        <c:noMultiLvlLbl val="0"/>
      </c:catAx>
      <c:spPr>
        <a:ln>
          <a:noFill/>
        </a:ln>
      </c:spPr>
    </c:plotArea>
    <c:legend>
      <c:legendPos val="t"/>
      <c:layout>
        <c:manualLayout>
          <c:xMode val="edge"/>
          <c:yMode val="edge"/>
          <c:x val="0.17670888068477697"/>
          <c:y val="8.5408237431859477E-2"/>
          <c:w val="0.60996652083136405"/>
          <c:h val="4.211154855643044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(2)'!$E$2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(2)'!$E$3:$E$11</c:f>
              <c:numCache>
                <c:formatCode>_([$€-2]* #,##0_);_([$€-2]* \(#,##0\);_([$€-2]* "-"??_)</c:formatCode>
                <c:ptCount val="9"/>
              </c:numCache>
            </c:numRef>
          </c:val>
          <c:smooth val="0"/>
        </c:ser>
        <c:ser>
          <c:idx val="1"/>
          <c:order val="1"/>
          <c:tx>
            <c:strRef>
              <c:f>' SDSS Definiciones (2)'!$L$2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(2)'!$A$3:$A$11</c:f>
              <c:numCache>
                <c:formatCode>_([$€-2]* #,##0_);_([$€-2]* \(#,##0\);_([$€-2]* "-"??_)</c:formatCode>
                <c:ptCount val="9"/>
              </c:numCache>
            </c:numRef>
          </c:cat>
          <c:val>
            <c:numRef>
              <c:f>' SDSS Definiciones (2)'!$L$3:$L$11</c:f>
              <c:numCache>
                <c:formatCode>_([$€-2]* #,##0_);_([$€-2]* \(#,##0\);_([$€-2]* "-"??_)</c:formatCode>
                <c:ptCount val="9"/>
              </c:numCache>
            </c:numRef>
          </c:val>
          <c:smooth val="0"/>
        </c:ser>
        <c:dLbls>
          <c:showLegendKey val="0"/>
          <c:showVal val="0"/>
          <c:showCatName val="0"/>
          <c:showSerName val="0"/>
          <c:showPercent val="0"/>
          <c:showBubbleSize val="0"/>
        </c:dLbls>
        <c:marker val="1"/>
        <c:smooth val="0"/>
        <c:axId val="240547680"/>
        <c:axId val="240548072"/>
      </c:lineChart>
      <c:catAx>
        <c:axId val="240547680"/>
        <c:scaling>
          <c:orientation val="minMax"/>
        </c:scaling>
        <c:delete val="0"/>
        <c:axPos val="b"/>
        <c:numFmt formatCode="_([$€-2]* #,##0_);_([$€-2]* \(#,##0\);_([$€-2]* &quot;-&quot;??_)" sourceLinked="1"/>
        <c:majorTickMark val="none"/>
        <c:minorTickMark val="none"/>
        <c:tickLblPos val="nextTo"/>
        <c:crossAx val="240548072"/>
        <c:crosses val="autoZero"/>
        <c:auto val="1"/>
        <c:lblAlgn val="ctr"/>
        <c:lblOffset val="100"/>
        <c:noMultiLvlLbl val="0"/>
      </c:catAx>
      <c:valAx>
        <c:axId val="240548072"/>
        <c:scaling>
          <c:orientation val="minMax"/>
        </c:scaling>
        <c:delete val="0"/>
        <c:axPos val="l"/>
        <c:numFmt formatCode="_([$€-2]* #,##0_);_([$€-2]* \(#,##0\);_([$€-2]* &quot;-&quot;??_)" sourceLinked="1"/>
        <c:majorTickMark val="none"/>
        <c:minorTickMark val="none"/>
        <c:tickLblPos val="nextTo"/>
        <c:spPr>
          <a:ln w="9525">
            <a:noFill/>
          </a:ln>
        </c:spPr>
        <c:crossAx val="240547680"/>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814371444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'Ind. Depend SFS RC Anual'!$E$2</c:f>
              <c:strCache>
                <c:ptCount val="1"/>
                <c:pt idx="0">
                  <c:v>Cobertura Efectiva de Titulares            al SFS RC</c:v>
                </c:pt>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Anual'!$E$3:$E$7</c:f>
              <c:numCache>
                <c:formatCode>#,##0</c:formatCode>
                <c:ptCount val="5"/>
                <c:pt idx="0">
                  <c:v>1005990</c:v>
                </c:pt>
                <c:pt idx="1">
                  <c:v>992746</c:v>
                </c:pt>
                <c:pt idx="2">
                  <c:v>1084705</c:v>
                </c:pt>
                <c:pt idx="3">
                  <c:v>1183463</c:v>
                </c:pt>
                <c:pt idx="4">
                  <c:v>1224959</c:v>
                </c:pt>
              </c:numCache>
            </c:numRef>
          </c:val>
        </c:ser>
        <c:ser>
          <c:idx val="1"/>
          <c:order val="1"/>
          <c:tx>
            <c:strRef>
              <c:f>'Ind. Depend SFS RC Anual'!$F$2</c:f>
              <c:strCache>
                <c:ptCount val="1"/>
                <c:pt idx="0">
                  <c:v>Cobertura Efectiva de Dependientes            al SFS RC</c:v>
                </c:pt>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Anual'!$F$3:$F$7</c:f>
              <c:numCache>
                <c:formatCode>#,##0</c:formatCode>
                <c:ptCount val="5"/>
                <c:pt idx="0">
                  <c:v>593477</c:v>
                </c:pt>
                <c:pt idx="1">
                  <c:v>736925</c:v>
                </c:pt>
                <c:pt idx="2">
                  <c:v>1011527</c:v>
                </c:pt>
                <c:pt idx="3">
                  <c:v>1234529</c:v>
                </c:pt>
                <c:pt idx="4" formatCode="_(* #,##0_);_(* \(#,##0\);_(* &quot;-&quot;??_);_(@_)">
                  <c:v>1361984</c:v>
                </c:pt>
              </c:numCache>
            </c:numRef>
          </c:val>
        </c:ser>
        <c:ser>
          <c:idx val="2"/>
          <c:order val="2"/>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er>
        <c:dLbls>
          <c:showLegendKey val="0"/>
          <c:showVal val="0"/>
          <c:showCatName val="0"/>
          <c:showSerName val="0"/>
          <c:showPercent val="0"/>
          <c:showBubbleSize val="0"/>
        </c:dLbls>
        <c:gapWidth val="22"/>
        <c:shape val="cylinder"/>
        <c:axId val="244267872"/>
        <c:axId val="244268264"/>
        <c:axId val="0"/>
      </c:bar3DChart>
      <c:catAx>
        <c:axId val="244267872"/>
        <c:scaling>
          <c:orientation val="minMax"/>
        </c:scaling>
        <c:delete val="0"/>
        <c:axPos val="b"/>
        <c:numFmt formatCode="General" sourceLinked="1"/>
        <c:majorTickMark val="none"/>
        <c:minorTickMark val="none"/>
        <c:tickLblPos val="nextTo"/>
        <c:crossAx val="244268264"/>
        <c:crosses val="autoZero"/>
        <c:auto val="1"/>
        <c:lblAlgn val="ctr"/>
        <c:lblOffset val="100"/>
        <c:noMultiLvlLbl val="0"/>
      </c:catAx>
      <c:valAx>
        <c:axId val="244268264"/>
        <c:scaling>
          <c:orientation val="minMax"/>
        </c:scaling>
        <c:delete val="0"/>
        <c:axPos val="l"/>
        <c:numFmt formatCode="#,##0" sourceLinked="1"/>
        <c:majorTickMark val="none"/>
        <c:minorTickMark val="none"/>
        <c:tickLblPos val="none"/>
        <c:spPr>
          <a:ln w="9525">
            <a:noFill/>
          </a:ln>
        </c:spPr>
        <c:crossAx val="244267872"/>
        <c:crosses val="autoZero"/>
        <c:crossBetween val="between"/>
      </c:valAx>
      <c:spPr>
        <a:noFill/>
        <a:ln w="25400">
          <a:noFill/>
        </a:ln>
      </c:spPr>
    </c:plotArea>
    <c:legend>
      <c:legendPos val="b"/>
      <c:layout>
        <c:manualLayout>
          <c:xMode val="edge"/>
          <c:yMode val="edge"/>
          <c:x val="6.7226792181703547E-3"/>
          <c:y val="0.10354869169599587"/>
          <c:w val="0.99327732078182962"/>
          <c:h val="4.8241729942330058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er>
        <c:ser>
          <c:idx val="1"/>
          <c:order val="1"/>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er>
        <c:dLbls>
          <c:showLegendKey val="0"/>
          <c:showVal val="0"/>
          <c:showCatName val="0"/>
          <c:showSerName val="0"/>
          <c:showPercent val="0"/>
          <c:showBubbleSize val="0"/>
        </c:dLbls>
        <c:gapWidth val="150"/>
        <c:shape val="cylinder"/>
        <c:axId val="269637696"/>
        <c:axId val="269638088"/>
        <c:axId val="0"/>
      </c:bar3DChart>
      <c:catAx>
        <c:axId val="269637696"/>
        <c:scaling>
          <c:orientation val="minMax"/>
        </c:scaling>
        <c:delete val="0"/>
        <c:axPos val="b"/>
        <c:title>
          <c:overlay val="0"/>
        </c:title>
        <c:numFmt formatCode="General" sourceLinked="1"/>
        <c:majorTickMark val="none"/>
        <c:minorTickMark val="none"/>
        <c:tickLblPos val="nextTo"/>
        <c:crossAx val="269638088"/>
        <c:crosses val="autoZero"/>
        <c:auto val="1"/>
        <c:lblAlgn val="ctr"/>
        <c:lblOffset val="100"/>
        <c:noMultiLvlLbl val="0"/>
      </c:catAx>
      <c:valAx>
        <c:axId val="269638088"/>
        <c:scaling>
          <c:orientation val="minMax"/>
        </c:scaling>
        <c:delete val="0"/>
        <c:axPos val="l"/>
        <c:title>
          <c:overlay val="0"/>
        </c:title>
        <c:numFmt formatCode="General" sourceLinked="1"/>
        <c:majorTickMark val="out"/>
        <c:minorTickMark val="none"/>
        <c:tickLblPos val="nextTo"/>
        <c:crossAx val="26963769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3044619422573E-2"/>
          <c:w val="0.43931066309019068"/>
          <c:h val="7.5345581802274714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mooth val="0"/>
        </c:ser>
        <c:ser>
          <c:idx val="1"/>
          <c:order val="1"/>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mooth val="0"/>
        </c:ser>
        <c:dLbls>
          <c:showLegendKey val="0"/>
          <c:showVal val="0"/>
          <c:showCatName val="0"/>
          <c:showSerName val="0"/>
          <c:showPercent val="0"/>
          <c:showBubbleSize val="0"/>
        </c:dLbls>
        <c:marker val="1"/>
        <c:smooth val="0"/>
        <c:axId val="269638872"/>
        <c:axId val="269639264"/>
      </c:lineChart>
      <c:catAx>
        <c:axId val="269638872"/>
        <c:scaling>
          <c:orientation val="minMax"/>
        </c:scaling>
        <c:delete val="0"/>
        <c:axPos val="b"/>
        <c:numFmt formatCode="General" sourceLinked="1"/>
        <c:majorTickMark val="none"/>
        <c:minorTickMark val="none"/>
        <c:tickLblPos val="nextTo"/>
        <c:crossAx val="269639264"/>
        <c:crosses val="autoZero"/>
        <c:auto val="1"/>
        <c:lblAlgn val="ctr"/>
        <c:lblOffset val="100"/>
        <c:noMultiLvlLbl val="0"/>
      </c:catAx>
      <c:valAx>
        <c:axId val="269639264"/>
        <c:scaling>
          <c:orientation val="minMax"/>
        </c:scaling>
        <c:delete val="0"/>
        <c:axPos val="l"/>
        <c:numFmt formatCode="General" sourceLinked="1"/>
        <c:majorTickMark val="none"/>
        <c:minorTickMark val="none"/>
        <c:tickLblPos val="nextTo"/>
        <c:spPr>
          <a:ln w="9525">
            <a:noFill/>
          </a:ln>
        </c:spPr>
        <c:crossAx val="269638872"/>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Activa y Efectiva al SFS del RC</a:t>
            </a:r>
          </a:p>
        </c:rich>
      </c:tx>
      <c:layout>
        <c:manualLayout>
          <c:xMode val="edge"/>
          <c:yMode val="edge"/>
          <c:x val="0.26106460495801548"/>
          <c:y val="5.734763659129765E-2"/>
        </c:manualLayout>
      </c:layout>
      <c:overlay val="0"/>
    </c:title>
    <c:autoTitleDeleted val="0"/>
    <c:plotArea>
      <c:layout>
        <c:manualLayout>
          <c:layoutTarget val="inner"/>
          <c:xMode val="edge"/>
          <c:yMode val="edge"/>
          <c:x val="0.10113421215606476"/>
          <c:y val="0.2110682287795623"/>
          <c:w val="0.88796308879132657"/>
          <c:h val="0.75199488494073274"/>
        </c:manualLayout>
      </c:layout>
      <c:lineChart>
        <c:grouping val="standard"/>
        <c:varyColors val="0"/>
        <c:ser>
          <c:idx val="0"/>
          <c:order val="0"/>
          <c:dLbls>
            <c:dLbl>
              <c:idx val="0"/>
              <c:layout>
                <c:manualLayout>
                  <c:x val="-0.10862067490894992"/>
                  <c:y val="-1.63850477623067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0.10862067490894992"/>
                  <c:y val="-1.5019627115447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0.11551722569681976"/>
                  <c:y val="-1.5019627115447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0.10689653721198246"/>
                  <c:y val="-1.5019627115447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0.11206895030288483"/>
                  <c:y val="-1.638504776230671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mooth val="0"/>
        </c:ser>
        <c:ser>
          <c:idx val="1"/>
          <c:order val="1"/>
          <c:dLbls>
            <c:dLbl>
              <c:idx val="0"/>
              <c:layout>
                <c:manualLayout>
                  <c:x val="-0.12931032727255942"/>
                  <c:y val="-1.365420646858892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0.13275860266649434"/>
                  <c:y val="-2.04813097028833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0.13103446496952689"/>
                  <c:y val="-1.63850477623067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0.13793101575739672"/>
                  <c:y val="-1.5019627115447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0.12931032727255942"/>
                  <c:y val="-2.184673034974228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Lit>
              <c:formatCode>General</c:formatCode>
              <c:ptCount val="1"/>
              <c:pt idx="0">
                <c:v>0</c:v>
              </c:pt>
            </c:numLit>
          </c:val>
          <c:smooth val="0"/>
        </c:ser>
        <c:dLbls>
          <c:showLegendKey val="0"/>
          <c:showVal val="0"/>
          <c:showCatName val="0"/>
          <c:showSerName val="0"/>
          <c:showPercent val="0"/>
          <c:showBubbleSize val="0"/>
        </c:dLbls>
        <c:marker val="1"/>
        <c:smooth val="0"/>
        <c:axId val="269640048"/>
        <c:axId val="269640440"/>
      </c:lineChart>
      <c:catAx>
        <c:axId val="269640048"/>
        <c:scaling>
          <c:orientation val="minMax"/>
        </c:scaling>
        <c:delete val="0"/>
        <c:axPos val="b"/>
        <c:numFmt formatCode="General" sourceLinked="1"/>
        <c:majorTickMark val="none"/>
        <c:minorTickMark val="none"/>
        <c:tickLblPos val="nextTo"/>
        <c:crossAx val="269640440"/>
        <c:crosses val="autoZero"/>
        <c:auto val="1"/>
        <c:lblAlgn val="ctr"/>
        <c:lblOffset val="100"/>
        <c:noMultiLvlLbl val="0"/>
      </c:catAx>
      <c:valAx>
        <c:axId val="269640440"/>
        <c:scaling>
          <c:orientation val="minMax"/>
        </c:scaling>
        <c:delete val="1"/>
        <c:axPos val="l"/>
        <c:numFmt formatCode="General" sourceLinked="1"/>
        <c:majorTickMark val="out"/>
        <c:minorTickMark val="none"/>
        <c:tickLblPos val="nextTo"/>
        <c:crossAx val="269640048"/>
        <c:crosses val="autoZero"/>
        <c:crossBetween val="between"/>
      </c:valAx>
    </c:plotArea>
    <c:legend>
      <c:legendPos val="t"/>
      <c:layout>
        <c:manualLayout>
          <c:xMode val="edge"/>
          <c:yMode val="edge"/>
          <c:x val="0.11816578555106226"/>
          <c:y val="0.13241168821787186"/>
          <c:w val="0.74297881587569992"/>
          <c:h val="2.799597871366996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Indice de Dependencia en Afiliación Activa y Efectiva SFS  RC</a:t>
            </a:r>
          </a:p>
        </c:rich>
      </c:tx>
      <c:layout>
        <c:manualLayout>
          <c:xMode val="edge"/>
          <c:yMode val="edge"/>
          <c:x val="6.4212047568128053E-2"/>
          <c:y val="4.6416425510913704E-2"/>
        </c:manualLayout>
      </c:layout>
      <c:overlay val="0"/>
    </c:title>
    <c:autoTitleDeleted val="0"/>
    <c:plotArea>
      <c:layout>
        <c:manualLayout>
          <c:layoutTarget val="inner"/>
          <c:xMode val="edge"/>
          <c:yMode val="edge"/>
          <c:x val="1.4478778104544168E-2"/>
          <c:y val="0.21307516594555373"/>
          <c:w val="0.96431640261834739"/>
          <c:h val="0.74715068125016793"/>
        </c:manualLayout>
      </c:layout>
      <c:lineChart>
        <c:grouping val="standard"/>
        <c:varyColors val="0"/>
        <c:ser>
          <c:idx val="0"/>
          <c:order val="0"/>
          <c:tx>
            <c:strRef>
              <c:f>'Ind. Depend SFS RC Anual'!$D$2</c:f>
              <c:strCache>
                <c:ptCount val="1"/>
                <c:pt idx="0">
                  <c:v>Indice de Dependencia Afil. Definitiva</c:v>
                </c:pt>
              </c:strCache>
            </c:strRef>
          </c:tx>
          <c:dLbls>
            <c:dLbl>
              <c:idx val="0"/>
              <c:layout>
                <c:manualLayout>
                  <c:x val="-5.7831325301204821E-2"/>
                  <c:y val="-1.50170648464163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2771084337349397E-2"/>
                  <c:y val="2.86689419795221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0481927710843447E-2"/>
                  <c:y val="2.0477815699658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4337349397590362E-2"/>
                  <c:y val="2.18430034129692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8554216867469883E-2"/>
                  <c:y val="1.63822525597270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Anual'!$D$3:$D$7</c:f>
              <c:numCache>
                <c:formatCode>0.00</c:formatCode>
                <c:ptCount val="5"/>
                <c:pt idx="0">
                  <c:v>0.60578686416403327</c:v>
                </c:pt>
                <c:pt idx="1">
                  <c:v>0.75155618301995764</c:v>
                </c:pt>
                <c:pt idx="2">
                  <c:v>0.93432301903849757</c:v>
                </c:pt>
                <c:pt idx="3">
                  <c:v>1.0506227550415879</c:v>
                </c:pt>
                <c:pt idx="4">
                  <c:v>1.1184277293210305</c:v>
                </c:pt>
              </c:numCache>
            </c:numRef>
          </c:val>
          <c:smooth val="0"/>
        </c:ser>
        <c:ser>
          <c:idx val="1"/>
          <c:order val="1"/>
          <c:tx>
            <c:strRef>
              <c:f>'Ind. Depend SFS RC Anual'!$G$2</c:f>
              <c:strCache>
                <c:ptCount val="1"/>
                <c:pt idx="0">
                  <c:v>Indice de Dependencia Cobertura Efectiva</c:v>
                </c:pt>
              </c:strCache>
            </c:strRef>
          </c:tx>
          <c:dLbls>
            <c:dLbl>
              <c:idx val="0"/>
              <c:layout>
                <c:manualLayout>
                  <c:x val="-9.0602409638554218E-2"/>
                  <c:y val="-1.63822525597269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9397590361445785E-2"/>
                  <c:y val="-2.3208191126279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8.2891566265060307E-2"/>
                  <c:y val="-1.63822525597269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8.6746987951807297E-2"/>
                  <c:y val="-2.18430034129692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7108433734939766E-2"/>
                  <c:y val="-2.320819112627986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Anual'!$G$3:$G$7</c:f>
              <c:numCache>
                <c:formatCode>0.00</c:formatCode>
                <c:ptCount val="5"/>
                <c:pt idx="0">
                  <c:v>0.58994323999244525</c:v>
                </c:pt>
                <c:pt idx="1">
                  <c:v>0.74230971467021778</c:v>
                </c:pt>
                <c:pt idx="2">
                  <c:v>0.93253649609801748</c:v>
                </c:pt>
                <c:pt idx="3">
                  <c:v>1.043149637969248</c:v>
                </c:pt>
                <c:pt idx="4">
                  <c:v>1.1118608867725368</c:v>
                </c:pt>
              </c:numCache>
            </c:numRef>
          </c:val>
          <c:smooth val="0"/>
        </c:ser>
        <c:dLbls>
          <c:showLegendKey val="0"/>
          <c:showVal val="0"/>
          <c:showCatName val="0"/>
          <c:showSerName val="0"/>
          <c:showPercent val="0"/>
          <c:showBubbleSize val="0"/>
        </c:dLbls>
        <c:marker val="1"/>
        <c:smooth val="0"/>
        <c:axId val="269641224"/>
        <c:axId val="269641616"/>
      </c:lineChart>
      <c:catAx>
        <c:axId val="269641224"/>
        <c:scaling>
          <c:orientation val="minMax"/>
        </c:scaling>
        <c:delete val="0"/>
        <c:axPos val="b"/>
        <c:numFmt formatCode="General" sourceLinked="1"/>
        <c:majorTickMark val="none"/>
        <c:minorTickMark val="none"/>
        <c:tickLblPos val="nextTo"/>
        <c:crossAx val="269641616"/>
        <c:crosses val="autoZero"/>
        <c:auto val="1"/>
        <c:lblAlgn val="ctr"/>
        <c:lblOffset val="100"/>
        <c:noMultiLvlLbl val="0"/>
      </c:catAx>
      <c:valAx>
        <c:axId val="269641616"/>
        <c:scaling>
          <c:orientation val="minMax"/>
        </c:scaling>
        <c:delete val="1"/>
        <c:axPos val="l"/>
        <c:numFmt formatCode="0.00" sourceLinked="1"/>
        <c:majorTickMark val="out"/>
        <c:minorTickMark val="none"/>
        <c:tickLblPos val="nextTo"/>
        <c:crossAx val="269641224"/>
        <c:crosses val="autoZero"/>
        <c:crossBetween val="between"/>
      </c:valAx>
    </c:plotArea>
    <c:legend>
      <c:legendPos val="t"/>
      <c:layout>
        <c:manualLayout>
          <c:xMode val="edge"/>
          <c:yMode val="edge"/>
          <c:x val="4.2289102751045006E-2"/>
          <c:y val="0.1282935145927272"/>
          <c:w val="0.79981594893230934"/>
          <c:h val="2.799122866052000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Indice de Dependencia en Afiliación Definitiva y  Cobertura Efectiva al SFS  del RC
</a:t>
            </a:r>
          </a:p>
        </c:rich>
      </c:tx>
      <c:layout>
        <c:manualLayout>
          <c:xMode val="edge"/>
          <c:yMode val="edge"/>
          <c:x val="0.25476552219590437"/>
          <c:y val="4.3474341569372792E-2"/>
        </c:manualLayout>
      </c:layout>
      <c:overlay val="0"/>
    </c:title>
    <c:autoTitleDeleted val="0"/>
    <c:plotArea>
      <c:layout>
        <c:manualLayout>
          <c:layoutTarget val="inner"/>
          <c:xMode val="edge"/>
          <c:yMode val="edge"/>
          <c:x val="1.9339578038072555E-2"/>
          <c:y val="0.23207465733449986"/>
          <c:w val="0.9680199072181439"/>
          <c:h val="0.71131212107258524"/>
        </c:manualLayout>
      </c:layout>
      <c:lineChart>
        <c:grouping val="standard"/>
        <c:varyColors val="0"/>
        <c:ser>
          <c:idx val="0"/>
          <c:order val="0"/>
          <c:tx>
            <c:strRef>
              <c:f>'Ind. Depend SFS RC Anual'!$D$2</c:f>
              <c:strCache>
                <c:ptCount val="1"/>
                <c:pt idx="0">
                  <c:v>Indice de Dependencia Afil. Definitiva</c:v>
                </c:pt>
              </c:strCache>
            </c:strRef>
          </c:tx>
          <c:spPr>
            <a:ln>
              <a:solidFill>
                <a:srgbClr val="0070C0"/>
              </a:solidFill>
            </a:ln>
          </c:spPr>
          <c:marker>
            <c:spPr>
              <a:ln>
                <a:solidFill>
                  <a:srgbClr val="0070C0"/>
                </a:solidFill>
              </a:ln>
            </c:spPr>
          </c:marker>
          <c:dLbls>
            <c:dLbl>
              <c:idx val="0"/>
              <c:layout>
                <c:manualLayout>
                  <c:x val="-5.462555066079295E-2"/>
                  <c:y val="1.77777777777777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0187278985336413E-2"/>
                  <c:y val="3.18695952479624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8193832599118878E-2"/>
                  <c:y val="2.58585858585859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0904861143853953E-2"/>
                  <c:y val="3.67747540329388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489116884341553E-2"/>
                  <c:y val="4.335282651072124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Anual'!$D$3:$D$7</c:f>
              <c:numCache>
                <c:formatCode>0.00</c:formatCode>
                <c:ptCount val="5"/>
                <c:pt idx="0">
                  <c:v>0.60578686416403327</c:v>
                </c:pt>
                <c:pt idx="1">
                  <c:v>0.75155618301995764</c:v>
                </c:pt>
                <c:pt idx="2">
                  <c:v>0.93432301903849757</c:v>
                </c:pt>
                <c:pt idx="3">
                  <c:v>1.0506227550415879</c:v>
                </c:pt>
                <c:pt idx="4">
                  <c:v>1.1184277293210305</c:v>
                </c:pt>
              </c:numCache>
            </c:numRef>
          </c:val>
          <c:smooth val="0"/>
        </c:ser>
        <c:ser>
          <c:idx val="1"/>
          <c:order val="1"/>
          <c:tx>
            <c:strRef>
              <c:f>'Ind. Depend SFS RC Anual'!$G$2</c:f>
              <c:strCache>
                <c:ptCount val="1"/>
                <c:pt idx="0">
                  <c:v>Indice de Dependencia Cobertura Efectiva</c:v>
                </c:pt>
              </c:strCache>
            </c:strRef>
          </c:tx>
          <c:spPr>
            <a:ln>
              <a:solidFill>
                <a:srgbClr val="00B050"/>
              </a:solidFill>
            </a:ln>
          </c:spPr>
          <c:marker>
            <c:spPr>
              <a:solidFill>
                <a:srgbClr val="00B050"/>
              </a:solidFill>
              <a:ln>
                <a:solidFill>
                  <a:srgbClr val="00B050"/>
                </a:solidFill>
              </a:ln>
            </c:spPr>
          </c:marker>
          <c:dLbls>
            <c:dLbl>
              <c:idx val="0"/>
              <c:layout>
                <c:manualLayout>
                  <c:x val="-3.2435588665189308E-2"/>
                  <c:y val="-4.746413715829381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4.933920704845815E-2"/>
                  <c:y val="-2.1010101010101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757709251101315E-2"/>
                  <c:y val="-2.90909090909090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051779904757342E-2"/>
                  <c:y val="-3.83342082239720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933920704845815E-2"/>
                  <c:y val="-2.585858585858585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00CC"/>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 Depend SFS RC Anual'!$A$3:$A$7</c:f>
              <c:strCache>
                <c:ptCount val="5"/>
                <c:pt idx="0">
                  <c:v>Dic. 2007</c:v>
                </c:pt>
                <c:pt idx="1">
                  <c:v>Dic. 2008</c:v>
                </c:pt>
                <c:pt idx="2">
                  <c:v>Dic. 2009</c:v>
                </c:pt>
                <c:pt idx="3">
                  <c:v>Dic. 2010</c:v>
                </c:pt>
                <c:pt idx="4">
                  <c:v>Dic. 2011</c:v>
                </c:pt>
              </c:strCache>
            </c:strRef>
          </c:cat>
          <c:val>
            <c:numRef>
              <c:f>'Ind. Depend SFS RC Anual'!$G$3:$G$7</c:f>
              <c:numCache>
                <c:formatCode>0.00</c:formatCode>
                <c:ptCount val="5"/>
                <c:pt idx="0">
                  <c:v>0.58994323999244525</c:v>
                </c:pt>
                <c:pt idx="1">
                  <c:v>0.74230971467021778</c:v>
                </c:pt>
                <c:pt idx="2">
                  <c:v>0.93253649609801748</c:v>
                </c:pt>
                <c:pt idx="3">
                  <c:v>1.043149637969248</c:v>
                </c:pt>
                <c:pt idx="4">
                  <c:v>1.1118608867725368</c:v>
                </c:pt>
              </c:numCache>
            </c:numRef>
          </c:val>
          <c:smooth val="0"/>
        </c:ser>
        <c:dLbls>
          <c:showLegendKey val="0"/>
          <c:showVal val="0"/>
          <c:showCatName val="0"/>
          <c:showSerName val="0"/>
          <c:showPercent val="0"/>
          <c:showBubbleSize val="0"/>
        </c:dLbls>
        <c:marker val="1"/>
        <c:smooth val="0"/>
        <c:axId val="269642400"/>
        <c:axId val="269642792"/>
      </c:lineChart>
      <c:catAx>
        <c:axId val="269642400"/>
        <c:scaling>
          <c:orientation val="minMax"/>
        </c:scaling>
        <c:delete val="0"/>
        <c:axPos val="b"/>
        <c:numFmt formatCode="General" sourceLinked="1"/>
        <c:majorTickMark val="none"/>
        <c:minorTickMark val="none"/>
        <c:tickLblPos val="nextTo"/>
        <c:txPr>
          <a:bodyPr/>
          <a:lstStyle/>
          <a:p>
            <a:pPr>
              <a:defRPr sz="1200"/>
            </a:pPr>
            <a:endParaRPr lang="es-ES"/>
          </a:p>
        </c:txPr>
        <c:crossAx val="269642792"/>
        <c:crosses val="autoZero"/>
        <c:auto val="1"/>
        <c:lblAlgn val="ctr"/>
        <c:lblOffset val="100"/>
        <c:noMultiLvlLbl val="0"/>
      </c:catAx>
      <c:valAx>
        <c:axId val="269642792"/>
        <c:scaling>
          <c:orientation val="minMax"/>
        </c:scaling>
        <c:delete val="1"/>
        <c:axPos val="l"/>
        <c:numFmt formatCode="0.00" sourceLinked="1"/>
        <c:majorTickMark val="out"/>
        <c:minorTickMark val="none"/>
        <c:tickLblPos val="nextTo"/>
        <c:crossAx val="269642400"/>
        <c:crosses val="autoZero"/>
        <c:crossBetween val="between"/>
      </c:valAx>
    </c:plotArea>
    <c:legend>
      <c:legendPos val="b"/>
      <c:layout>
        <c:manualLayout>
          <c:xMode val="edge"/>
          <c:yMode val="edge"/>
          <c:x val="0.27511875040010242"/>
          <c:y val="0.11922466588228195"/>
          <c:w val="0.46558350937840093"/>
          <c:h val="3.990502911274021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041202507687975E-2"/>
          <c:y val="0.17273381895516671"/>
          <c:w val="0.90527251882347892"/>
          <c:h val="0.60088038245381659"/>
        </c:manualLayout>
      </c:layout>
      <c:bar3DChart>
        <c:barDir val="col"/>
        <c:grouping val="stacked"/>
        <c:varyColors val="0"/>
        <c:ser>
          <c:idx val="0"/>
          <c:order val="0"/>
          <c:tx>
            <c:strRef>
              <c:f>'Afil. anual SFS( Mod)'!$B$2</c:f>
              <c:strCache>
                <c:ptCount val="1"/>
                <c:pt idx="0">
                  <c:v>Afiliados Dependientes</c:v>
                </c:pt>
              </c:strCache>
            </c:strRef>
          </c:tx>
          <c:spPr>
            <a:solidFill>
              <a:srgbClr val="0070C0"/>
            </a:solidFill>
          </c:spPr>
          <c:invertIfNegative val="0"/>
          <c:dLbls>
            <c:dLbl>
              <c:idx val="0"/>
              <c:layout>
                <c:manualLayout>
                  <c:x val="1.2952435079522671E-2"/>
                  <c:y val="-4.4114065475948034E-3"/>
                </c:manualLayout>
              </c:layout>
              <c:tx>
                <c:rich>
                  <a:bodyPr/>
                  <a:lstStyle/>
                  <a:p>
                    <a:r>
                      <a:rPr lang="en-US" sz="1200"/>
                      <a:t>37.5%</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53160536941543E-2"/>
                  <c:y val="-5.4728077628317306E-3"/>
                </c:manualLayout>
              </c:layout>
              <c:tx>
                <c:rich>
                  <a:bodyPr/>
                  <a:lstStyle/>
                  <a:p>
                    <a:r>
                      <a:rPr lang="en-US" sz="1200"/>
                      <a:t>42.6%</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5397967185871116E-2"/>
                  <c:y val="-1.4955954384761581E-2"/>
                </c:manualLayout>
              </c:layout>
              <c:tx>
                <c:rich>
                  <a:bodyPr/>
                  <a:lstStyle/>
                  <a:p>
                    <a:r>
                      <a:rPr lang="en-US" sz="1200"/>
                      <a:t>48.2%</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7166913715978008E-2"/>
                  <c:y val="4.8393472923369107E-3"/>
                </c:manualLayout>
              </c:layout>
              <c:tx>
                <c:rich>
                  <a:bodyPr/>
                  <a:lstStyle/>
                  <a:p>
                    <a:pPr>
                      <a:defRPr lang="en-US" sz="1200" b="0"/>
                    </a:pPr>
                    <a:r>
                      <a:rPr lang="en-US" sz="1200" b="0"/>
                      <a:t>51.1%</a:t>
                    </a: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872463580078974E-2"/>
                  <c:y val="4.2929284820087434E-3"/>
                </c:manualLayout>
              </c:layout>
              <c:tx>
                <c:rich>
                  <a:bodyPr/>
                  <a:lstStyle/>
                  <a:p>
                    <a:pPr>
                      <a:defRPr lang="en-US" sz="1200" b="1" i="1"/>
                    </a:pPr>
                    <a:r>
                      <a:rPr lang="en-US" sz="1200" b="1" i="1"/>
                      <a:t>52.1%</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anual SFS( Mod)'!$A$3:$A$7</c:f>
              <c:numCache>
                <c:formatCode>@</c:formatCode>
                <c:ptCount val="5"/>
                <c:pt idx="0">
                  <c:v>2007</c:v>
                </c:pt>
                <c:pt idx="1">
                  <c:v>2008</c:v>
                </c:pt>
                <c:pt idx="2">
                  <c:v>2009</c:v>
                </c:pt>
                <c:pt idx="3">
                  <c:v>2010</c:v>
                </c:pt>
                <c:pt idx="4" formatCode="mmm\-yy">
                  <c:v>40725</c:v>
                </c:pt>
              </c:numCache>
            </c:numRef>
          </c:cat>
          <c:val>
            <c:numRef>
              <c:f>'Afil. anual SFS( Mod)'!$B$3:$B$7</c:f>
              <c:numCache>
                <c:formatCode>_(* #,##0_);_(* \(#,##0\);_(* "-"_);_(@_)</c:formatCode>
                <c:ptCount val="5"/>
                <c:pt idx="0">
                  <c:v>599800</c:v>
                </c:pt>
                <c:pt idx="1">
                  <c:v>736925</c:v>
                </c:pt>
                <c:pt idx="2">
                  <c:v>1011527</c:v>
                </c:pt>
                <c:pt idx="3">
                  <c:v>1234529</c:v>
                </c:pt>
                <c:pt idx="4">
                  <c:v>1327263</c:v>
                </c:pt>
              </c:numCache>
            </c:numRef>
          </c:val>
        </c:ser>
        <c:ser>
          <c:idx val="1"/>
          <c:order val="1"/>
          <c:tx>
            <c:strRef>
              <c:f>'Afil. anual SFS( Mod)'!$D$2</c:f>
              <c:strCache>
                <c:ptCount val="1"/>
                <c:pt idx="0">
                  <c:v>Afiliados Titulares</c:v>
                </c:pt>
              </c:strCache>
            </c:strRef>
          </c:tx>
          <c:spPr>
            <a:solidFill>
              <a:srgbClr val="00B050"/>
            </a:solidFill>
          </c:spPr>
          <c:invertIfNegative val="0"/>
          <c:dLbls>
            <c:dLbl>
              <c:idx val="0"/>
              <c:layout>
                <c:manualLayout>
                  <c:x val="1.5163851039120664E-2"/>
                  <c:y val="5.4437375384653094E-3"/>
                </c:manualLayout>
              </c:layout>
              <c:tx>
                <c:rich>
                  <a:bodyPr/>
                  <a:lstStyle/>
                  <a:p>
                    <a:r>
                      <a:rPr lang="en-US" sz="1200"/>
                      <a:t>62.5%</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9109759578159503E-2"/>
                  <c:y val="-4.7577140460056556E-3"/>
                </c:manualLayout>
              </c:layout>
              <c:tx>
                <c:rich>
                  <a:bodyPr/>
                  <a:lstStyle/>
                  <a:p>
                    <a:r>
                      <a:rPr lang="en-US" sz="1200"/>
                      <a:t>57.4%</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8926625966514801E-2"/>
                  <c:y val="4.2929284820087434E-3"/>
                </c:manualLayout>
              </c:layout>
              <c:tx>
                <c:rich>
                  <a:bodyPr/>
                  <a:lstStyle/>
                  <a:p>
                    <a:r>
                      <a:rPr lang="en-US" sz="1200"/>
                      <a:t>51.7%</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5167730988519541E-2"/>
                  <c:y val="-1.3353711785964741E-3"/>
                </c:manualLayout>
              </c:layout>
              <c:tx>
                <c:rich>
                  <a:bodyPr/>
                  <a:lstStyle/>
                  <a:p>
                    <a:pPr>
                      <a:defRPr lang="en-US" sz="1200" b="0"/>
                    </a:pPr>
                    <a:r>
                      <a:rPr lang="en-US" sz="1200" b="0"/>
                      <a:t>48.9%</a:t>
                    </a: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6753621505969769E-2"/>
                  <c:y val="0"/>
                </c:manualLayout>
              </c:layout>
              <c:tx>
                <c:rich>
                  <a:bodyPr/>
                  <a:lstStyle/>
                  <a:p>
                    <a:pPr>
                      <a:defRPr lang="en-US" sz="1200" b="1"/>
                    </a:pPr>
                    <a:r>
                      <a:rPr lang="en-US" sz="1200" b="1"/>
                      <a:t>47.9%</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'Afil. anual SFS( Mod)'!$A$3:$A$7</c:f>
              <c:numCache>
                <c:formatCode>@</c:formatCode>
                <c:ptCount val="5"/>
                <c:pt idx="0">
                  <c:v>2007</c:v>
                </c:pt>
                <c:pt idx="1">
                  <c:v>2008</c:v>
                </c:pt>
                <c:pt idx="2">
                  <c:v>2009</c:v>
                </c:pt>
                <c:pt idx="3">
                  <c:v>2010</c:v>
                </c:pt>
                <c:pt idx="4" formatCode="mmm\-yy">
                  <c:v>40725</c:v>
                </c:pt>
              </c:numCache>
            </c:numRef>
          </c:cat>
          <c:val>
            <c:numRef>
              <c:f>'Afil. anual SFS( Mod)'!$D$3:$D$7</c:f>
              <c:numCache>
                <c:formatCode>_(* #,##0_);_(* \(#,##0\);_(* "-"_);_(@_)</c:formatCode>
                <c:ptCount val="5"/>
                <c:pt idx="0">
                  <c:v>1005990</c:v>
                </c:pt>
                <c:pt idx="1">
                  <c:v>992746</c:v>
                </c:pt>
                <c:pt idx="2">
                  <c:v>1084705</c:v>
                </c:pt>
                <c:pt idx="3">
                  <c:v>1183463</c:v>
                </c:pt>
                <c:pt idx="4">
                  <c:v>1217991</c:v>
                </c:pt>
              </c:numCache>
            </c:numRef>
          </c:val>
        </c:ser>
        <c:dLbls>
          <c:showLegendKey val="0"/>
          <c:showVal val="0"/>
          <c:showCatName val="0"/>
          <c:showSerName val="0"/>
          <c:showPercent val="0"/>
          <c:showBubbleSize val="0"/>
        </c:dLbls>
        <c:gapWidth val="75"/>
        <c:shape val="cylinder"/>
        <c:axId val="269643576"/>
        <c:axId val="269643968"/>
        <c:axId val="0"/>
      </c:bar3DChart>
      <c:catAx>
        <c:axId val="269643576"/>
        <c:scaling>
          <c:orientation val="minMax"/>
        </c:scaling>
        <c:delete val="0"/>
        <c:axPos val="b"/>
        <c:numFmt formatCode="@" sourceLinked="1"/>
        <c:majorTickMark val="none"/>
        <c:minorTickMark val="none"/>
        <c:tickLblPos val="nextTo"/>
        <c:txPr>
          <a:bodyPr rot="-2700000" vert="horz"/>
          <a:lstStyle/>
          <a:p>
            <a:pPr>
              <a:defRPr lang="en-US" sz="1200"/>
            </a:pPr>
            <a:endParaRPr lang="es-ES"/>
          </a:p>
        </c:txPr>
        <c:crossAx val="269643968"/>
        <c:crosses val="autoZero"/>
        <c:auto val="1"/>
        <c:lblAlgn val="ctr"/>
        <c:lblOffset val="100"/>
        <c:noMultiLvlLbl val="0"/>
      </c:catAx>
      <c:valAx>
        <c:axId val="269643968"/>
        <c:scaling>
          <c:orientation val="minMax"/>
        </c:scaling>
        <c:delete val="1"/>
        <c:axPos val="l"/>
        <c:numFmt formatCode="_(* #,##0_);_(* \(#,##0\);_(* &quot;-&quot;_);_(@_)" sourceLinked="1"/>
        <c:majorTickMark val="out"/>
        <c:minorTickMark val="none"/>
        <c:tickLblPos val="nextTo"/>
        <c:crossAx val="269643576"/>
        <c:crosses val="autoZero"/>
        <c:crossBetween val="between"/>
      </c:valAx>
      <c:spPr>
        <a:noFill/>
        <a:ln w="25400">
          <a:noFill/>
        </a:ln>
      </c:spPr>
    </c:plotArea>
    <c:legend>
      <c:legendPos val="b"/>
      <c:layout>
        <c:manualLayout>
          <c:xMode val="edge"/>
          <c:yMode val="edge"/>
          <c:x val="0.31497162987252586"/>
          <c:y val="8.3402930489544669E-2"/>
          <c:w val="0.42937676225485072"/>
          <c:h val="5.699888865243196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Seguro Familiar de Salud (SFS) del Régimen Contributivo (RC)  </a:t>
            </a:r>
          </a:p>
          <a:p>
            <a:pPr>
              <a:defRPr sz="2400"/>
            </a:pPr>
            <a:r>
              <a:rPr lang="es-DO" sz="2400"/>
              <a:t>Afiliación Mensual al  SFS del RC y No. de Cápitas Pagadas por Afiliados</a:t>
            </a:r>
          </a:p>
        </c:rich>
      </c:tx>
      <c:layout>
        <c:manualLayout>
          <c:xMode val="edge"/>
          <c:yMode val="edge"/>
          <c:x val="0.33294410057479068"/>
          <c:y val="1.2164296544477744E-2"/>
        </c:manualLayout>
      </c:layout>
      <c:overlay val="1"/>
    </c:title>
    <c:autoTitleDeleted val="0"/>
    <c:plotArea>
      <c:layout>
        <c:manualLayout>
          <c:layoutTarget val="inner"/>
          <c:xMode val="edge"/>
          <c:yMode val="edge"/>
          <c:x val="4.1481326876206634E-2"/>
          <c:y val="0.32871938418282959"/>
          <c:w val="0.89595574059824468"/>
          <c:h val="0.54389990631165541"/>
        </c:manualLayout>
      </c:layout>
      <c:barChart>
        <c:barDir val="col"/>
        <c:grouping val="clustered"/>
        <c:varyColors val="0"/>
        <c:ser>
          <c:idx val="0"/>
          <c:order val="0"/>
          <c:tx>
            <c:strRef>
              <c:f>'IV.1.1.2 Afil. SFS RC Mensual '!$F$3</c:f>
              <c:strCache>
                <c:ptCount val="1"/>
                <c:pt idx="0">
                  <c:v>Afiliación Total SFS RC </c:v>
                </c:pt>
              </c:strCache>
            </c:strRef>
          </c:tx>
          <c:spPr>
            <a:solidFill>
              <a:srgbClr val="0070C0"/>
            </a:solidFill>
          </c:spPr>
          <c:invertIfNegative val="0"/>
          <c:dLbls>
            <c:dLbl>
              <c:idx val="12"/>
              <c:spPr/>
              <c:txPr>
                <a:bodyPr rot="-5400000" vert="horz"/>
                <a:lstStyle/>
                <a:p>
                  <a:pPr>
                    <a:defRPr sz="1600" b="0"/>
                  </a:pPr>
                  <a:endParaRPr lang="es-ES"/>
                </a:p>
              </c:txPr>
              <c:dLblPos val="outEnd"/>
              <c:showLegendKey val="0"/>
              <c:showVal val="1"/>
              <c:showCatName val="0"/>
              <c:showSerName val="0"/>
              <c:showPercent val="0"/>
              <c:showBubbleSize val="0"/>
            </c:dLbl>
            <c:dLbl>
              <c:idx val="13"/>
              <c:spPr/>
              <c:txPr>
                <a:bodyPr rot="-5400000" vert="horz"/>
                <a:lstStyle/>
                <a:p>
                  <a:pPr>
                    <a:defRPr sz="1600" b="1"/>
                  </a:pPr>
                  <a:endParaRPr lang="es-ES"/>
                </a:p>
              </c:txPr>
              <c:dLblPos val="outEnd"/>
              <c:showLegendKey val="0"/>
              <c:showVal val="1"/>
              <c:showCatName val="0"/>
              <c:showSerName val="0"/>
              <c:showPercent val="0"/>
              <c:showBubbleSize val="0"/>
            </c:dLbl>
            <c:spPr>
              <a:noFill/>
              <a:ln>
                <a:noFill/>
              </a:ln>
              <a:effectLst/>
            </c:spPr>
            <c:txPr>
              <a:bodyPr rot="-5400000" vert="horz"/>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'IV.1.1.2 Afil. SFS RC Mensual '!$A$19:$A$37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'IV.1.1.2 Afil. SFS RC Mensual '!$F$4:$F$37</c:f>
              <c:numCache>
                <c:formatCode>#,##0</c:formatCode>
                <c:ptCount val="13"/>
                <c:pt idx="0">
                  <c:v>2859306</c:v>
                </c:pt>
                <c:pt idx="1">
                  <c:v>2902340</c:v>
                </c:pt>
                <c:pt idx="2">
                  <c:v>2908347</c:v>
                </c:pt>
                <c:pt idx="3">
                  <c:v>2934599</c:v>
                </c:pt>
                <c:pt idx="4">
                  <c:v>2968854</c:v>
                </c:pt>
                <c:pt idx="5">
                  <c:v>3005537</c:v>
                </c:pt>
                <c:pt idx="6">
                  <c:v>3030417</c:v>
                </c:pt>
                <c:pt idx="7">
                  <c:v>3037396</c:v>
                </c:pt>
                <c:pt idx="8">
                  <c:v>3069411</c:v>
                </c:pt>
                <c:pt idx="9">
                  <c:v>3079772</c:v>
                </c:pt>
                <c:pt idx="10">
                  <c:v>3101900</c:v>
                </c:pt>
                <c:pt idx="11">
                  <c:v>3128462</c:v>
                </c:pt>
                <c:pt idx="12">
                  <c:v>3141599</c:v>
                </c:pt>
              </c:numCache>
            </c:numRef>
          </c:val>
        </c:ser>
        <c:ser>
          <c:idx val="1"/>
          <c:order val="1"/>
          <c:tx>
            <c:strRef>
              <c:f>'IV.1.1.2 Afil. SFS RC Mensual '!$M$3</c:f>
              <c:strCache>
                <c:ptCount val="1"/>
                <c:pt idx="0">
                  <c:v>Total  No. de Capitas Pagadas SFS RC</c:v>
                </c:pt>
              </c:strCache>
            </c:strRef>
          </c:tx>
          <c:spPr>
            <a:solidFill>
              <a:schemeClr val="accent3">
                <a:lumMod val="75000"/>
              </a:schemeClr>
            </a:solidFill>
          </c:spPr>
          <c:invertIfNegative val="0"/>
          <c:dLbls>
            <c:dLbl>
              <c:idx val="0"/>
              <c:layout>
                <c:manualLayout>
                  <c:x val="6.2041736893109071E-4"/>
                  <c:y val="6.117072779138736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1020868446554536E-3"/>
                  <c:y val="-7.665142585932939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2408347378621814E-3"/>
                  <c:y val="-6.3669159229937326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6.2041736893104528E-4"/>
                  <c:y val="-3.746379633417924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6.2041736893104528E-4"/>
                  <c:y val="-5.36965588824948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6.2041736893109071E-4"/>
                  <c:y val="-1.166925218172641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142095823436673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459919117859414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6.2041736893118167E-4"/>
                  <c:y val="-2.295205025593495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248805886383402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1.8570333797399692E-3"/>
                  <c:y val="-2.932977462664603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1.905560845648444E-3"/>
                  <c:y val="1.078230109904246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2"/>
              <c:layout>
                <c:manualLayout>
                  <c:x val="-4.686086606919389E-4"/>
                  <c:y val="-7.213605731477222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sz="1600" b="1"/>
                  </a:pPr>
                  <a:endParaRPr lang="es-ES"/>
                </a:p>
              </c:txPr>
              <c:dLblPos val="inBase"/>
              <c:showLegendKey val="0"/>
              <c:showVal val="1"/>
              <c:showCatName val="0"/>
              <c:showSerName val="0"/>
              <c:showPercent val="0"/>
              <c:showBubbleSize val="0"/>
            </c:dLbl>
            <c:spPr>
              <a:noFill/>
              <a:ln>
                <a:noFill/>
              </a:ln>
              <a:effectLst/>
            </c:spPr>
            <c:txPr>
              <a:bodyPr rot="-5400000" vert="horz"/>
              <a:lstStyle/>
              <a:p>
                <a:pPr>
                  <a:defRPr sz="1600" b="0"/>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'IV.1.1.2 Afil. SFS RC Mensual '!$A$19:$A$37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'IV.1.1.2 Afil. SFS RC Mensual '!$M$19:$M$37</c:f>
              <c:numCache>
                <c:formatCode>#,##0</c:formatCode>
                <c:ptCount val="13"/>
                <c:pt idx="0">
                  <c:v>2965326</c:v>
                </c:pt>
                <c:pt idx="1">
                  <c:v>2971385</c:v>
                </c:pt>
                <c:pt idx="2">
                  <c:v>3021078</c:v>
                </c:pt>
                <c:pt idx="3">
                  <c:v>3016476</c:v>
                </c:pt>
                <c:pt idx="4">
                  <c:v>3084264</c:v>
                </c:pt>
                <c:pt idx="5">
                  <c:v>3080900</c:v>
                </c:pt>
                <c:pt idx="6">
                  <c:v>3112315</c:v>
                </c:pt>
                <c:pt idx="7">
                  <c:v>3103655</c:v>
                </c:pt>
                <c:pt idx="8">
                  <c:v>3160668</c:v>
                </c:pt>
                <c:pt idx="9">
                  <c:v>3147868</c:v>
                </c:pt>
                <c:pt idx="10">
                  <c:v>3179214</c:v>
                </c:pt>
                <c:pt idx="11">
                  <c:v>3200727</c:v>
                </c:pt>
                <c:pt idx="12">
                  <c:v>3224947</c:v>
                </c:pt>
              </c:numCache>
            </c:numRef>
          </c:val>
        </c:ser>
        <c:dLbls>
          <c:showLegendKey val="0"/>
          <c:showVal val="0"/>
          <c:showCatName val="0"/>
          <c:showSerName val="0"/>
          <c:showPercent val="0"/>
          <c:showBubbleSize val="0"/>
        </c:dLbls>
        <c:gapWidth val="35"/>
        <c:overlap val="1"/>
        <c:axId val="269644752"/>
        <c:axId val="270211552"/>
      </c:barChart>
      <c:lineChart>
        <c:grouping val="standard"/>
        <c:varyColors val="0"/>
        <c:ser>
          <c:idx val="2"/>
          <c:order val="2"/>
          <c:tx>
            <c:strRef>
              <c:f>'IV.1.1.2 Afil. SFS RC Mensual '!$P$3</c:f>
              <c:strCache>
                <c:ptCount val="1"/>
                <c:pt idx="0">
                  <c:v>% Capitas Pagadas Total / Afiliación Total </c:v>
                </c:pt>
              </c:strCache>
            </c:strRef>
          </c:tx>
          <c:spPr>
            <a:ln w="47625">
              <a:solidFill>
                <a:srgbClr val="FF0000"/>
              </a:solidFill>
              <a:prstDash val="solid"/>
            </a:ln>
          </c:spPr>
          <c:marker>
            <c:symbol val="circle"/>
            <c:size val="11"/>
            <c:spPr>
              <a:gradFill>
                <a:gsLst>
                  <a:gs pos="0">
                    <a:srgbClr val="FFF200"/>
                  </a:gs>
                  <a:gs pos="45000">
                    <a:srgbClr val="FF7A00"/>
                  </a:gs>
                  <a:gs pos="70000">
                    <a:srgbClr val="FF0300"/>
                  </a:gs>
                  <a:gs pos="100000">
                    <a:srgbClr val="4D0808"/>
                  </a:gs>
                </a:gsLst>
                <a:lin ang="5400000" scaled="0"/>
              </a:gradFill>
              <a:ln>
                <a:prstDash val="solid"/>
              </a:ln>
            </c:spPr>
          </c:marker>
          <c:dLbls>
            <c:dLbl>
              <c:idx val="0"/>
              <c:layout>
                <c:manualLayout>
                  <c:x val="-1.1452904630467947E-2"/>
                  <c:y val="2.724966216953702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1452904630467935E-2"/>
                  <c:y val="2.724966216953702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5769382817755567E-2"/>
                  <c:y val="-3.95732747937047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2138040256058389E-2"/>
                  <c:y val="-4.36836377958274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3.2247384416450857E-2"/>
                  <c:y val="-2.8924770072172007E-2"/>
                </c:manualLayout>
              </c:layout>
              <c:spPr/>
              <c:txPr>
                <a:bodyPr/>
                <a:lstStyle/>
                <a:p>
                  <a:pPr>
                    <a:defRPr sz="18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2.8380260285719879E-2"/>
                  <c:y val="-6.3499463967938707E-2"/>
                </c:manualLayout>
              </c:layout>
              <c:spPr/>
              <c:txPr>
                <a:bodyPr/>
                <a:lstStyle/>
                <a:p>
                  <a:pPr>
                    <a:defRPr sz="24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'IV.1.1.2 Afil. SFS RC Mensual '!$A$4:$A$37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'IV.1.1.2 Afil. SFS RC Mensual '!$P$4:$P$37</c:f>
              <c:numCache>
                <c:formatCode>0.0%</c:formatCode>
                <c:ptCount val="13"/>
                <c:pt idx="0">
                  <c:v>1.0370789275439565</c:v>
                </c:pt>
                <c:pt idx="1">
                  <c:v>1.0237894250845869</c:v>
                </c:pt>
                <c:pt idx="2">
                  <c:v>1.0387611932138772</c:v>
                </c:pt>
                <c:pt idx="3">
                  <c:v>1.0279005751722807</c:v>
                </c:pt>
                <c:pt idx="4">
                  <c:v>1.0388735855653393</c:v>
                </c:pt>
                <c:pt idx="5">
                  <c:v>1.0250747204243369</c:v>
                </c:pt>
                <c:pt idx="6">
                  <c:v>1.0270253235775801</c:v>
                </c:pt>
                <c:pt idx="7">
                  <c:v>1.021814409448093</c:v>
                </c:pt>
                <c:pt idx="8">
                  <c:v>1.0297311112783527</c:v>
                </c:pt>
                <c:pt idx="9">
                  <c:v>1.0221107276772436</c:v>
                </c:pt>
                <c:pt idx="10">
                  <c:v>1.02492472355653</c:v>
                </c:pt>
                <c:pt idx="11">
                  <c:v>1.0230992097714469</c:v>
                </c:pt>
                <c:pt idx="12">
                  <c:v>1.026530438798841</c:v>
                </c:pt>
              </c:numCache>
            </c:numRef>
          </c:val>
          <c:smooth val="0"/>
        </c:ser>
        <c:dLbls>
          <c:showLegendKey val="0"/>
          <c:showVal val="0"/>
          <c:showCatName val="0"/>
          <c:showSerName val="0"/>
          <c:showPercent val="0"/>
          <c:showBubbleSize val="0"/>
        </c:dLbls>
        <c:marker val="1"/>
        <c:smooth val="0"/>
        <c:axId val="270212336"/>
        <c:axId val="270211944"/>
      </c:lineChart>
      <c:dateAx>
        <c:axId val="269644752"/>
        <c:scaling>
          <c:orientation val="minMax"/>
        </c:scaling>
        <c:delete val="0"/>
        <c:axPos val="b"/>
        <c:numFmt formatCode="mmm\-yy" sourceLinked="0"/>
        <c:majorTickMark val="none"/>
        <c:minorTickMark val="none"/>
        <c:tickLblPos val="nextTo"/>
        <c:txPr>
          <a:bodyPr/>
          <a:lstStyle/>
          <a:p>
            <a:pPr>
              <a:defRPr sz="1600"/>
            </a:pPr>
            <a:endParaRPr lang="es-ES"/>
          </a:p>
        </c:txPr>
        <c:crossAx val="270211552"/>
        <c:crosses val="autoZero"/>
        <c:auto val="1"/>
        <c:lblOffset val="100"/>
        <c:baseTimeUnit val="months"/>
      </c:dateAx>
      <c:valAx>
        <c:axId val="270211552"/>
        <c:scaling>
          <c:orientation val="minMax"/>
          <c:max val="4000000"/>
        </c:scaling>
        <c:delete val="0"/>
        <c:axPos val="l"/>
        <c:numFmt formatCode="#,##0" sourceLinked="1"/>
        <c:majorTickMark val="none"/>
        <c:minorTickMark val="none"/>
        <c:tickLblPos val="nextTo"/>
        <c:txPr>
          <a:bodyPr rot="-2700000" vert="horz"/>
          <a:lstStyle/>
          <a:p>
            <a:pPr>
              <a:defRPr sz="1400">
                <a:solidFill>
                  <a:schemeClr val="bg1"/>
                </a:solidFill>
              </a:defRPr>
            </a:pPr>
            <a:endParaRPr lang="es-ES"/>
          </a:p>
        </c:txPr>
        <c:crossAx val="269644752"/>
        <c:crosses val="autoZero"/>
        <c:crossBetween val="between"/>
      </c:valAx>
      <c:valAx>
        <c:axId val="270211944"/>
        <c:scaling>
          <c:orientation val="minMax"/>
          <c:max val="1.06"/>
        </c:scaling>
        <c:delete val="0"/>
        <c:axPos val="r"/>
        <c:numFmt formatCode="0.0%" sourceLinked="1"/>
        <c:majorTickMark val="out"/>
        <c:minorTickMark val="none"/>
        <c:tickLblPos val="nextTo"/>
        <c:txPr>
          <a:bodyPr/>
          <a:lstStyle/>
          <a:p>
            <a:pPr>
              <a:defRPr sz="1400"/>
            </a:pPr>
            <a:endParaRPr lang="es-ES"/>
          </a:p>
        </c:txPr>
        <c:crossAx val="270212336"/>
        <c:crosses val="max"/>
        <c:crossBetween val="between"/>
      </c:valAx>
      <c:dateAx>
        <c:axId val="270212336"/>
        <c:scaling>
          <c:orientation val="minMax"/>
        </c:scaling>
        <c:delete val="1"/>
        <c:axPos val="b"/>
        <c:numFmt formatCode="mmm\-yy" sourceLinked="1"/>
        <c:majorTickMark val="out"/>
        <c:minorTickMark val="none"/>
        <c:tickLblPos val="nextTo"/>
        <c:crossAx val="270211944"/>
        <c:crosses val="autoZero"/>
        <c:auto val="1"/>
        <c:lblOffset val="100"/>
        <c:baseTimeUnit val="months"/>
        <c:majorUnit val="1"/>
        <c:minorUnit val="1"/>
      </c:dateAx>
    </c:plotArea>
    <c:legend>
      <c:legendPos val="t"/>
      <c:layout>
        <c:manualLayout>
          <c:xMode val="edge"/>
          <c:yMode val="edge"/>
          <c:x val="0.11170385422780596"/>
          <c:y val="0.1451706853315414"/>
          <c:w val="0.76428609550365756"/>
          <c:h val="4.086084700612754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3.996427675576983E-4"/>
          <c:y val="0.18357205901489246"/>
          <c:w val="0.96496923173553628"/>
          <c:h val="0.65276919245472087"/>
        </c:manualLayout>
      </c:layout>
      <c:lineChart>
        <c:grouping val="standard"/>
        <c:varyColors val="0"/>
        <c:ser>
          <c:idx val="1"/>
          <c:order val="1"/>
          <c:tx>
            <c:strRef>
              <c:f>'IV.1.1.3 Ind. Dep SFS RC Mens'!$K$3</c:f>
              <c:strCache>
                <c:ptCount val="1"/>
                <c:pt idx="0">
                  <c:v>Indice de Dependencia No. de Cápitas Pagadas (Dep. Totales / Titulares)</c:v>
                </c:pt>
              </c:strCache>
            </c:strRef>
          </c:tx>
          <c:spPr>
            <a:ln>
              <a:solidFill>
                <a:schemeClr val="accent5">
                  <a:lumMod val="50000"/>
                </a:schemeClr>
              </a:solidFill>
            </a:ln>
          </c:spPr>
          <c:marker>
            <c:symbol val="circle"/>
            <c:size val="19"/>
            <c:spPr>
              <a:blipFill>
                <a:blip xmlns:r="http://schemas.openxmlformats.org/officeDocument/2006/relationships" r:embed="rId1"/>
                <a:tile tx="0" ty="0" sx="100000" sy="100000" flip="none" algn="tl"/>
              </a:blipFill>
              <a:ln w="3175">
                <a:solidFill>
                  <a:schemeClr val="accent3">
                    <a:lumMod val="50000"/>
                  </a:schemeClr>
                </a:solidFill>
              </a:ln>
            </c:spPr>
          </c:marker>
          <c:dLbls>
            <c:dLbl>
              <c:idx val="0"/>
              <c:layout>
                <c:manualLayout>
                  <c:x val="-2.0262064802875242E-2"/>
                  <c:y val="2.4668737124990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862971378790148E-2"/>
                  <c:y val="-3.44551103714690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066675017012066E-2"/>
                  <c:y val="-3.22406791550558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415464326897941E-2"/>
                  <c:y val="2.830746851896286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242308845228523E-2"/>
                  <c:y val="-8.021541927089637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311862726445857E-2"/>
                  <c:y val="3.331410401474706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1009995701756792E-2"/>
                  <c:y val="2.98002948834582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328266890065072E-2"/>
                  <c:y val="4.505281510238515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0417943293159137E-2"/>
                  <c:y val="-3.619013534331973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7420203318030295E-2"/>
                  <c:y val="-2.93133118816232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1226599772373587E-2"/>
                  <c:y val="-5.1228492852736118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5959099808949532E-2"/>
                  <c:y val="-3.8968937042149571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2757400581707516E-2"/>
                  <c:y val="-3.2160913493896791E-2"/>
                </c:manualLayout>
              </c:layout>
              <c:spPr/>
              <c:txPr>
                <a:bodyPr/>
                <a:lstStyle/>
                <a:p>
                  <a:pPr>
                    <a:defRPr sz="4400" b="1">
                      <a:solidFill>
                        <a:srgbClr val="7030A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layout>
                <c:manualLayout>
                  <c:x val="-1.6185551274175834E-2"/>
                  <c:y val="9.34139243281028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3200" b="1">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'IV.1.1.3 Ind. Dep SFS RC Mens'!$A$4:$A$37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'IV.1.1.3 Ind. Dep SFS RC Mens'!$K$4:$K$37</c:f>
              <c:numCache>
                <c:formatCode>0.00</c:formatCode>
                <c:ptCount val="13"/>
                <c:pt idx="0">
                  <c:v>1.1914908555038803</c:v>
                </c:pt>
                <c:pt idx="1">
                  <c:v>1.206276864864303</c:v>
                </c:pt>
                <c:pt idx="2">
                  <c:v>1.2219527084176074</c:v>
                </c:pt>
                <c:pt idx="3">
                  <c:v>1.1970971719751162</c:v>
                </c:pt>
                <c:pt idx="4">
                  <c:v>1.2013978107816434</c:v>
                </c:pt>
                <c:pt idx="5">
                  <c:v>1.199676570649322</c:v>
                </c:pt>
                <c:pt idx="6">
                  <c:v>1.2006372151463749</c:v>
                </c:pt>
                <c:pt idx="7">
                  <c:v>1.2094317057370456</c:v>
                </c:pt>
                <c:pt idx="8">
                  <c:v>1.2093689600335529</c:v>
                </c:pt>
                <c:pt idx="9">
                  <c:v>1.2129327016696814</c:v>
                </c:pt>
                <c:pt idx="10">
                  <c:v>1.2158121251616096</c:v>
                </c:pt>
                <c:pt idx="11">
                  <c:v>1.2097341534187525</c:v>
                </c:pt>
                <c:pt idx="12">
                  <c:v>1.2213851614543045</c:v>
                </c:pt>
              </c:numCache>
            </c:numRef>
          </c:val>
          <c:smooth val="0"/>
        </c:ser>
        <c:dLbls>
          <c:showLegendKey val="0"/>
          <c:showVal val="0"/>
          <c:showCatName val="0"/>
          <c:showSerName val="0"/>
          <c:showPercent val="0"/>
          <c:showBubbleSize val="0"/>
        </c:dLbls>
        <c:marker val="1"/>
        <c:smooth val="0"/>
        <c:axId val="270213120"/>
        <c:axId val="270213512"/>
      </c:lineChart>
      <c:lineChart>
        <c:grouping val="standard"/>
        <c:varyColors val="0"/>
        <c:ser>
          <c:idx val="0"/>
          <c:order val="0"/>
          <c:tx>
            <c:strRef>
              <c:f>'IV.1.1.3 Ind. Dep SFS RC Mens'!$E$3</c:f>
              <c:strCache>
                <c:ptCount val="1"/>
                <c:pt idx="0">
                  <c:v>Indice de Dependencia Afiliación </c:v>
                </c:pt>
              </c:strCache>
            </c:strRef>
          </c:tx>
          <c:spPr>
            <a:ln w="76200">
              <a:solidFill>
                <a:srgbClr val="C00000"/>
              </a:solidFill>
            </a:ln>
          </c:spPr>
          <c:marker>
            <c:symbol val="circle"/>
            <c:size val="21"/>
            <c:spPr>
              <a:gradFill>
                <a:gsLst>
                  <a:gs pos="0">
                    <a:srgbClr val="FFF200"/>
                  </a:gs>
                  <a:gs pos="45000">
                    <a:srgbClr val="FF7A00"/>
                  </a:gs>
                  <a:gs pos="70000">
                    <a:srgbClr val="FF0300"/>
                  </a:gs>
                  <a:gs pos="100000">
                    <a:srgbClr val="4D0808"/>
                  </a:gs>
                </a:gsLst>
                <a:lin ang="5400000" scaled="0"/>
              </a:gradFill>
              <a:ln>
                <a:solidFill>
                  <a:schemeClr val="tx1"/>
                </a:solidFill>
              </a:ln>
            </c:spPr>
          </c:marker>
          <c:dLbls>
            <c:dLbl>
              <c:idx val="0"/>
              <c:layout>
                <c:manualLayout>
                  <c:x val="-2.1379388552040753E-2"/>
                  <c:y val="-3.36443203563697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562662418995632E-2"/>
                  <c:y val="-3.47165825336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94962023552365E-2"/>
                  <c:y val="-3.10218234672857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74558977637758E-2"/>
                  <c:y val="-3.84498104225290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0004010644648972E-2"/>
                  <c:y val="7.81175498913091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71012451553385E-2"/>
                  <c:y val="-2.335679895040736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253386009675553E-2"/>
                  <c:y val="-3.4526795704321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0238189714136399E-2"/>
                  <c:y val="-5.651624530848760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000000619714292E-2"/>
                  <c:y val="2.967128262370866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7991871463687352E-2"/>
                  <c:y val="3.00649123528091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805662787726755E-2"/>
                  <c:y val="5.596662170216763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6556421611515142E-2"/>
                  <c:y val="3.0401032827224742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0961614572820596E-2"/>
                  <c:y val="4.1948777449094157E-2"/>
                </c:manualLayout>
              </c:layout>
              <c:spPr/>
              <c:txPr>
                <a:bodyPr/>
                <a:lstStyle/>
                <a:p>
                  <a:pPr>
                    <a:defRPr sz="4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layout>
                <c:manualLayout>
                  <c:x val="-2.1245323058022004E-2"/>
                  <c:y val="-9.34139243281029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32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'IV.1.1.3 Ind. Dep SFS RC Mens'!$A$4:$A$37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'IV.1.1.3 Ind. Dep SFS RC Mens'!$E$4:$E$37</c:f>
              <c:numCache>
                <c:formatCode>0.00</c:formatCode>
                <c:ptCount val="13"/>
                <c:pt idx="0">
                  <c:v>1.203158987256332</c:v>
                </c:pt>
                <c:pt idx="1">
                  <c:v>1.1965126311168965</c:v>
                </c:pt>
                <c:pt idx="2">
                  <c:v>1.1985014479804246</c:v>
                </c:pt>
                <c:pt idx="3">
                  <c:v>1.2003540542283313</c:v>
                </c:pt>
                <c:pt idx="4">
                  <c:v>1.2027538373873714</c:v>
                </c:pt>
                <c:pt idx="5">
                  <c:v>1.2030545519582425</c:v>
                </c:pt>
                <c:pt idx="6">
                  <c:v>1.2050381462765087</c:v>
                </c:pt>
                <c:pt idx="7">
                  <c:v>1.2076280795194874</c:v>
                </c:pt>
                <c:pt idx="8">
                  <c:v>1.206724972770115</c:v>
                </c:pt>
                <c:pt idx="9">
                  <c:v>1.2129584055172851</c:v>
                </c:pt>
                <c:pt idx="10">
                  <c:v>1.2147727678412052</c:v>
                </c:pt>
                <c:pt idx="11">
                  <c:v>1.2068877461043037</c:v>
                </c:pt>
                <c:pt idx="12">
                  <c:v>1.2077511655068989</c:v>
                </c:pt>
              </c:numCache>
            </c:numRef>
          </c:val>
          <c:smooth val="0"/>
        </c:ser>
        <c:dLbls>
          <c:showLegendKey val="0"/>
          <c:showVal val="0"/>
          <c:showCatName val="0"/>
          <c:showSerName val="0"/>
          <c:showPercent val="0"/>
          <c:showBubbleSize val="0"/>
        </c:dLbls>
        <c:marker val="1"/>
        <c:smooth val="0"/>
        <c:axId val="270214296"/>
        <c:axId val="270213904"/>
      </c:lineChart>
      <c:dateAx>
        <c:axId val="270213120"/>
        <c:scaling>
          <c:orientation val="minMax"/>
        </c:scaling>
        <c:delete val="0"/>
        <c:axPos val="b"/>
        <c:numFmt formatCode="mmm\-yy" sourceLinked="1"/>
        <c:majorTickMark val="none"/>
        <c:minorTickMark val="none"/>
        <c:tickLblPos val="nextTo"/>
        <c:txPr>
          <a:bodyPr/>
          <a:lstStyle/>
          <a:p>
            <a:pPr>
              <a:defRPr sz="2800"/>
            </a:pPr>
            <a:endParaRPr lang="es-ES"/>
          </a:p>
        </c:txPr>
        <c:crossAx val="270213512"/>
        <c:crosses val="autoZero"/>
        <c:auto val="1"/>
        <c:lblOffset val="100"/>
        <c:baseTimeUnit val="months"/>
      </c:dateAx>
      <c:valAx>
        <c:axId val="270213512"/>
        <c:scaling>
          <c:orientation val="minMax"/>
        </c:scaling>
        <c:delete val="1"/>
        <c:axPos val="l"/>
        <c:numFmt formatCode="0.00" sourceLinked="1"/>
        <c:majorTickMark val="out"/>
        <c:minorTickMark val="none"/>
        <c:tickLblPos val="nextTo"/>
        <c:crossAx val="270213120"/>
        <c:crosses val="autoZero"/>
        <c:crossBetween val="between"/>
      </c:valAx>
      <c:valAx>
        <c:axId val="270213904"/>
        <c:scaling>
          <c:orientation val="minMax"/>
        </c:scaling>
        <c:delete val="0"/>
        <c:axPos val="r"/>
        <c:numFmt formatCode="0.00" sourceLinked="1"/>
        <c:majorTickMark val="out"/>
        <c:minorTickMark val="none"/>
        <c:tickLblPos val="nextTo"/>
        <c:txPr>
          <a:bodyPr/>
          <a:lstStyle/>
          <a:p>
            <a:pPr>
              <a:defRPr sz="1600"/>
            </a:pPr>
            <a:endParaRPr lang="es-ES"/>
          </a:p>
        </c:txPr>
        <c:crossAx val="270214296"/>
        <c:crosses val="max"/>
        <c:crossBetween val="between"/>
      </c:valAx>
      <c:dateAx>
        <c:axId val="270214296"/>
        <c:scaling>
          <c:orientation val="minMax"/>
        </c:scaling>
        <c:delete val="1"/>
        <c:axPos val="b"/>
        <c:numFmt formatCode="mmm\-yy" sourceLinked="1"/>
        <c:majorTickMark val="out"/>
        <c:minorTickMark val="none"/>
        <c:tickLblPos val="nextTo"/>
        <c:crossAx val="270213904"/>
        <c:crosses val="autoZero"/>
        <c:auto val="1"/>
        <c:lblOffset val="100"/>
        <c:baseTimeUnit val="months"/>
      </c:dateAx>
    </c:plotArea>
    <c:legend>
      <c:legendPos val="b"/>
      <c:layout>
        <c:manualLayout>
          <c:xMode val="edge"/>
          <c:yMode val="edge"/>
          <c:x val="7.583129468618019E-2"/>
          <c:y val="0.11036553954484186"/>
          <c:w val="0.78526533921206398"/>
          <c:h val="4.6085707309410022E-2"/>
        </c:manualLayout>
      </c:layout>
      <c:overlay val="0"/>
      <c:txPr>
        <a:bodyPr/>
        <a:lstStyle/>
        <a:p>
          <a:pPr>
            <a:defRPr sz="2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Familiar de Salud (SFS) del Régimen Contributivo (RC)</a:t>
            </a:r>
          </a:p>
          <a:p>
            <a:pPr>
              <a:defRPr sz="1600"/>
            </a:pPr>
            <a:r>
              <a:rPr lang="es-DO" sz="1600"/>
              <a:t>Comparativo Cápitas Pagadas por Afiliados Titulares con la  Población Ocupada Asalariada </a:t>
            </a:r>
          </a:p>
        </c:rich>
      </c:tx>
      <c:layout>
        <c:manualLayout>
          <c:xMode val="edge"/>
          <c:yMode val="edge"/>
          <c:x val="0.19721562035513393"/>
          <c:y val="3.3394726821438299E-2"/>
        </c:manualLayout>
      </c:layout>
      <c:overlay val="1"/>
    </c:title>
    <c:autoTitleDeleted val="0"/>
    <c:plotArea>
      <c:layout>
        <c:manualLayout>
          <c:layoutTarget val="inner"/>
          <c:xMode val="edge"/>
          <c:yMode val="edge"/>
          <c:x val="4.8874019469221042E-2"/>
          <c:y val="0.29935743089370503"/>
          <c:w val="0.90237341840291652"/>
          <c:h val="0.5110900239334355"/>
        </c:manualLayout>
      </c:layout>
      <c:barChart>
        <c:barDir val="col"/>
        <c:grouping val="clustered"/>
        <c:varyColors val="0"/>
        <c:ser>
          <c:idx val="0"/>
          <c:order val="0"/>
          <c:tx>
            <c:strRef>
              <c:f>'IV.1.1.4 Tit. Vs pob ocup.'!$B$3</c:f>
              <c:strCache>
                <c:ptCount val="1"/>
                <c:pt idx="0">
                  <c:v>Población Ocupada Sector Formal*</c:v>
                </c:pt>
              </c:strCache>
            </c:strRef>
          </c:tx>
          <c:spPr>
            <a:solidFill>
              <a:schemeClr val="accent3">
                <a:lumMod val="50000"/>
              </a:schemeClr>
            </a:solidFill>
          </c:spPr>
          <c:invertIfNegative val="0"/>
          <c:dLbls>
            <c:dLbl>
              <c:idx val="0"/>
              <c:layout>
                <c:manualLayout>
                  <c:x val="9.004279444596749E-6"/>
                  <c:y val="-3.6736901161391958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368450580696148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0210209727355242E-3"/>
                  <c:y val="1.8368450580696148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836845058069648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4974801276605491E-16"/>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4974801276605491E-16"/>
                  <c:y val="-3.6736901161392296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600" b="1"/>
                  </a:pPr>
                  <a:endParaRPr lang="es-ES"/>
                </a:p>
              </c:txPr>
              <c:dLblPos val="outEnd"/>
              <c:showLegendKey val="0"/>
              <c:showVal val="1"/>
              <c:showCatName val="0"/>
              <c:showSerName val="0"/>
              <c:showPercent val="0"/>
              <c:showBubbleSize val="0"/>
            </c:dLbl>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'IV.1.1.4 Tit. Vs pob ocup.'!$A$4:$A$11</c:f>
              <c:strCache>
                <c:ptCount val="8"/>
                <c:pt idx="0">
                  <c:v>Dic. 2007</c:v>
                </c:pt>
                <c:pt idx="1">
                  <c:v>Dic. 2008</c:v>
                </c:pt>
                <c:pt idx="2">
                  <c:v>Dic. 2009</c:v>
                </c:pt>
                <c:pt idx="3">
                  <c:v>Dic. 2010</c:v>
                </c:pt>
                <c:pt idx="4">
                  <c:v>Dic. 2011</c:v>
                </c:pt>
                <c:pt idx="5">
                  <c:v>Dic. 2012</c:v>
                </c:pt>
                <c:pt idx="6">
                  <c:v>Dic. 2013</c:v>
                </c:pt>
                <c:pt idx="7">
                  <c:v>Dic. 2014</c:v>
                </c:pt>
              </c:strCache>
            </c:strRef>
          </c:cat>
          <c:val>
            <c:numRef>
              <c:f>'IV.1.1.4 Tit. Vs pob ocup.'!$B$4:$B$11</c:f>
              <c:numCache>
                <c:formatCode>#,##0</c:formatCode>
                <c:ptCount val="8"/>
                <c:pt idx="0">
                  <c:v>1571911.5</c:v>
                </c:pt>
                <c:pt idx="1">
                  <c:v>1566047</c:v>
                </c:pt>
                <c:pt idx="2">
                  <c:v>1560994</c:v>
                </c:pt>
                <c:pt idx="3">
                  <c:v>1631129</c:v>
                </c:pt>
                <c:pt idx="4">
                  <c:v>1686216</c:v>
                </c:pt>
                <c:pt idx="5">
                  <c:v>1716228</c:v>
                </c:pt>
                <c:pt idx="6">
                  <c:v>1769801</c:v>
                </c:pt>
                <c:pt idx="7">
                  <c:v>1865496</c:v>
                </c:pt>
              </c:numCache>
            </c:numRef>
          </c:val>
        </c:ser>
        <c:ser>
          <c:idx val="1"/>
          <c:order val="1"/>
          <c:tx>
            <c:strRef>
              <c:f>'IV.1.1.4 Tit. Vs pob ocup.'!$E$3</c:f>
              <c:strCache>
                <c:ptCount val="1"/>
                <c:pt idx="0">
                  <c:v>No. de Cápitas Pagadas  por Titulares </c:v>
                </c:pt>
              </c:strCache>
            </c:strRef>
          </c:tx>
          <c:spPr>
            <a:solidFill>
              <a:schemeClr val="accent5">
                <a:lumMod val="50000"/>
              </a:schemeClr>
            </a:solidFill>
          </c:spPr>
          <c:invertIfNegative val="0"/>
          <c:dLbls>
            <c:dLbl>
              <c:idx val="7"/>
              <c:spPr/>
              <c:txPr>
                <a:bodyPr/>
                <a:lstStyle/>
                <a:p>
                  <a:pPr>
                    <a:defRPr sz="1400" b="1">
                      <a:solidFill>
                        <a:schemeClr val="bg1"/>
                      </a:solidFill>
                    </a:defRPr>
                  </a:pPr>
                  <a:endParaRPr lang="es-ES"/>
                </a:p>
              </c:txPr>
              <c:dLblPos val="ctr"/>
              <c:showLegendKey val="0"/>
              <c:showVal val="1"/>
              <c:showCatName val="0"/>
              <c:showSerName val="0"/>
              <c:showPercent val="0"/>
              <c:showBubbleSize val="0"/>
            </c:dLbl>
            <c:spPr>
              <a:noFill/>
              <a:ln>
                <a:noFill/>
              </a:ln>
              <a:effectLst/>
            </c:spPr>
            <c:txPr>
              <a:bodyPr/>
              <a:lstStyle/>
              <a:p>
                <a:pPr>
                  <a:defRPr sz="1400">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'IV.1.1.4 Tit. Vs pob ocup.'!$A$4:$A$11</c:f>
              <c:strCache>
                <c:ptCount val="8"/>
                <c:pt idx="0">
                  <c:v>Dic. 2007</c:v>
                </c:pt>
                <c:pt idx="1">
                  <c:v>Dic. 2008</c:v>
                </c:pt>
                <c:pt idx="2">
                  <c:v>Dic. 2009</c:v>
                </c:pt>
                <c:pt idx="3">
                  <c:v>Dic. 2010</c:v>
                </c:pt>
                <c:pt idx="4">
                  <c:v>Dic. 2011</c:v>
                </c:pt>
                <c:pt idx="5">
                  <c:v>Dic. 2012</c:v>
                </c:pt>
                <c:pt idx="6">
                  <c:v>Dic. 2013</c:v>
                </c:pt>
                <c:pt idx="7">
                  <c:v>Dic. 2014</c:v>
                </c:pt>
              </c:strCache>
            </c:strRef>
          </c:cat>
          <c:val>
            <c:numRef>
              <c:f>'IV.1.1.4 Tit. Vs pob ocup.'!$E$4:$E$11</c:f>
              <c:numCache>
                <c:formatCode>#,##0</c:formatCode>
                <c:ptCount val="8"/>
                <c:pt idx="0">
                  <c:v>1005990</c:v>
                </c:pt>
                <c:pt idx="1">
                  <c:v>992746</c:v>
                </c:pt>
                <c:pt idx="2">
                  <c:v>1084705</c:v>
                </c:pt>
                <c:pt idx="3">
                  <c:v>1183463</c:v>
                </c:pt>
                <c:pt idx="4">
                  <c:v>1224959</c:v>
                </c:pt>
                <c:pt idx="5">
                  <c:v>1270865</c:v>
                </c:pt>
                <c:pt idx="6">
                  <c:v>1353109</c:v>
                </c:pt>
                <c:pt idx="7">
                  <c:v>1451773</c:v>
                </c:pt>
              </c:numCache>
            </c:numRef>
          </c:val>
        </c:ser>
        <c:dLbls>
          <c:showLegendKey val="0"/>
          <c:showVal val="0"/>
          <c:showCatName val="0"/>
          <c:showSerName val="0"/>
          <c:showPercent val="0"/>
          <c:showBubbleSize val="0"/>
        </c:dLbls>
        <c:gapWidth val="37"/>
        <c:overlap val="92"/>
        <c:axId val="270215080"/>
        <c:axId val="270215472"/>
      </c:barChart>
      <c:lineChart>
        <c:grouping val="standard"/>
        <c:varyColors val="0"/>
        <c:ser>
          <c:idx val="2"/>
          <c:order val="2"/>
          <c:tx>
            <c:strRef>
              <c:f>'IV.1.1.4 Tit. Vs pob ocup.'!$F$3</c:f>
              <c:strCache>
                <c:ptCount val="1"/>
                <c:pt idx="0">
                  <c:v>% Afiliados Titulares pagados / Población Ocupada Sector Formal</c:v>
                </c:pt>
              </c:strCache>
            </c:strRef>
          </c:tx>
          <c:spPr>
            <a:ln w="41275">
              <a:gradFill>
                <a:gsLst>
                  <a:gs pos="0">
                    <a:srgbClr val="000082"/>
                  </a:gs>
                  <a:gs pos="30000">
                    <a:srgbClr val="66008F"/>
                  </a:gs>
                  <a:gs pos="64999">
                    <a:srgbClr val="BA0066"/>
                  </a:gs>
                  <a:gs pos="89999">
                    <a:srgbClr val="FF0000"/>
                  </a:gs>
                  <a:gs pos="100000">
                    <a:srgbClr val="FF8200"/>
                  </a:gs>
                </a:gsLst>
                <a:lin ang="5400000" scaled="0"/>
              </a:gradFill>
              <a:prstDash val="sysDot"/>
            </a:ln>
          </c:spPr>
          <c:marker>
            <c:symbol val="circle"/>
            <c:size val="10"/>
            <c:spPr>
              <a:gradFill>
                <a:gsLst>
                  <a:gs pos="0">
                    <a:srgbClr val="FFF200"/>
                  </a:gs>
                  <a:gs pos="45000">
                    <a:srgbClr val="FF7A00"/>
                  </a:gs>
                  <a:gs pos="70000">
                    <a:srgbClr val="FF0300"/>
                  </a:gs>
                  <a:gs pos="100000">
                    <a:srgbClr val="4D0808"/>
                  </a:gs>
                </a:gsLst>
                <a:lin ang="5400000" scaled="0"/>
              </a:gradFill>
            </c:spPr>
          </c:marker>
          <c:dLbls>
            <c:dLbl>
              <c:idx val="6"/>
              <c:spPr/>
              <c:txPr>
                <a:bodyPr/>
                <a:lstStyle/>
                <a:p>
                  <a:pPr>
                    <a:defRPr sz="1400" b="0">
                      <a:solidFill>
                        <a:schemeClr val="bg1"/>
                      </a:solidFill>
                    </a:defRPr>
                  </a:pPr>
                  <a:endParaRPr lang="es-ES"/>
                </a:p>
              </c:txPr>
              <c:dLblPos val="t"/>
              <c:showLegendKey val="0"/>
              <c:showVal val="1"/>
              <c:showCatName val="0"/>
              <c:showSerName val="0"/>
              <c:showPercent val="0"/>
              <c:showBubbleSize val="0"/>
            </c:dLbl>
            <c:dLbl>
              <c:idx val="7"/>
              <c:spPr/>
              <c:txPr>
                <a:bodyPr/>
                <a:lstStyle/>
                <a:p>
                  <a:pPr>
                    <a:defRPr sz="1800" b="1">
                      <a:solidFill>
                        <a:schemeClr val="bg1"/>
                      </a:solidFill>
                    </a:defRPr>
                  </a:pPr>
                  <a:endParaRPr lang="es-ES"/>
                </a:p>
              </c:txPr>
              <c:dLblPos val="t"/>
              <c:showLegendKey val="0"/>
              <c:showVal val="1"/>
              <c:showCatName val="0"/>
              <c:showSerName val="0"/>
              <c:showPercent val="0"/>
              <c:showBubbleSize val="0"/>
            </c:dLbl>
            <c:spPr>
              <a:noFill/>
              <a:ln>
                <a:noFill/>
              </a:ln>
              <a:effectLst/>
            </c:spPr>
            <c:txPr>
              <a:bodyPr/>
              <a:lstStyle/>
              <a:p>
                <a:pPr>
                  <a:defRPr sz="140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'IV.1.1.4 Tit. Vs pob ocup.'!$A$4:$A$10</c:f>
              <c:strCache>
                <c:ptCount val="7"/>
                <c:pt idx="0">
                  <c:v>Dic. 2007</c:v>
                </c:pt>
                <c:pt idx="1">
                  <c:v>Dic. 2008</c:v>
                </c:pt>
                <c:pt idx="2">
                  <c:v>Dic. 2009</c:v>
                </c:pt>
                <c:pt idx="3">
                  <c:v>Dic. 2010</c:v>
                </c:pt>
                <c:pt idx="4">
                  <c:v>Dic. 2011</c:v>
                </c:pt>
                <c:pt idx="5">
                  <c:v>Dic. 2012</c:v>
                </c:pt>
                <c:pt idx="6">
                  <c:v>Dic. 2013</c:v>
                </c:pt>
              </c:strCache>
            </c:strRef>
          </c:cat>
          <c:val>
            <c:numRef>
              <c:f>'IV.1.1.4 Tit. Vs pob ocup.'!$F$4:$F$11</c:f>
              <c:numCache>
                <c:formatCode>0.0%</c:formatCode>
                <c:ptCount val="8"/>
                <c:pt idx="0">
                  <c:v>0.5852180609404537</c:v>
                </c:pt>
                <c:pt idx="1">
                  <c:v>0.61693295284241145</c:v>
                </c:pt>
                <c:pt idx="2">
                  <c:v>0.69161188319750111</c:v>
                </c:pt>
                <c:pt idx="3">
                  <c:v>0.7067871394598465</c:v>
                </c:pt>
                <c:pt idx="4">
                  <c:v>0.70474067379268135</c:v>
                </c:pt>
                <c:pt idx="5">
                  <c:v>0.72416368920679541</c:v>
                </c:pt>
                <c:pt idx="6">
                  <c:v>0.73331464950014158</c:v>
                </c:pt>
                <c:pt idx="7">
                  <c:v>0.76279230831907441</c:v>
                </c:pt>
              </c:numCache>
            </c:numRef>
          </c:val>
          <c:smooth val="0"/>
        </c:ser>
        <c:dLbls>
          <c:showLegendKey val="0"/>
          <c:showVal val="0"/>
          <c:showCatName val="0"/>
          <c:showSerName val="0"/>
          <c:showPercent val="0"/>
          <c:showBubbleSize val="0"/>
        </c:dLbls>
        <c:marker val="1"/>
        <c:smooth val="0"/>
        <c:axId val="270216256"/>
        <c:axId val="270215864"/>
      </c:lineChart>
      <c:catAx>
        <c:axId val="270215080"/>
        <c:scaling>
          <c:orientation val="minMax"/>
        </c:scaling>
        <c:delete val="0"/>
        <c:axPos val="b"/>
        <c:numFmt formatCode="General" sourceLinked="0"/>
        <c:majorTickMark val="out"/>
        <c:minorTickMark val="none"/>
        <c:tickLblPos val="nextTo"/>
        <c:txPr>
          <a:bodyPr/>
          <a:lstStyle/>
          <a:p>
            <a:pPr>
              <a:defRPr sz="1200"/>
            </a:pPr>
            <a:endParaRPr lang="es-ES"/>
          </a:p>
        </c:txPr>
        <c:crossAx val="270215472"/>
        <c:crosses val="autoZero"/>
        <c:auto val="1"/>
        <c:lblAlgn val="ctr"/>
        <c:lblOffset val="100"/>
        <c:noMultiLvlLbl val="0"/>
      </c:catAx>
      <c:valAx>
        <c:axId val="270215472"/>
        <c:scaling>
          <c:orientation val="minMax"/>
        </c:scaling>
        <c:delete val="0"/>
        <c:axPos val="l"/>
        <c:numFmt formatCode="#,##0" sourceLinked="1"/>
        <c:majorTickMark val="out"/>
        <c:minorTickMark val="none"/>
        <c:tickLblPos val="nextTo"/>
        <c:txPr>
          <a:bodyPr/>
          <a:lstStyle/>
          <a:p>
            <a:pPr>
              <a:defRPr sz="500"/>
            </a:pPr>
            <a:endParaRPr lang="es-ES"/>
          </a:p>
        </c:txPr>
        <c:crossAx val="270215080"/>
        <c:crosses val="autoZero"/>
        <c:crossBetween val="between"/>
      </c:valAx>
      <c:valAx>
        <c:axId val="270215864"/>
        <c:scaling>
          <c:orientation val="minMax"/>
          <c:max val="1"/>
        </c:scaling>
        <c:delete val="0"/>
        <c:axPos val="r"/>
        <c:numFmt formatCode="0.0%" sourceLinked="1"/>
        <c:majorTickMark val="out"/>
        <c:minorTickMark val="none"/>
        <c:tickLblPos val="nextTo"/>
        <c:crossAx val="270216256"/>
        <c:crosses val="max"/>
        <c:crossBetween val="between"/>
      </c:valAx>
      <c:catAx>
        <c:axId val="270216256"/>
        <c:scaling>
          <c:orientation val="minMax"/>
        </c:scaling>
        <c:delete val="1"/>
        <c:axPos val="b"/>
        <c:numFmt formatCode="General" sourceLinked="1"/>
        <c:majorTickMark val="out"/>
        <c:minorTickMark val="none"/>
        <c:tickLblPos val="nextTo"/>
        <c:crossAx val="270215864"/>
        <c:crosses val="autoZero"/>
        <c:auto val="1"/>
        <c:lblAlgn val="ctr"/>
        <c:lblOffset val="100"/>
        <c:noMultiLvlLbl val="0"/>
      </c:catAx>
    </c:plotArea>
    <c:legend>
      <c:legendPos val="r"/>
      <c:layout>
        <c:manualLayout>
          <c:xMode val="edge"/>
          <c:yMode val="edge"/>
          <c:x val="2.0733398185014223E-2"/>
          <c:y val="0.13458058474626827"/>
          <c:w val="0.94348820380462128"/>
          <c:h val="5.6774532453220741E-2"/>
        </c:manualLayout>
      </c:layout>
      <c:overlay val="0"/>
      <c:spPr>
        <a:ln>
          <a:noFill/>
        </a:ln>
      </c:spPr>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(3)'!$I$2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(3)'!$I$3:$I$11</c:f>
              <c:numCache>
                <c:formatCode>_([$€-2]* #,##0_);_([$€-2]* \(#,##0\);_([$€-2]* "-"??_)</c:formatCode>
                <c:ptCount val="9"/>
              </c:numCache>
            </c:numRef>
          </c:val>
        </c:ser>
        <c:ser>
          <c:idx val="1"/>
          <c:order val="1"/>
          <c:tx>
            <c:strRef>
              <c:f>' SDSS Definiciones (3)'!$J$2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(3)'!$J$3:$J$11</c:f>
              <c:numCache>
                <c:formatCode>_([$€-2]* #,##0_);_([$€-2]* \(#,##0\);_([$€-2]* "-"??_)</c:formatCode>
                <c:ptCount val="9"/>
              </c:numCache>
            </c:numRef>
          </c:val>
        </c:ser>
        <c:ser>
          <c:idx val="2"/>
          <c:order val="2"/>
          <c:tx>
            <c:strRef>
              <c:f>' SDSS Definiciones (3)'!$K$2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(3)'!$K$3:$K$11</c:f>
              <c:numCache>
                <c:formatCode>_([$€-2]* #,##0_);_([$€-2]* \(#,##0\);_([$€-2]* "-"??_)</c:formatCode>
                <c:ptCount val="9"/>
              </c:numCache>
            </c:numRef>
          </c:val>
        </c:ser>
        <c:dLbls>
          <c:showLegendKey val="0"/>
          <c:showVal val="0"/>
          <c:showCatName val="0"/>
          <c:showSerName val="0"/>
          <c:showPercent val="0"/>
          <c:showBubbleSize val="0"/>
        </c:dLbls>
        <c:gapWidth val="22"/>
        <c:shape val="cylinder"/>
        <c:axId val="240548856"/>
        <c:axId val="240549248"/>
        <c:axId val="0"/>
      </c:bar3DChart>
      <c:catAx>
        <c:axId val="240548856"/>
        <c:scaling>
          <c:orientation val="minMax"/>
        </c:scaling>
        <c:delete val="0"/>
        <c:axPos val="b"/>
        <c:numFmt formatCode="_([$€-2]* #,##0_);_([$€-2]* \(#,##0\);_([$€-2]* &quot;-&quot;??_)" sourceLinked="1"/>
        <c:majorTickMark val="none"/>
        <c:minorTickMark val="none"/>
        <c:tickLblPos val="nextTo"/>
        <c:crossAx val="240549248"/>
        <c:crosses val="autoZero"/>
        <c:auto val="1"/>
        <c:lblAlgn val="ctr"/>
        <c:lblOffset val="100"/>
        <c:noMultiLvlLbl val="0"/>
      </c:catAx>
      <c:valAx>
        <c:axId val="240549248"/>
        <c:scaling>
          <c:orientation val="minMax"/>
        </c:scaling>
        <c:delete val="0"/>
        <c:axPos val="l"/>
        <c:numFmt formatCode="_([$€-2]* #,##0_);_([$€-2]* \(#,##0\);_([$€-2]* &quot;-&quot;??_)" sourceLinked="1"/>
        <c:majorTickMark val="none"/>
        <c:minorTickMark val="none"/>
        <c:tickLblPos val="none"/>
        <c:spPr>
          <a:ln w="9525">
            <a:noFill/>
          </a:ln>
        </c:spPr>
        <c:crossAx val="24054885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065046020197865"/>
          <c:y val="0.10934127464836128"/>
          <c:w val="0.79486217982537566"/>
          <c:h val="0.82482037822195298"/>
        </c:manualLayout>
      </c:layout>
      <c:barChart>
        <c:barDir val="bar"/>
        <c:grouping val="stacked"/>
        <c:varyColors val="0"/>
        <c:ser>
          <c:idx val="0"/>
          <c:order val="0"/>
          <c:tx>
            <c:strRef>
              <c:f>'[6]Afil. SFS x ARS'!$B$3</c:f>
              <c:strCache>
                <c:ptCount val="1"/>
                <c:pt idx="0">
                  <c:v>0-4  </c:v>
                </c:pt>
              </c:strCache>
            </c:strRef>
          </c:tx>
          <c:spPr>
            <a:solidFill>
              <a:schemeClr val="accent1">
                <a:lumMod val="75000"/>
              </a:schemeClr>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ARS'!$B$4:$B$28</c:f>
              <c:numCache>
                <c:formatCode>General</c:formatCode>
                <c:ptCount val="25"/>
                <c:pt idx="0">
                  <c:v>84540</c:v>
                </c:pt>
                <c:pt idx="1">
                  <c:v>25929</c:v>
                </c:pt>
                <c:pt idx="2">
                  <c:v>36360</c:v>
                </c:pt>
                <c:pt idx="3">
                  <c:v>28453</c:v>
                </c:pt>
                <c:pt idx="4">
                  <c:v>8694</c:v>
                </c:pt>
                <c:pt idx="5">
                  <c:v>5797</c:v>
                </c:pt>
                <c:pt idx="6">
                  <c:v>6591</c:v>
                </c:pt>
                <c:pt idx="7">
                  <c:v>3869</c:v>
                </c:pt>
                <c:pt idx="8">
                  <c:v>2658</c:v>
                </c:pt>
                <c:pt idx="9">
                  <c:v>3687</c:v>
                </c:pt>
                <c:pt idx="10">
                  <c:v>3128</c:v>
                </c:pt>
                <c:pt idx="11">
                  <c:v>1595</c:v>
                </c:pt>
                <c:pt idx="12">
                  <c:v>1972</c:v>
                </c:pt>
                <c:pt idx="13">
                  <c:v>1505</c:v>
                </c:pt>
                <c:pt idx="14">
                  <c:v>1051</c:v>
                </c:pt>
                <c:pt idx="15">
                  <c:v>1419</c:v>
                </c:pt>
                <c:pt idx="16">
                  <c:v>579</c:v>
                </c:pt>
                <c:pt idx="17">
                  <c:v>1312</c:v>
                </c:pt>
                <c:pt idx="18">
                  <c:v>1345</c:v>
                </c:pt>
                <c:pt idx="19">
                  <c:v>609</c:v>
                </c:pt>
                <c:pt idx="20">
                  <c:v>467</c:v>
                </c:pt>
                <c:pt idx="21">
                  <c:v>39</c:v>
                </c:pt>
                <c:pt idx="22">
                  <c:v>307</c:v>
                </c:pt>
                <c:pt idx="23">
                  <c:v>33</c:v>
                </c:pt>
                <c:pt idx="24">
                  <c:v>98</c:v>
                </c:pt>
              </c:numCache>
            </c:numRef>
          </c:val>
        </c:ser>
        <c:ser>
          <c:idx val="1"/>
          <c:order val="1"/>
          <c:tx>
            <c:strRef>
              <c:f>'[6]Afil. SFS x ARS'!$C$3</c:f>
              <c:strCache>
                <c:ptCount val="1"/>
                <c:pt idx="0">
                  <c:v>5-14</c:v>
                </c:pt>
              </c:strCache>
            </c:strRef>
          </c:tx>
          <c:spPr>
            <a:solidFill>
              <a:schemeClr val="accent1">
                <a:lumMod val="75000"/>
              </a:schemeClr>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ARS'!$C$4:$C$28</c:f>
              <c:numCache>
                <c:formatCode>General</c:formatCode>
                <c:ptCount val="25"/>
                <c:pt idx="0">
                  <c:v>162909</c:v>
                </c:pt>
                <c:pt idx="1">
                  <c:v>80375</c:v>
                </c:pt>
                <c:pt idx="2">
                  <c:v>69672</c:v>
                </c:pt>
                <c:pt idx="3">
                  <c:v>54511</c:v>
                </c:pt>
                <c:pt idx="4">
                  <c:v>22021</c:v>
                </c:pt>
                <c:pt idx="5">
                  <c:v>25642</c:v>
                </c:pt>
                <c:pt idx="6">
                  <c:v>14929</c:v>
                </c:pt>
                <c:pt idx="7">
                  <c:v>9145</c:v>
                </c:pt>
                <c:pt idx="8">
                  <c:v>5477</c:v>
                </c:pt>
                <c:pt idx="9">
                  <c:v>8901</c:v>
                </c:pt>
                <c:pt idx="10">
                  <c:v>6385</c:v>
                </c:pt>
                <c:pt idx="11">
                  <c:v>3179</c:v>
                </c:pt>
                <c:pt idx="12">
                  <c:v>4302</c:v>
                </c:pt>
                <c:pt idx="13">
                  <c:v>3381</c:v>
                </c:pt>
                <c:pt idx="14">
                  <c:v>2450</c:v>
                </c:pt>
                <c:pt idx="15">
                  <c:v>3523</c:v>
                </c:pt>
                <c:pt idx="16">
                  <c:v>2335</c:v>
                </c:pt>
                <c:pt idx="17">
                  <c:v>3515</c:v>
                </c:pt>
                <c:pt idx="18">
                  <c:v>3071</c:v>
                </c:pt>
                <c:pt idx="19">
                  <c:v>1534</c:v>
                </c:pt>
                <c:pt idx="20">
                  <c:v>1450</c:v>
                </c:pt>
                <c:pt idx="21">
                  <c:v>690</c:v>
                </c:pt>
                <c:pt idx="22">
                  <c:v>1399</c:v>
                </c:pt>
                <c:pt idx="23">
                  <c:v>376</c:v>
                </c:pt>
                <c:pt idx="24">
                  <c:v>199</c:v>
                </c:pt>
              </c:numCache>
            </c:numRef>
          </c:val>
        </c:ser>
        <c:ser>
          <c:idx val="2"/>
          <c:order val="2"/>
          <c:tx>
            <c:strRef>
              <c:f>'[6]Afil. SFS x ARS'!$D$3</c:f>
              <c:strCache>
                <c:ptCount val="1"/>
                <c:pt idx="0">
                  <c:v>15-24</c:v>
                </c:pt>
              </c:strCache>
            </c:strRef>
          </c:tx>
          <c:spPr>
            <a:solidFill>
              <a:srgbClr val="92D050"/>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ARS'!$D$4:$D$28</c:f>
              <c:numCache>
                <c:formatCode>General</c:formatCode>
                <c:ptCount val="25"/>
                <c:pt idx="0">
                  <c:v>124060</c:v>
                </c:pt>
                <c:pt idx="1">
                  <c:v>57821</c:v>
                </c:pt>
                <c:pt idx="2">
                  <c:v>48789</c:v>
                </c:pt>
                <c:pt idx="3">
                  <c:v>35734</c:v>
                </c:pt>
                <c:pt idx="4">
                  <c:v>18261</c:v>
                </c:pt>
                <c:pt idx="5">
                  <c:v>16264</c:v>
                </c:pt>
                <c:pt idx="6">
                  <c:v>12154</c:v>
                </c:pt>
                <c:pt idx="7">
                  <c:v>5967</c:v>
                </c:pt>
                <c:pt idx="8">
                  <c:v>15288</c:v>
                </c:pt>
                <c:pt idx="9">
                  <c:v>7943</c:v>
                </c:pt>
                <c:pt idx="10">
                  <c:v>6180</c:v>
                </c:pt>
                <c:pt idx="11">
                  <c:v>9536</c:v>
                </c:pt>
                <c:pt idx="12">
                  <c:v>2917</c:v>
                </c:pt>
                <c:pt idx="13">
                  <c:v>4464</c:v>
                </c:pt>
                <c:pt idx="14">
                  <c:v>4168</c:v>
                </c:pt>
                <c:pt idx="15">
                  <c:v>2744</c:v>
                </c:pt>
                <c:pt idx="16">
                  <c:v>2648</c:v>
                </c:pt>
                <c:pt idx="17">
                  <c:v>2468</c:v>
                </c:pt>
                <c:pt idx="18">
                  <c:v>2458</c:v>
                </c:pt>
                <c:pt idx="19">
                  <c:v>1679</c:v>
                </c:pt>
                <c:pt idx="20">
                  <c:v>1402</c:v>
                </c:pt>
                <c:pt idx="21">
                  <c:v>333</c:v>
                </c:pt>
                <c:pt idx="22">
                  <c:v>576</c:v>
                </c:pt>
                <c:pt idx="23">
                  <c:v>251</c:v>
                </c:pt>
                <c:pt idx="24">
                  <c:v>127</c:v>
                </c:pt>
              </c:numCache>
            </c:numRef>
          </c:val>
        </c:ser>
        <c:ser>
          <c:idx val="3"/>
          <c:order val="3"/>
          <c:tx>
            <c:strRef>
              <c:f>'[6]Afil. SFS x ARS'!$E$3</c:f>
              <c:strCache>
                <c:ptCount val="1"/>
                <c:pt idx="0">
                  <c:v>25-34</c:v>
                </c:pt>
              </c:strCache>
            </c:strRef>
          </c:tx>
          <c:spPr>
            <a:solidFill>
              <a:srgbClr val="92D050"/>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ARS'!$E$4:$E$28</c:f>
              <c:numCache>
                <c:formatCode>General</c:formatCode>
                <c:ptCount val="25"/>
                <c:pt idx="0">
                  <c:v>171034</c:v>
                </c:pt>
                <c:pt idx="1">
                  <c:v>52369</c:v>
                </c:pt>
                <c:pt idx="2">
                  <c:v>74438</c:v>
                </c:pt>
                <c:pt idx="3">
                  <c:v>57459</c:v>
                </c:pt>
                <c:pt idx="4">
                  <c:v>31311</c:v>
                </c:pt>
                <c:pt idx="5">
                  <c:v>9063</c:v>
                </c:pt>
                <c:pt idx="6">
                  <c:v>13799</c:v>
                </c:pt>
                <c:pt idx="7">
                  <c:v>8105</c:v>
                </c:pt>
                <c:pt idx="8">
                  <c:v>10133</c:v>
                </c:pt>
                <c:pt idx="9">
                  <c:v>7299</c:v>
                </c:pt>
                <c:pt idx="10">
                  <c:v>7421</c:v>
                </c:pt>
                <c:pt idx="11">
                  <c:v>6698</c:v>
                </c:pt>
                <c:pt idx="12">
                  <c:v>3596</c:v>
                </c:pt>
                <c:pt idx="13">
                  <c:v>4374</c:v>
                </c:pt>
                <c:pt idx="14">
                  <c:v>4143</c:v>
                </c:pt>
                <c:pt idx="15">
                  <c:v>2960</c:v>
                </c:pt>
                <c:pt idx="16">
                  <c:v>898</c:v>
                </c:pt>
                <c:pt idx="17">
                  <c:v>2895</c:v>
                </c:pt>
                <c:pt idx="18">
                  <c:v>3302</c:v>
                </c:pt>
                <c:pt idx="19">
                  <c:v>1584</c:v>
                </c:pt>
                <c:pt idx="20">
                  <c:v>797</c:v>
                </c:pt>
                <c:pt idx="21">
                  <c:v>1565</c:v>
                </c:pt>
                <c:pt idx="22">
                  <c:v>795</c:v>
                </c:pt>
                <c:pt idx="23">
                  <c:v>60</c:v>
                </c:pt>
                <c:pt idx="24">
                  <c:v>239</c:v>
                </c:pt>
              </c:numCache>
            </c:numRef>
          </c:val>
        </c:ser>
        <c:ser>
          <c:idx val="4"/>
          <c:order val="4"/>
          <c:tx>
            <c:strRef>
              <c:f>'[6]Afil. SFS x ARS'!$F$3</c:f>
              <c:strCache>
                <c:ptCount val="1"/>
                <c:pt idx="0">
                  <c:v>35-44</c:v>
                </c:pt>
              </c:strCache>
            </c:strRef>
          </c:tx>
          <c:spPr>
            <a:solidFill>
              <a:srgbClr val="92D050"/>
            </a:solidFill>
          </c:spPr>
          <c:invertIfNegative val="0"/>
          <c:dLbls>
            <c:dLbl>
              <c:idx val="0"/>
              <c:layout>
                <c:manualLayout>
                  <c:x val="0.20124570418048518"/>
                  <c:y val="-4.8341072750521571E-3"/>
                </c:manualLayout>
              </c:layout>
              <c:tx>
                <c:rich>
                  <a:bodyPr/>
                  <a:lstStyle/>
                  <a:p>
                    <a:r>
                      <a:rPr lang="en-US"/>
                      <a:t>812.3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17179546556465733"/>
                  <c:y val="1.0018170805572381E-3"/>
                </c:manualLayout>
              </c:layout>
              <c:tx>
                <c:rich>
                  <a:bodyPr/>
                  <a:lstStyle/>
                  <a:p>
                    <a:r>
                      <a:rPr lang="en-US"/>
                      <a:t>421.5</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8.7685366952041113E-2"/>
                  <c:y val="8.8622438796092308E-17"/>
                </c:manualLayout>
              </c:layout>
              <c:tx>
                <c:rich>
                  <a:bodyPr/>
                  <a:lstStyle/>
                  <a:p>
                    <a:r>
                      <a:rPr lang="en-US"/>
                      <a:t>326.8</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7.8916830256837003E-2"/>
                  <c:y val="-2.4170035246382109E-3"/>
                </c:manualLayout>
              </c:layout>
              <c:tx>
                <c:rich>
                  <a:bodyPr/>
                  <a:lstStyle/>
                  <a:p>
                    <a:r>
                      <a:rPr lang="en-US"/>
                      <a:t>266.5</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4.9323018910523125E-2"/>
                  <c:y val="0"/>
                </c:manualLayout>
              </c:layout>
              <c:tx>
                <c:rich>
                  <a:bodyPr/>
                  <a:lstStyle/>
                  <a:p>
                    <a:r>
                      <a:rPr lang="en-US"/>
                      <a:t> 131.5 </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6.0463033579851819E-2"/>
                  <c:y val="-7.0785382596406216E-4"/>
                </c:manualLayout>
              </c:layout>
              <c:tx>
                <c:rich>
                  <a:bodyPr/>
                  <a:lstStyle/>
                  <a:p>
                    <a:r>
                      <a:rPr lang="en-US"/>
                      <a:t>118.8</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3.5145914279951861E-2"/>
                  <c:y val="0"/>
                </c:manualLayout>
              </c:layout>
              <c:tx>
                <c:rich>
                  <a:bodyPr/>
                  <a:lstStyle/>
                  <a:p>
                    <a:r>
                      <a:rPr lang="en-US"/>
                      <a:t>76.1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3.1120482627725918E-2"/>
                  <c:y val="0"/>
                </c:manualLayout>
              </c:layout>
              <c:tx>
                <c:rich>
                  <a:bodyPr/>
                  <a:lstStyle/>
                  <a:p>
                    <a:r>
                      <a:rPr lang="en-US" sz="1100"/>
                      <a:t>48.3</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2.0339277914979838E-2"/>
                  <c:y val="-1.2535467724819686E-16"/>
                </c:manualLayout>
              </c:layout>
              <c:tx>
                <c:rich>
                  <a:bodyPr/>
                  <a:lstStyle/>
                  <a:p>
                    <a:r>
                      <a:rPr lang="en-US" sz="1100"/>
                      <a:t>46.7</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2.4580001415800603E-2"/>
                  <c:y val="1.2960495322700046E-3"/>
                </c:manualLayout>
              </c:layout>
              <c:tx>
                <c:rich>
                  <a:bodyPr/>
                  <a:lstStyle/>
                  <a:p>
                    <a:r>
                      <a:rPr lang="en-US" sz="1100"/>
                      <a:t>42.8</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2.3555632949687027E-2"/>
                  <c:y val="-1.4151692576889426E-3"/>
                </c:manualLayout>
              </c:layout>
              <c:tx>
                <c:rich>
                  <a:bodyPr/>
                  <a:lstStyle/>
                  <a:p>
                    <a:r>
                      <a:rPr lang="en-US" sz="1100"/>
                      <a:t>34.0</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1"/>
              <c:layout>
                <c:manualLayout>
                  <c:x val="2.5460786330311624E-2"/>
                  <c:y val="-7.0758462884440865E-4"/>
                </c:manualLayout>
              </c:layout>
              <c:tx>
                <c:rich>
                  <a:bodyPr/>
                  <a:lstStyle/>
                  <a:p>
                    <a:r>
                      <a:rPr lang="en-US" sz="1100"/>
                      <a:t>30.2</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2"/>
              <c:layout>
                <c:manualLayout>
                  <c:x val="2.5496598739403201E-2"/>
                  <c:y val="-1.3459855973273285E-7"/>
                </c:manualLayout>
              </c:layout>
              <c:tx>
                <c:rich>
                  <a:bodyPr/>
                  <a:lstStyle/>
                  <a:p>
                    <a:r>
                      <a:rPr lang="en-US" sz="1100"/>
                      <a:t>22.8</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3"/>
              <c:layout>
                <c:manualLayout>
                  <c:x val="2.2244347816795403E-2"/>
                  <c:y val="-6.2677338624098429E-17"/>
                </c:manualLayout>
              </c:layout>
              <c:tx>
                <c:rich>
                  <a:bodyPr/>
                  <a:lstStyle/>
                  <a:p>
                    <a:r>
                      <a:rPr lang="en-US" sz="1100"/>
                      <a:t>20.3</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4"/>
              <c:layout>
                <c:manualLayout>
                  <c:x val="2.2172556040994107E-2"/>
                  <c:y val="0"/>
                </c:manualLayout>
              </c:layout>
              <c:tx>
                <c:rich>
                  <a:bodyPr/>
                  <a:lstStyle/>
                  <a:p>
                    <a:r>
                      <a:rPr lang="en-US" sz="1100"/>
                      <a:t>20.2</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5"/>
              <c:layout>
                <c:manualLayout>
                  <c:x val="1.8920221639577219E-2"/>
                  <c:y val="0"/>
                </c:manualLayout>
              </c:layout>
              <c:tx>
                <c:rich>
                  <a:bodyPr/>
                  <a:lstStyle/>
                  <a:p>
                    <a:r>
                      <a:rPr lang="en-US" sz="1100"/>
                      <a:t> 17.1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6"/>
              <c:layout>
                <c:manualLayout>
                  <c:x val="2.5353098666609657E-2"/>
                  <c:y val="-2.4169863382462434E-3"/>
                </c:manualLayout>
              </c:layout>
              <c:tx>
                <c:rich>
                  <a:bodyPr/>
                  <a:lstStyle/>
                  <a:p>
                    <a:r>
                      <a:rPr lang="en-US" sz="1100"/>
                      <a:t>17.0</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7"/>
              <c:layout>
                <c:manualLayout>
                  <c:x val="1.7716540691578523E-2"/>
                  <c:y val="0"/>
                </c:manualLayout>
              </c:layout>
              <c:tx>
                <c:rich>
                  <a:bodyPr/>
                  <a:lstStyle/>
                  <a:p>
                    <a:r>
                      <a:rPr lang="en-US" sz="1100"/>
                      <a:t> 16.8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8"/>
              <c:layout>
                <c:manualLayout>
                  <c:x val="1.5524387165366827E-2"/>
                  <c:y val="-1.3459855979541019E-7"/>
                </c:manualLayout>
              </c:layout>
              <c:tx>
                <c:rich>
                  <a:bodyPr/>
                  <a:lstStyle/>
                  <a:p>
                    <a:r>
                      <a:rPr lang="en-US" sz="1100"/>
                      <a:t> 15.9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9"/>
              <c:layout>
                <c:manualLayout>
                  <c:x val="1.6584484561762966E-2"/>
                  <c:y val="2.4169863382461493E-3"/>
                </c:manualLayout>
              </c:layout>
              <c:tx>
                <c:rich>
                  <a:bodyPr/>
                  <a:lstStyle/>
                  <a:p>
                    <a:r>
                      <a:rPr lang="en-US" sz="1100"/>
                      <a:t> 9.7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0"/>
              <c:layout>
                <c:manualLayout>
                  <c:x val="1.6548672152671407E-2"/>
                  <c:y val="0"/>
                </c:manualLayout>
              </c:layout>
              <c:tx>
                <c:rich>
                  <a:bodyPr/>
                  <a:lstStyle/>
                  <a:p>
                    <a:r>
                      <a:rPr lang="en-US" sz="1100"/>
                      <a:t> 8.5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1"/>
              <c:layout>
                <c:manualLayout>
                  <c:x val="1.4392414514360359E-2"/>
                  <c:y val="-2.4169863382461809E-3"/>
                </c:manualLayout>
              </c:layout>
              <c:tx>
                <c:rich>
                  <a:bodyPr/>
                  <a:lstStyle/>
                  <a:p>
                    <a:r>
                      <a:rPr lang="en-US" sz="1100"/>
                      <a:t> 5.3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2"/>
              <c:layout>
                <c:manualLayout>
                  <c:x val="1.1104100746233751E-2"/>
                  <c:y val="-3.1338669312049214E-17"/>
                </c:manualLayout>
              </c:layout>
              <c:tx>
                <c:rich>
                  <a:bodyPr/>
                  <a:lstStyle/>
                  <a:p>
                    <a:r>
                      <a:rPr lang="en-US" sz="1100"/>
                      <a:t> 5.2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3"/>
              <c:layout>
                <c:manualLayout>
                  <c:x val="1.7537073390408223E-2"/>
                  <c:y val="0"/>
                </c:manualLayout>
              </c:layout>
              <c:tx>
                <c:rich>
                  <a:bodyPr/>
                  <a:lstStyle/>
                  <a:p>
                    <a:r>
                      <a:rPr lang="en-US" sz="1100"/>
                      <a:t> 2.2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ARS'!$F$4:$F$28</c:f>
              <c:numCache>
                <c:formatCode>General</c:formatCode>
                <c:ptCount val="25"/>
                <c:pt idx="0">
                  <c:v>135601</c:v>
                </c:pt>
                <c:pt idx="1">
                  <c:v>64743</c:v>
                </c:pt>
                <c:pt idx="2">
                  <c:v>43499</c:v>
                </c:pt>
                <c:pt idx="3">
                  <c:v>43950</c:v>
                </c:pt>
                <c:pt idx="4">
                  <c:v>25500</c:v>
                </c:pt>
                <c:pt idx="5">
                  <c:v>21084</c:v>
                </c:pt>
                <c:pt idx="6">
                  <c:v>12475</c:v>
                </c:pt>
                <c:pt idx="7">
                  <c:v>8061</c:v>
                </c:pt>
                <c:pt idx="8">
                  <c:v>6826</c:v>
                </c:pt>
                <c:pt idx="9">
                  <c:v>6334</c:v>
                </c:pt>
                <c:pt idx="10">
                  <c:v>5308</c:v>
                </c:pt>
                <c:pt idx="11">
                  <c:v>4351</c:v>
                </c:pt>
                <c:pt idx="12">
                  <c:v>3565</c:v>
                </c:pt>
                <c:pt idx="13">
                  <c:v>3206</c:v>
                </c:pt>
                <c:pt idx="14">
                  <c:v>3043</c:v>
                </c:pt>
                <c:pt idx="15">
                  <c:v>2774</c:v>
                </c:pt>
                <c:pt idx="16">
                  <c:v>1471</c:v>
                </c:pt>
                <c:pt idx="17">
                  <c:v>2790</c:v>
                </c:pt>
                <c:pt idx="18">
                  <c:v>2621</c:v>
                </c:pt>
                <c:pt idx="19">
                  <c:v>1494</c:v>
                </c:pt>
                <c:pt idx="20">
                  <c:v>1072</c:v>
                </c:pt>
                <c:pt idx="21">
                  <c:v>1370</c:v>
                </c:pt>
                <c:pt idx="22">
                  <c:v>918</c:v>
                </c:pt>
                <c:pt idx="23">
                  <c:v>310</c:v>
                </c:pt>
                <c:pt idx="24">
                  <c:v>226</c:v>
                </c:pt>
              </c:numCache>
            </c:numRef>
          </c:val>
        </c:ser>
        <c:ser>
          <c:idx val="5"/>
          <c:order val="5"/>
          <c:tx>
            <c:strRef>
              <c:f>'[6]Afil. SFS x ARS'!$G$3</c:f>
              <c:strCache>
                <c:ptCount val="1"/>
                <c:pt idx="0">
                  <c:v>45-54</c:v>
                </c:pt>
              </c:strCache>
            </c:strRef>
          </c:tx>
          <c:spPr>
            <a:solidFill>
              <a:srgbClr val="92D050"/>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ARS'!$G$4:$G$28</c:f>
              <c:numCache>
                <c:formatCode>General</c:formatCode>
                <c:ptCount val="25"/>
                <c:pt idx="0">
                  <c:v>74500</c:v>
                </c:pt>
                <c:pt idx="1">
                  <c:v>66621</c:v>
                </c:pt>
                <c:pt idx="2">
                  <c:v>29347</c:v>
                </c:pt>
                <c:pt idx="3">
                  <c:v>25292</c:v>
                </c:pt>
                <c:pt idx="4">
                  <c:v>15477</c:v>
                </c:pt>
                <c:pt idx="5">
                  <c:v>26631</c:v>
                </c:pt>
                <c:pt idx="6">
                  <c:v>8415</c:v>
                </c:pt>
                <c:pt idx="7">
                  <c:v>6555</c:v>
                </c:pt>
                <c:pt idx="8">
                  <c:v>3634</c:v>
                </c:pt>
                <c:pt idx="9">
                  <c:v>4640</c:v>
                </c:pt>
                <c:pt idx="10">
                  <c:v>3279</c:v>
                </c:pt>
                <c:pt idx="11">
                  <c:v>2840</c:v>
                </c:pt>
                <c:pt idx="12">
                  <c:v>2654</c:v>
                </c:pt>
                <c:pt idx="13">
                  <c:v>1941</c:v>
                </c:pt>
                <c:pt idx="14">
                  <c:v>2381</c:v>
                </c:pt>
                <c:pt idx="15">
                  <c:v>1919</c:v>
                </c:pt>
                <c:pt idx="16">
                  <c:v>3307</c:v>
                </c:pt>
                <c:pt idx="17">
                  <c:v>2067</c:v>
                </c:pt>
                <c:pt idx="18">
                  <c:v>1707</c:v>
                </c:pt>
                <c:pt idx="19">
                  <c:v>1389</c:v>
                </c:pt>
                <c:pt idx="20">
                  <c:v>1302</c:v>
                </c:pt>
                <c:pt idx="21">
                  <c:v>916</c:v>
                </c:pt>
                <c:pt idx="22">
                  <c:v>715</c:v>
                </c:pt>
                <c:pt idx="23">
                  <c:v>516</c:v>
                </c:pt>
                <c:pt idx="24">
                  <c:v>152</c:v>
                </c:pt>
              </c:numCache>
            </c:numRef>
          </c:val>
        </c:ser>
        <c:ser>
          <c:idx val="6"/>
          <c:order val="6"/>
          <c:tx>
            <c:strRef>
              <c:f>'[6]Afil. SFS x ARS'!$H$3</c:f>
              <c:strCache>
                <c:ptCount val="1"/>
                <c:pt idx="0">
                  <c:v>55-64</c:v>
                </c:pt>
              </c:strCache>
            </c:strRef>
          </c:tx>
          <c:spPr>
            <a:solidFill>
              <a:srgbClr val="92D050"/>
            </a:solidFill>
          </c:spPr>
          <c:invertIfNegative val="0"/>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ARS'!$H$4:$H$28</c:f>
              <c:numCache>
                <c:formatCode>General</c:formatCode>
                <c:ptCount val="25"/>
                <c:pt idx="0">
                  <c:v>37710</c:v>
                </c:pt>
                <c:pt idx="1">
                  <c:v>43644</c:v>
                </c:pt>
                <c:pt idx="2">
                  <c:v>14927</c:v>
                </c:pt>
                <c:pt idx="3">
                  <c:v>12948</c:v>
                </c:pt>
                <c:pt idx="4">
                  <c:v>7587</c:v>
                </c:pt>
                <c:pt idx="5">
                  <c:v>11736</c:v>
                </c:pt>
                <c:pt idx="6">
                  <c:v>4665</c:v>
                </c:pt>
                <c:pt idx="7">
                  <c:v>3961</c:v>
                </c:pt>
                <c:pt idx="8">
                  <c:v>1816</c:v>
                </c:pt>
                <c:pt idx="9">
                  <c:v>2636</c:v>
                </c:pt>
                <c:pt idx="10">
                  <c:v>1608</c:v>
                </c:pt>
                <c:pt idx="11">
                  <c:v>1377</c:v>
                </c:pt>
                <c:pt idx="12">
                  <c:v>1771</c:v>
                </c:pt>
                <c:pt idx="13">
                  <c:v>961</c:v>
                </c:pt>
                <c:pt idx="14">
                  <c:v>1571</c:v>
                </c:pt>
                <c:pt idx="15">
                  <c:v>1035</c:v>
                </c:pt>
                <c:pt idx="16">
                  <c:v>2678</c:v>
                </c:pt>
                <c:pt idx="17">
                  <c:v>1171</c:v>
                </c:pt>
                <c:pt idx="18">
                  <c:v>927</c:v>
                </c:pt>
                <c:pt idx="19">
                  <c:v>874</c:v>
                </c:pt>
                <c:pt idx="20">
                  <c:v>831</c:v>
                </c:pt>
                <c:pt idx="21">
                  <c:v>294</c:v>
                </c:pt>
                <c:pt idx="22">
                  <c:v>290</c:v>
                </c:pt>
                <c:pt idx="23">
                  <c:v>339</c:v>
                </c:pt>
                <c:pt idx="24">
                  <c:v>78</c:v>
                </c:pt>
              </c:numCache>
            </c:numRef>
          </c:val>
        </c:ser>
        <c:ser>
          <c:idx val="7"/>
          <c:order val="7"/>
          <c:tx>
            <c:strRef>
              <c:f>'[6]Afil. SFS x ARS'!$I$3</c:f>
              <c:strCache>
                <c:ptCount val="1"/>
                <c:pt idx="0">
                  <c:v> 65 y más</c:v>
                </c:pt>
              </c:strCache>
            </c:strRef>
          </c:tx>
          <c:invertIfNegative val="0"/>
          <c:dLbls>
            <c:dLbl>
              <c:idx val="24"/>
              <c:layout>
                <c:manualLayout>
                  <c:x val="1.644100630350771E-2"/>
                  <c:y val="0"/>
                </c:manualLayout>
              </c:layout>
              <c:tx>
                <c:rich>
                  <a:bodyPr/>
                  <a:lstStyle/>
                  <a:p>
                    <a:r>
                      <a:rPr lang="en-US" sz="1100"/>
                      <a:t> 1.2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'[6]Afil. SFS x ARS'!$A$4:$A$28</c:f>
              <c:strCache>
                <c:ptCount val="25"/>
                <c:pt idx="0">
                  <c:v>ARS HUMANO</c:v>
                </c:pt>
                <c:pt idx="1">
                  <c:v>ARS SENASA</c:v>
                </c:pt>
                <c:pt idx="2">
                  <c:v>ARS PALIC-SALUD</c:v>
                </c:pt>
                <c:pt idx="3">
                  <c:v>ARS UNIVERSAL, S.A.</c:v>
                </c:pt>
                <c:pt idx="4">
                  <c:v>ARS SALUD SEGURA</c:v>
                </c:pt>
                <c:pt idx="5">
                  <c:v>ARS SEMMA</c:v>
                </c:pt>
                <c:pt idx="6">
                  <c:v>ARS SERVICIOS DOMINICANOS DE SALUD</c:v>
                </c:pt>
                <c:pt idx="7">
                  <c:v>ARS LA COLONIAL</c:v>
                </c:pt>
                <c:pt idx="8">
                  <c:v>ARS FUTURO S. A.</c:v>
                </c:pt>
                <c:pt idx="9">
                  <c:v>ARS SIMAG</c:v>
                </c:pt>
                <c:pt idx="10">
                  <c:v>ARS DR. YUNEN, S. A.</c:v>
                </c:pt>
                <c:pt idx="11">
                  <c:v>ARS RENACER</c:v>
                </c:pt>
                <c:pt idx="12">
                  <c:v>ARS RESERVAS</c:v>
                </c:pt>
                <c:pt idx="13">
                  <c:v>ARS ASEMAP</c:v>
                </c:pt>
                <c:pt idx="14">
                  <c:v>ARS APS</c:v>
                </c:pt>
                <c:pt idx="15">
                  <c:v>ARS MONUMENTAL</c:v>
                </c:pt>
                <c:pt idx="16">
                  <c:v>ARS CMD</c:v>
                </c:pt>
                <c:pt idx="17">
                  <c:v>ARS GRUPO MEDICO ASOCIADO</c:v>
                </c:pt>
                <c:pt idx="18">
                  <c:v>ARS CONSTITUCION</c:v>
                </c:pt>
                <c:pt idx="19">
                  <c:v>ARS METASALUD</c:v>
                </c:pt>
                <c:pt idx="20">
                  <c:v>ARS PLAN SALUD</c:v>
                </c:pt>
                <c:pt idx="21">
                  <c:v>ARS FFAA</c:v>
                </c:pt>
                <c:pt idx="22">
                  <c:v>ARS ISSPOL</c:v>
                </c:pt>
                <c:pt idx="23">
                  <c:v>ARS SEMUNASED</c:v>
                </c:pt>
                <c:pt idx="24">
                  <c:v>ARS BMI IGUALAS MEDICAS, S. A.</c:v>
                </c:pt>
              </c:strCache>
            </c:strRef>
          </c:cat>
          <c:val>
            <c:numRef>
              <c:f>'[6]Afil. SFS x ARS'!$I$4:$I$28</c:f>
              <c:numCache>
                <c:formatCode>General</c:formatCode>
                <c:ptCount val="25"/>
                <c:pt idx="0">
                  <c:v>21944</c:v>
                </c:pt>
                <c:pt idx="1">
                  <c:v>29974</c:v>
                </c:pt>
                <c:pt idx="2">
                  <c:v>9735</c:v>
                </c:pt>
                <c:pt idx="3">
                  <c:v>8170</c:v>
                </c:pt>
                <c:pt idx="4">
                  <c:v>2682</c:v>
                </c:pt>
                <c:pt idx="5">
                  <c:v>2560</c:v>
                </c:pt>
                <c:pt idx="6">
                  <c:v>3030</c:v>
                </c:pt>
                <c:pt idx="7">
                  <c:v>2599</c:v>
                </c:pt>
                <c:pt idx="8">
                  <c:v>905</c:v>
                </c:pt>
                <c:pt idx="9">
                  <c:v>1339</c:v>
                </c:pt>
                <c:pt idx="10">
                  <c:v>648</c:v>
                </c:pt>
                <c:pt idx="11">
                  <c:v>587</c:v>
                </c:pt>
                <c:pt idx="12">
                  <c:v>2009</c:v>
                </c:pt>
                <c:pt idx="13">
                  <c:v>419</c:v>
                </c:pt>
                <c:pt idx="14">
                  <c:v>1420</c:v>
                </c:pt>
                <c:pt idx="15">
                  <c:v>755</c:v>
                </c:pt>
                <c:pt idx="16">
                  <c:v>3117</c:v>
                </c:pt>
                <c:pt idx="17">
                  <c:v>574</c:v>
                </c:pt>
                <c:pt idx="18">
                  <c:v>497</c:v>
                </c:pt>
                <c:pt idx="19">
                  <c:v>510</c:v>
                </c:pt>
                <c:pt idx="20">
                  <c:v>1166</c:v>
                </c:pt>
                <c:pt idx="21">
                  <c:v>59</c:v>
                </c:pt>
                <c:pt idx="22">
                  <c:v>166</c:v>
                </c:pt>
                <c:pt idx="23">
                  <c:v>289</c:v>
                </c:pt>
                <c:pt idx="24">
                  <c:v>68</c:v>
                </c:pt>
              </c:numCache>
            </c:numRef>
          </c:val>
        </c:ser>
        <c:dLbls>
          <c:showLegendKey val="0"/>
          <c:showVal val="0"/>
          <c:showCatName val="0"/>
          <c:showSerName val="0"/>
          <c:showPercent val="0"/>
          <c:showBubbleSize val="0"/>
        </c:dLbls>
        <c:gapWidth val="29"/>
        <c:overlap val="100"/>
        <c:axId val="270217040"/>
        <c:axId val="270217432"/>
      </c:barChart>
      <c:catAx>
        <c:axId val="270217040"/>
        <c:scaling>
          <c:orientation val="minMax"/>
        </c:scaling>
        <c:delete val="0"/>
        <c:axPos val="l"/>
        <c:numFmt formatCode="General" sourceLinked="0"/>
        <c:majorTickMark val="out"/>
        <c:minorTickMark val="none"/>
        <c:tickLblPos val="nextTo"/>
        <c:txPr>
          <a:bodyPr/>
          <a:lstStyle/>
          <a:p>
            <a:pPr>
              <a:defRPr sz="800"/>
            </a:pPr>
            <a:endParaRPr lang="es-ES"/>
          </a:p>
        </c:txPr>
        <c:crossAx val="270217432"/>
        <c:crosses val="autoZero"/>
        <c:auto val="1"/>
        <c:lblAlgn val="ctr"/>
        <c:lblOffset val="100"/>
        <c:noMultiLvlLbl val="0"/>
      </c:catAx>
      <c:valAx>
        <c:axId val="270217432"/>
        <c:scaling>
          <c:orientation val="minMax"/>
        </c:scaling>
        <c:delete val="0"/>
        <c:axPos val="b"/>
        <c:numFmt formatCode="General" sourceLinked="1"/>
        <c:majorTickMark val="out"/>
        <c:minorTickMark val="none"/>
        <c:tickLblPos val="nextTo"/>
        <c:crossAx val="270217040"/>
        <c:crosses val="autoZero"/>
        <c:crossBetween val="between"/>
        <c:dispUnits>
          <c:builtInUnit val="thousands"/>
          <c:dispUnitsLbl>
            <c:layout>
              <c:manualLayout>
                <c:xMode val="edge"/>
                <c:yMode val="edge"/>
                <c:x val="0.52389530822379804"/>
                <c:y val="8.9355811292819165E-2"/>
              </c:manualLayout>
            </c:layout>
          </c:dispUnitsLbl>
        </c:dispUnits>
      </c:valAx>
    </c:plotArea>
    <c:legend>
      <c:legendPos val="t"/>
      <c:layout>
        <c:manualLayout>
          <c:xMode val="edge"/>
          <c:yMode val="edge"/>
          <c:x val="0.16666293794652817"/>
          <c:y val="2.6053704825358369E-2"/>
          <c:w val="0.75713351467156764"/>
          <c:h val="4.019207214482806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3.2155169968566834E-3"/>
          <c:y val="0.26326660944140112"/>
          <c:w val="0.9858038726199928"/>
          <c:h val="0.56213523563494583"/>
        </c:manualLayout>
      </c:layout>
      <c:bar3DChart>
        <c:barDir val="col"/>
        <c:grouping val="clustered"/>
        <c:varyColors val="0"/>
        <c:ser>
          <c:idx val="0"/>
          <c:order val="0"/>
          <c:tx>
            <c:strRef>
              <c:f>'[6]Afil. SFS x Región x Sector'!$B$2</c:f>
              <c:strCache>
                <c:ptCount val="1"/>
                <c:pt idx="0">
                  <c:v>Empresas Sector Privado</c:v>
                </c:pt>
              </c:strCache>
            </c:strRef>
          </c:tx>
          <c:invertIfNegative val="0"/>
          <c:dLbls>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Sector'!$A$3:$A$12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Sector'!$B$3:$B$12</c:f>
              <c:numCache>
                <c:formatCode>General</c:formatCode>
                <c:ptCount val="10"/>
                <c:pt idx="0">
                  <c:v>676048</c:v>
                </c:pt>
                <c:pt idx="1">
                  <c:v>97751</c:v>
                </c:pt>
                <c:pt idx="2">
                  <c:v>276766</c:v>
                </c:pt>
                <c:pt idx="3">
                  <c:v>57970</c:v>
                </c:pt>
                <c:pt idx="4">
                  <c:v>21012</c:v>
                </c:pt>
                <c:pt idx="5">
                  <c:v>165655</c:v>
                </c:pt>
                <c:pt idx="6">
                  <c:v>21103</c:v>
                </c:pt>
                <c:pt idx="7">
                  <c:v>35988</c:v>
                </c:pt>
                <c:pt idx="8">
                  <c:v>89090</c:v>
                </c:pt>
                <c:pt idx="9">
                  <c:v>350746</c:v>
                </c:pt>
              </c:numCache>
            </c:numRef>
          </c:val>
        </c:ser>
        <c:ser>
          <c:idx val="1"/>
          <c:order val="1"/>
          <c:tx>
            <c:strRef>
              <c:f>'[6]Afil. SFS x Región x Sector'!$C$2</c:f>
              <c:strCache>
                <c:ptCount val="1"/>
                <c:pt idx="0">
                  <c:v>Sector  Público Centralizado</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Sector'!$A$3:$A$12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Sector'!$C$3:$C$12</c:f>
              <c:numCache>
                <c:formatCode>General</c:formatCode>
                <c:ptCount val="10"/>
                <c:pt idx="0">
                  <c:v>189478</c:v>
                </c:pt>
                <c:pt idx="1">
                  <c:v>35867</c:v>
                </c:pt>
                <c:pt idx="2">
                  <c:v>41405</c:v>
                </c:pt>
                <c:pt idx="3">
                  <c:v>32977</c:v>
                </c:pt>
                <c:pt idx="4">
                  <c:v>22560</c:v>
                </c:pt>
                <c:pt idx="5">
                  <c:v>21447</c:v>
                </c:pt>
                <c:pt idx="6">
                  <c:v>17392</c:v>
                </c:pt>
                <c:pt idx="7">
                  <c:v>18214</c:v>
                </c:pt>
                <c:pt idx="8">
                  <c:v>31184</c:v>
                </c:pt>
                <c:pt idx="9">
                  <c:v>40084</c:v>
                </c:pt>
              </c:numCache>
            </c:numRef>
          </c:val>
        </c:ser>
        <c:ser>
          <c:idx val="2"/>
          <c:order val="2"/>
          <c:tx>
            <c:strRef>
              <c:f>'[6]Afil. SFS x Región x Sector'!$D$2</c:f>
              <c:strCache>
                <c:ptCount val="1"/>
                <c:pt idx="0">
                  <c:v>Sector  Público Descentralizado</c:v>
                </c:pt>
              </c:strCache>
            </c:strRef>
          </c:tx>
          <c:invertIfNegative val="0"/>
          <c:dLbls>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Sector'!$A$3:$A$12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Sector'!$D$3:$D$12</c:f>
              <c:numCache>
                <c:formatCode>General</c:formatCode>
                <c:ptCount val="10"/>
                <c:pt idx="0">
                  <c:v>122753</c:v>
                </c:pt>
                <c:pt idx="1">
                  <c:v>15290</c:v>
                </c:pt>
                <c:pt idx="2">
                  <c:v>29836</c:v>
                </c:pt>
                <c:pt idx="3">
                  <c:v>10478</c:v>
                </c:pt>
                <c:pt idx="4">
                  <c:v>6133</c:v>
                </c:pt>
                <c:pt idx="5">
                  <c:v>9619</c:v>
                </c:pt>
                <c:pt idx="6">
                  <c:v>4083</c:v>
                </c:pt>
                <c:pt idx="7">
                  <c:v>7729</c:v>
                </c:pt>
                <c:pt idx="8">
                  <c:v>8382</c:v>
                </c:pt>
                <c:pt idx="9">
                  <c:v>35299</c:v>
                </c:pt>
              </c:numCache>
            </c:numRef>
          </c:val>
        </c:ser>
        <c:ser>
          <c:idx val="3"/>
          <c:order val="3"/>
          <c:tx>
            <c:strRef>
              <c:f>'[6]Afil. SFS x Región x Sector'!$E$2</c:f>
              <c:strCache>
                <c:ptCount val="1"/>
                <c:pt idx="0">
                  <c:v>Aplicación Art. 124 Ley  87-01</c:v>
                </c:pt>
              </c:strCache>
            </c:strRef>
          </c:tx>
          <c:invertIfNegative val="0"/>
          <c:dLbls>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Sector'!$A$3:$A$12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Sector'!$E$3:$E$12</c:f>
              <c:numCache>
                <c:formatCode>General</c:formatCode>
                <c:ptCount val="10"/>
                <c:pt idx="0">
                  <c:v>8175</c:v>
                </c:pt>
                <c:pt idx="1">
                  <c:v>1215</c:v>
                </c:pt>
                <c:pt idx="2">
                  <c:v>5230</c:v>
                </c:pt>
                <c:pt idx="3">
                  <c:v>964</c:v>
                </c:pt>
                <c:pt idx="4">
                  <c:v>293</c:v>
                </c:pt>
                <c:pt idx="5">
                  <c:v>1967</c:v>
                </c:pt>
                <c:pt idx="6">
                  <c:v>321</c:v>
                </c:pt>
                <c:pt idx="7">
                  <c:v>665</c:v>
                </c:pt>
                <c:pt idx="8">
                  <c:v>1004</c:v>
                </c:pt>
                <c:pt idx="9">
                  <c:v>5250</c:v>
                </c:pt>
              </c:numCache>
            </c:numRef>
          </c:val>
        </c:ser>
        <c:dLbls>
          <c:showLegendKey val="0"/>
          <c:showVal val="0"/>
          <c:showCatName val="0"/>
          <c:showSerName val="0"/>
          <c:showPercent val="0"/>
          <c:showBubbleSize val="0"/>
        </c:dLbls>
        <c:gapWidth val="75"/>
        <c:shape val="box"/>
        <c:axId val="270218216"/>
        <c:axId val="270218608"/>
        <c:axId val="0"/>
      </c:bar3DChart>
      <c:catAx>
        <c:axId val="270218216"/>
        <c:scaling>
          <c:orientation val="minMax"/>
        </c:scaling>
        <c:delete val="0"/>
        <c:axPos val="b"/>
        <c:numFmt formatCode="General" sourceLinked="0"/>
        <c:majorTickMark val="none"/>
        <c:minorTickMark val="none"/>
        <c:tickLblPos val="nextTo"/>
        <c:txPr>
          <a:bodyPr/>
          <a:lstStyle/>
          <a:p>
            <a:pPr>
              <a:defRPr sz="1400"/>
            </a:pPr>
            <a:endParaRPr lang="es-ES"/>
          </a:p>
        </c:txPr>
        <c:crossAx val="270218608"/>
        <c:crosses val="autoZero"/>
        <c:auto val="1"/>
        <c:lblAlgn val="ctr"/>
        <c:lblOffset val="100"/>
        <c:noMultiLvlLbl val="0"/>
      </c:catAx>
      <c:valAx>
        <c:axId val="270218608"/>
        <c:scaling>
          <c:orientation val="minMax"/>
        </c:scaling>
        <c:delete val="1"/>
        <c:axPos val="l"/>
        <c:numFmt formatCode="General" sourceLinked="1"/>
        <c:majorTickMark val="none"/>
        <c:minorTickMark val="none"/>
        <c:tickLblPos val="nextTo"/>
        <c:crossAx val="270218216"/>
        <c:crosses val="autoZero"/>
        <c:crossBetween val="between"/>
      </c:valAx>
    </c:plotArea>
    <c:legend>
      <c:legendPos val="t"/>
      <c:layout>
        <c:manualLayout>
          <c:xMode val="edge"/>
          <c:yMode val="edge"/>
          <c:x val="0.1623617762065456"/>
          <c:y val="9.3375647664786385E-2"/>
          <c:w val="0.67980238865000098"/>
          <c:h val="6.664446828714837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632659765113"/>
          <c:y val="0.15461274984479639"/>
          <c:w val="0.82277659517936841"/>
          <c:h val="0.79375701211403704"/>
        </c:manualLayout>
      </c:layout>
      <c:barChart>
        <c:barDir val="bar"/>
        <c:grouping val="stacked"/>
        <c:varyColors val="0"/>
        <c:ser>
          <c:idx val="0"/>
          <c:order val="0"/>
          <c:tx>
            <c:strRef>
              <c:f>'[6]Afil. SFS x Región x Edad'!$B$2</c:f>
              <c:strCache>
                <c:ptCount val="1"/>
                <c:pt idx="0">
                  <c:v>0-4 años</c:v>
                </c:pt>
              </c:strCache>
            </c:strRef>
          </c:tx>
          <c:spPr>
            <a:solidFill>
              <a:schemeClr val="accent1">
                <a:lumMod val="75000"/>
              </a:schemeClr>
            </a:solidFill>
          </c:spPr>
          <c:invertIfNegative val="0"/>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Edad'!$B$3:$B$12</c:f>
              <c:numCache>
                <c:formatCode>General</c:formatCode>
                <c:ptCount val="10"/>
                <c:pt idx="0">
                  <c:v>98755</c:v>
                </c:pt>
                <c:pt idx="1">
                  <c:v>14965</c:v>
                </c:pt>
                <c:pt idx="2">
                  <c:v>37224</c:v>
                </c:pt>
                <c:pt idx="3">
                  <c:v>10212</c:v>
                </c:pt>
                <c:pt idx="4">
                  <c:v>4655</c:v>
                </c:pt>
                <c:pt idx="5">
                  <c:v>22701</c:v>
                </c:pt>
                <c:pt idx="6">
                  <c:v>4017</c:v>
                </c:pt>
                <c:pt idx="7">
                  <c:v>5787</c:v>
                </c:pt>
                <c:pt idx="8">
                  <c:v>13781</c:v>
                </c:pt>
                <c:pt idx="9">
                  <c:v>9940</c:v>
                </c:pt>
              </c:numCache>
            </c:numRef>
          </c:val>
        </c:ser>
        <c:ser>
          <c:idx val="1"/>
          <c:order val="1"/>
          <c:tx>
            <c:strRef>
              <c:f>'[6]Afil. SFS x Región x Edad'!$C$2</c:f>
              <c:strCache>
                <c:ptCount val="1"/>
                <c:pt idx="0">
                  <c:v>5-14 </c:v>
                </c:pt>
              </c:strCache>
            </c:strRef>
          </c:tx>
          <c:spPr>
            <a:solidFill>
              <a:schemeClr val="accent1">
                <a:lumMod val="75000"/>
              </a:schemeClr>
            </a:solidFill>
          </c:spPr>
          <c:invertIfNegative val="0"/>
          <c:dLbls>
            <c:dLbl>
              <c:idx val="0"/>
              <c:layout>
                <c:manualLayout>
                  <c:x val="-3.8612646541526303E-2"/>
                  <c:y val="2.5224770116620129E-3"/>
                </c:manualLayout>
              </c:layout>
              <c:tx>
                <c:rich>
                  <a:bodyPr/>
                  <a:lstStyle/>
                  <a:p>
                    <a:r>
                      <a:rPr lang="en-US" sz="1200"/>
                      <a:t>305.7</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7.372986621056437E-3"/>
                  <c:y val="2.67295660360243E-3"/>
                </c:manualLayout>
              </c:layout>
              <c:tx>
                <c:rich>
                  <a:bodyPr/>
                  <a:lstStyle/>
                  <a:p>
                    <a:r>
                      <a:rPr lang="en-US" sz="1200"/>
                      <a:t>51.3</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5653775624943096E-2"/>
                  <c:y val="-5.0435640100136561E-3"/>
                </c:manualLayout>
              </c:layout>
              <c:tx>
                <c:rich>
                  <a:bodyPr/>
                  <a:lstStyle/>
                  <a:p>
                    <a:r>
                      <a:rPr lang="en-US" sz="1200"/>
                      <a:t> 120.4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3197028180483651E-3"/>
                  <c:y val="4.2093804781140628E-7"/>
                </c:manualLayout>
              </c:layout>
              <c:tx>
                <c:rich>
                  <a:bodyPr/>
                  <a:lstStyle/>
                  <a:p>
                    <a:r>
                      <a:rPr lang="en-US" sz="1200"/>
                      <a:t> 34.2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1065676060161151E-3"/>
                  <c:y val="4.2093804781140628E-7"/>
                </c:manualLayout>
              </c:layout>
              <c:tx>
                <c:rich>
                  <a:bodyPr/>
                  <a:lstStyle/>
                  <a:p>
                    <a:r>
                      <a:rPr lang="en-US" sz="1200"/>
                      <a:t> 17.7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4.1743401666514924E-3"/>
                  <c:y val="0"/>
                </c:manualLayout>
              </c:layout>
              <c:tx>
                <c:rich>
                  <a:bodyPr/>
                  <a:lstStyle/>
                  <a:p>
                    <a:r>
                      <a:rPr lang="en-US" sz="1200"/>
                      <a:t> 68.3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sz="1200"/>
                      <a:t>14.1</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sz="1200"/>
                      <a:t> 20.1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9.4951385778680123E-3"/>
                  <c:y val="1.6284459544842841E-7"/>
                </c:manualLayout>
              </c:layout>
              <c:tx>
                <c:rich>
                  <a:bodyPr/>
                  <a:lstStyle/>
                  <a:p>
                    <a:r>
                      <a:rPr lang="en-US" sz="1200"/>
                      <a:t> 45.1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4.1743401666514924E-3"/>
                  <c:y val="0"/>
                </c:manualLayout>
              </c:layout>
              <c:tx>
                <c:rich>
                  <a:bodyPr/>
                  <a:lstStyle/>
                  <a:p>
                    <a:r>
                      <a:rPr lang="en-US" sz="1200"/>
                      <a:t> 36.5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Edad'!$C$3:$C$12</c:f>
              <c:numCache>
                <c:formatCode>General</c:formatCode>
                <c:ptCount val="10"/>
                <c:pt idx="0">
                  <c:v>206998</c:v>
                </c:pt>
                <c:pt idx="1">
                  <c:v>36323</c:v>
                </c:pt>
                <c:pt idx="2">
                  <c:v>83158</c:v>
                </c:pt>
                <c:pt idx="3">
                  <c:v>23943</c:v>
                </c:pt>
                <c:pt idx="4">
                  <c:v>13042</c:v>
                </c:pt>
                <c:pt idx="5">
                  <c:v>45638</c:v>
                </c:pt>
                <c:pt idx="6">
                  <c:v>10062</c:v>
                </c:pt>
                <c:pt idx="7">
                  <c:v>14351</c:v>
                </c:pt>
                <c:pt idx="8">
                  <c:v>31288</c:v>
                </c:pt>
                <c:pt idx="9">
                  <c:v>26568</c:v>
                </c:pt>
              </c:numCache>
            </c:numRef>
          </c:val>
        </c:ser>
        <c:ser>
          <c:idx val="2"/>
          <c:order val="2"/>
          <c:tx>
            <c:strRef>
              <c:f>'[6]Afil. SFS x Región x Edad'!$D$2</c:f>
              <c:strCache>
                <c:ptCount val="1"/>
                <c:pt idx="0">
                  <c:v>15-24</c:v>
                </c:pt>
              </c:strCache>
            </c:strRef>
          </c:tx>
          <c:spPr>
            <a:solidFill>
              <a:srgbClr val="92D050"/>
            </a:solidFill>
          </c:spPr>
          <c:invertIfNegative val="0"/>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Edad'!$D$3:$D$12</c:f>
              <c:numCache>
                <c:formatCode>General</c:formatCode>
                <c:ptCount val="10"/>
                <c:pt idx="0">
                  <c:v>141404</c:v>
                </c:pt>
                <c:pt idx="1">
                  <c:v>22792</c:v>
                </c:pt>
                <c:pt idx="2">
                  <c:v>48703</c:v>
                </c:pt>
                <c:pt idx="3">
                  <c:v>14227</c:v>
                </c:pt>
                <c:pt idx="4">
                  <c:v>7326</c:v>
                </c:pt>
                <c:pt idx="5">
                  <c:v>27314</c:v>
                </c:pt>
                <c:pt idx="6">
                  <c:v>6721</c:v>
                </c:pt>
                <c:pt idx="7">
                  <c:v>8740</c:v>
                </c:pt>
                <c:pt idx="8">
                  <c:v>18467</c:v>
                </c:pt>
                <c:pt idx="9">
                  <c:v>88538</c:v>
                </c:pt>
              </c:numCache>
            </c:numRef>
          </c:val>
        </c:ser>
        <c:ser>
          <c:idx val="3"/>
          <c:order val="3"/>
          <c:tx>
            <c:strRef>
              <c:f>'[6]Afil. SFS x Región x Edad'!$E$2</c:f>
              <c:strCache>
                <c:ptCount val="1"/>
                <c:pt idx="0">
                  <c:v>25-34</c:v>
                </c:pt>
              </c:strCache>
            </c:strRef>
          </c:tx>
          <c:spPr>
            <a:solidFill>
              <a:srgbClr val="92D050"/>
            </a:solidFill>
          </c:spPr>
          <c:invertIfNegative val="0"/>
          <c:dLbls>
            <c:dLbl>
              <c:idx val="0"/>
              <c:layout>
                <c:manualLayout>
                  <c:x val="6.9920197791412494E-2"/>
                  <c:y val="-2.5212855716816958E-3"/>
                </c:manualLayout>
              </c:layout>
              <c:tx>
                <c:rich>
                  <a:bodyPr/>
                  <a:lstStyle/>
                  <a:p>
                    <a:r>
                      <a:rPr lang="en-US" sz="1200"/>
                      <a:t> 651.1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9.3922653749658573E-3"/>
                  <c:y val="1.9857333005290191E-7"/>
                </c:manualLayout>
              </c:layout>
              <c:tx>
                <c:rich>
                  <a:bodyPr/>
                  <a:lstStyle/>
                  <a:p>
                    <a:r>
                      <a:rPr lang="en-US" sz="1200"/>
                      <a:t> 94.1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2.2958870916583208E-2"/>
                  <c:y val="-2.5218812916719007E-3"/>
                </c:manualLayout>
              </c:layout>
              <c:tx>
                <c:rich>
                  <a:bodyPr/>
                  <a:lstStyle/>
                  <a:p>
                    <a:r>
                      <a:rPr lang="en-US" sz="1200"/>
                      <a:t> 220.6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2615102499772382E-3"/>
                  <c:y val="0"/>
                </c:manualLayout>
              </c:layout>
              <c:tx>
                <c:rich>
                  <a:bodyPr/>
                  <a:lstStyle/>
                  <a:p>
                    <a:r>
                      <a:rPr lang="en-US" sz="1200"/>
                      <a:t> 63.7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871700833257462E-3"/>
                  <c:y val="0"/>
                </c:manualLayout>
              </c:layout>
              <c:tx>
                <c:rich>
                  <a:bodyPr/>
                  <a:lstStyle/>
                  <a:p>
                    <a:r>
                      <a:rPr lang="en-US" sz="1200"/>
                      <a:t> 30.4</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8.3486803333030039E-3"/>
                  <c:y val="0"/>
                </c:manualLayout>
              </c:layout>
              <c:tx>
                <c:rich>
                  <a:bodyPr/>
                  <a:lstStyle/>
                  <a:p>
                    <a:r>
                      <a:rPr lang="en-US" sz="1200"/>
                      <a:t> 125.4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3.1307551249886191E-3"/>
                  <c:y val="-9.2467912497418892E-17"/>
                </c:manualLayout>
              </c:layout>
              <c:tx>
                <c:rich>
                  <a:bodyPr/>
                  <a:lstStyle/>
                  <a:p>
                    <a:r>
                      <a:rPr lang="en-US" sz="1200"/>
                      <a:t>27.0</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4.1743401666514924E-3"/>
                  <c:y val="0"/>
                </c:manualLayout>
              </c:layout>
              <c:tx>
                <c:rich>
                  <a:bodyPr/>
                  <a:lstStyle/>
                  <a:p>
                    <a:r>
                      <a:rPr lang="en-US" sz="1200"/>
                      <a:t>39.3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5.2179252083143649E-3"/>
                  <c:y val="0"/>
                </c:manualLayout>
              </c:layout>
              <c:tx>
                <c:rich>
                  <a:bodyPr/>
                  <a:lstStyle/>
                  <a:p>
                    <a:r>
                      <a:rPr lang="en-US" sz="1200"/>
                      <a:t> 78.9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4.1743401666514924E-3"/>
                  <c:y val="3.9714666010580383E-7"/>
                </c:manualLayout>
              </c:layout>
              <c:tx>
                <c:rich>
                  <a:bodyPr/>
                  <a:lstStyle/>
                  <a:p>
                    <a:r>
                      <a:rPr lang="en-US" sz="1200"/>
                      <a:t> 377.3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Edad'!$E$3:$E$12</c:f>
              <c:numCache>
                <c:formatCode>General</c:formatCode>
                <c:ptCount val="10"/>
                <c:pt idx="0">
                  <c:v>166943</c:v>
                </c:pt>
                <c:pt idx="1">
                  <c:v>23821</c:v>
                </c:pt>
                <c:pt idx="2">
                  <c:v>60570</c:v>
                </c:pt>
                <c:pt idx="3">
                  <c:v>15223</c:v>
                </c:pt>
                <c:pt idx="4">
                  <c:v>6485</c:v>
                </c:pt>
                <c:pt idx="5">
                  <c:v>35558</c:v>
                </c:pt>
                <c:pt idx="6">
                  <c:v>6485</c:v>
                </c:pt>
                <c:pt idx="7">
                  <c:v>9138</c:v>
                </c:pt>
                <c:pt idx="8">
                  <c:v>20889</c:v>
                </c:pt>
                <c:pt idx="9">
                  <c:v>131222</c:v>
                </c:pt>
              </c:numCache>
            </c:numRef>
          </c:val>
        </c:ser>
        <c:ser>
          <c:idx val="4"/>
          <c:order val="4"/>
          <c:tx>
            <c:strRef>
              <c:f>'[6]Afil. SFS x Región x Edad'!$F$2</c:f>
              <c:strCache>
                <c:ptCount val="1"/>
                <c:pt idx="0">
                  <c:v>35-44</c:v>
                </c:pt>
              </c:strCache>
            </c:strRef>
          </c:tx>
          <c:spPr>
            <a:solidFill>
              <a:srgbClr val="92D050"/>
            </a:solidFill>
          </c:spPr>
          <c:invertIfNegative val="0"/>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Edad'!$F$3:$F$12</c:f>
              <c:numCache>
                <c:formatCode>General</c:formatCode>
                <c:ptCount val="10"/>
                <c:pt idx="0">
                  <c:v>154533</c:v>
                </c:pt>
                <c:pt idx="1">
                  <c:v>21929</c:v>
                </c:pt>
                <c:pt idx="2">
                  <c:v>55062</c:v>
                </c:pt>
                <c:pt idx="3">
                  <c:v>14698</c:v>
                </c:pt>
                <c:pt idx="4">
                  <c:v>7168</c:v>
                </c:pt>
                <c:pt idx="5">
                  <c:v>31852</c:v>
                </c:pt>
                <c:pt idx="6">
                  <c:v>5828</c:v>
                </c:pt>
                <c:pt idx="7">
                  <c:v>9323</c:v>
                </c:pt>
                <c:pt idx="8">
                  <c:v>19398</c:v>
                </c:pt>
                <c:pt idx="9">
                  <c:v>82802</c:v>
                </c:pt>
              </c:numCache>
            </c:numRef>
          </c:val>
        </c:ser>
        <c:ser>
          <c:idx val="5"/>
          <c:order val="5"/>
          <c:tx>
            <c:strRef>
              <c:f>'[6]Afil. SFS x Región x Edad'!$G$2</c:f>
              <c:strCache>
                <c:ptCount val="1"/>
                <c:pt idx="0">
                  <c:v>45-54</c:v>
                </c:pt>
              </c:strCache>
            </c:strRef>
          </c:tx>
          <c:spPr>
            <a:solidFill>
              <a:srgbClr val="92D050"/>
            </a:solidFill>
          </c:spPr>
          <c:invertIfNegative val="0"/>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Edad'!$G$3:$G$12</c:f>
              <c:numCache>
                <c:formatCode>General</c:formatCode>
                <c:ptCount val="10"/>
                <c:pt idx="0">
                  <c:v>118995</c:v>
                </c:pt>
                <c:pt idx="1">
                  <c:v>16935</c:v>
                </c:pt>
                <c:pt idx="2">
                  <c:v>36927</c:v>
                </c:pt>
                <c:pt idx="3">
                  <c:v>12423</c:v>
                </c:pt>
                <c:pt idx="4">
                  <c:v>6189</c:v>
                </c:pt>
                <c:pt idx="5">
                  <c:v>20721</c:v>
                </c:pt>
                <c:pt idx="6">
                  <c:v>4943</c:v>
                </c:pt>
                <c:pt idx="7">
                  <c:v>7718</c:v>
                </c:pt>
                <c:pt idx="8">
                  <c:v>13960</c:v>
                </c:pt>
                <c:pt idx="9">
                  <c:v>49388</c:v>
                </c:pt>
              </c:numCache>
            </c:numRef>
          </c:val>
        </c:ser>
        <c:ser>
          <c:idx val="6"/>
          <c:order val="6"/>
          <c:tx>
            <c:strRef>
              <c:f>'[6]Afil. SFS x Región x Edad'!$H$2</c:f>
              <c:strCache>
                <c:ptCount val="1"/>
                <c:pt idx="0">
                  <c:v>55-64</c:v>
                </c:pt>
              </c:strCache>
            </c:strRef>
          </c:tx>
          <c:spPr>
            <a:solidFill>
              <a:srgbClr val="92D050"/>
            </a:solidFill>
          </c:spPr>
          <c:invertIfNegative val="0"/>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Edad'!$H$3:$H$12</c:f>
              <c:numCache>
                <c:formatCode>General</c:formatCode>
                <c:ptCount val="10"/>
                <c:pt idx="0">
                  <c:v>69210</c:v>
                </c:pt>
                <c:pt idx="1">
                  <c:v>8577</c:v>
                </c:pt>
                <c:pt idx="2">
                  <c:v>19373</c:v>
                </c:pt>
                <c:pt idx="3">
                  <c:v>7103</c:v>
                </c:pt>
                <c:pt idx="4">
                  <c:v>3307</c:v>
                </c:pt>
                <c:pt idx="5">
                  <c:v>9921</c:v>
                </c:pt>
                <c:pt idx="6">
                  <c:v>2993</c:v>
                </c:pt>
                <c:pt idx="7">
                  <c:v>4419</c:v>
                </c:pt>
                <c:pt idx="8">
                  <c:v>7169</c:v>
                </c:pt>
                <c:pt idx="9">
                  <c:v>25363</c:v>
                </c:pt>
              </c:numCache>
            </c:numRef>
          </c:val>
        </c:ser>
        <c:ser>
          <c:idx val="7"/>
          <c:order val="7"/>
          <c:tx>
            <c:strRef>
              <c:f>'[6]Afil. SFS x Región x Edad'!$I$2</c:f>
              <c:strCache>
                <c:ptCount val="1"/>
                <c:pt idx="0">
                  <c:v>65 ó más</c:v>
                </c:pt>
              </c:strCache>
            </c:strRef>
          </c:tx>
          <c:invertIfNegative val="0"/>
          <c:dLbls>
            <c:dLbl>
              <c:idx val="0"/>
              <c:layout>
                <c:manualLayout>
                  <c:x val="3.1307551249886191E-3"/>
                  <c:y val="-2.521881291671854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43401666514924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179252083143649E-3"/>
                  <c:y val="1.9857333005290191E-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43401666514924E-3"/>
                  <c:y val="1.9857333005290191E-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07551249886191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1743401666514924E-3"/>
                  <c:y val="9.2467912497418892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0871700833257462E-3"/>
                  <c:y val="3.9714666010580383E-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Región x Edad'!$A$3:$A$12</c:f>
              <c:strCache>
                <c:ptCount val="10"/>
                <c:pt idx="0">
                  <c:v>Región 0</c:v>
                </c:pt>
                <c:pt idx="1">
                  <c:v>Región I</c:v>
                </c:pt>
                <c:pt idx="2">
                  <c:v>Región II</c:v>
                </c:pt>
                <c:pt idx="3">
                  <c:v>Región III</c:v>
                </c:pt>
                <c:pt idx="4">
                  <c:v>Región IV</c:v>
                </c:pt>
                <c:pt idx="5">
                  <c:v>Región V</c:v>
                </c:pt>
                <c:pt idx="6">
                  <c:v>Región VI</c:v>
                </c:pt>
                <c:pt idx="7">
                  <c:v>Región VII</c:v>
                </c:pt>
                <c:pt idx="8">
                  <c:v>Región VIII</c:v>
                </c:pt>
                <c:pt idx="9">
                  <c:v>No Especificada</c:v>
                </c:pt>
              </c:strCache>
            </c:strRef>
          </c:cat>
          <c:val>
            <c:numRef>
              <c:f>'[6]Afil. SFS x Región x Edad'!$I$3:$I$12</c:f>
              <c:numCache>
                <c:formatCode>General</c:formatCode>
                <c:ptCount val="10"/>
                <c:pt idx="0">
                  <c:v>39616</c:v>
                </c:pt>
                <c:pt idx="1">
                  <c:v>4781</c:v>
                </c:pt>
                <c:pt idx="2">
                  <c:v>12220</c:v>
                </c:pt>
                <c:pt idx="3">
                  <c:v>4560</c:v>
                </c:pt>
                <c:pt idx="4">
                  <c:v>1826</c:v>
                </c:pt>
                <c:pt idx="5">
                  <c:v>4983</c:v>
                </c:pt>
                <c:pt idx="6">
                  <c:v>1850</c:v>
                </c:pt>
                <c:pt idx="7">
                  <c:v>3120</c:v>
                </c:pt>
                <c:pt idx="8">
                  <c:v>4708</c:v>
                </c:pt>
                <c:pt idx="9">
                  <c:v>17558</c:v>
                </c:pt>
              </c:numCache>
            </c:numRef>
          </c:val>
        </c:ser>
        <c:dLbls>
          <c:showLegendKey val="0"/>
          <c:showVal val="0"/>
          <c:showCatName val="0"/>
          <c:showSerName val="0"/>
          <c:showPercent val="0"/>
          <c:showBubbleSize val="0"/>
        </c:dLbls>
        <c:gapWidth val="10"/>
        <c:overlap val="100"/>
        <c:axId val="269871288"/>
        <c:axId val="269871680"/>
      </c:barChart>
      <c:catAx>
        <c:axId val="269871288"/>
        <c:scaling>
          <c:orientation val="maxMin"/>
        </c:scaling>
        <c:delete val="0"/>
        <c:axPos val="l"/>
        <c:numFmt formatCode="General" sourceLinked="1"/>
        <c:majorTickMark val="none"/>
        <c:minorTickMark val="none"/>
        <c:tickLblPos val="nextTo"/>
        <c:txPr>
          <a:bodyPr/>
          <a:lstStyle/>
          <a:p>
            <a:pPr>
              <a:defRPr sz="1400"/>
            </a:pPr>
            <a:endParaRPr lang="es-ES"/>
          </a:p>
        </c:txPr>
        <c:crossAx val="269871680"/>
        <c:crosses val="autoZero"/>
        <c:auto val="1"/>
        <c:lblAlgn val="ctr"/>
        <c:lblOffset val="100"/>
        <c:noMultiLvlLbl val="0"/>
      </c:catAx>
      <c:valAx>
        <c:axId val="269871680"/>
        <c:scaling>
          <c:orientation val="minMax"/>
        </c:scaling>
        <c:delete val="0"/>
        <c:axPos val="t"/>
        <c:numFmt formatCode="General" sourceLinked="1"/>
        <c:majorTickMark val="none"/>
        <c:minorTickMark val="none"/>
        <c:tickLblPos val="nextTo"/>
        <c:txPr>
          <a:bodyPr/>
          <a:lstStyle/>
          <a:p>
            <a:pPr>
              <a:defRPr sz="1400"/>
            </a:pPr>
            <a:endParaRPr lang="es-ES"/>
          </a:p>
        </c:txPr>
        <c:crossAx val="269871288"/>
        <c:crosses val="autoZero"/>
        <c:crossBetween val="between"/>
        <c:dispUnits>
          <c:builtInUnit val="thousands"/>
          <c:dispUnitsLbl>
            <c:layout>
              <c:manualLayout>
                <c:xMode val="edge"/>
                <c:yMode val="edge"/>
                <c:x val="0.46224317596907549"/>
                <c:y val="1.4596744674459197E-2"/>
              </c:manualLayout>
            </c:layout>
          </c:dispUnitsLbl>
        </c:dispUnits>
      </c:valAx>
    </c:plotArea>
    <c:legend>
      <c:legendPos val="t"/>
      <c:layout>
        <c:manualLayout>
          <c:xMode val="edge"/>
          <c:yMode val="edge"/>
          <c:x val="1.7680999852790934E-2"/>
          <c:y val="3.0870531332430437E-2"/>
          <c:w val="0.8809929276601034"/>
          <c:h val="4.833484274701644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Afiliación Definitiva al SFS del  RC por Provincia y Rango de Edad                                                                                                                                                                                             </a:t>
            </a:r>
          </a:p>
        </c:rich>
      </c:tx>
      <c:layout>
        <c:manualLayout>
          <c:xMode val="edge"/>
          <c:yMode val="edge"/>
          <c:x val="0.32004597701149423"/>
          <c:y val="4.382740526059376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3.4722928787472365E-2"/>
          <c:y val="0.12927220250127774"/>
          <c:w val="0.92711601049868764"/>
          <c:h val="0.55380920310004611"/>
        </c:manualLayout>
      </c:layout>
      <c:bar3DChart>
        <c:barDir val="col"/>
        <c:grouping val="clustered"/>
        <c:varyColors val="0"/>
        <c:ser>
          <c:idx val="0"/>
          <c:order val="0"/>
          <c:tx>
            <c:strRef>
              <c:f>'[6]Afil. SFS x Prov y Edad'!$J$2</c:f>
              <c:strCache>
                <c:ptCount val="1"/>
                <c:pt idx="0">
                  <c:v>Total / Provincia</c:v>
                </c:pt>
              </c:strCache>
            </c:strRef>
          </c:tx>
          <c:invertIfNegative val="0"/>
          <c:dLbls>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y Edad'!$A$3:$A$35</c:f>
              <c:strCache>
                <c:ptCount val="33"/>
                <c:pt idx="0">
                  <c:v>Distrito Nacional</c:v>
                </c:pt>
                <c:pt idx="1">
                  <c:v>L a Altagracia</c:v>
                </c:pt>
                <c:pt idx="2">
                  <c:v>Azua</c:v>
                </c:pt>
                <c:pt idx="3">
                  <c:v>Bahoruco</c:v>
                </c:pt>
                <c:pt idx="4">
                  <c:v>Barahona</c:v>
                </c:pt>
                <c:pt idx="5">
                  <c:v>Dajabón</c:v>
                </c:pt>
                <c:pt idx="6">
                  <c:v>Duarte </c:v>
                </c:pt>
                <c:pt idx="7">
                  <c:v>El Seybo</c:v>
                </c:pt>
                <c:pt idx="8">
                  <c:v>Elías Piña</c:v>
                </c:pt>
                <c:pt idx="9">
                  <c:v>Espaillat</c:v>
                </c:pt>
                <c:pt idx="10">
                  <c:v>Hato mayor del Rey</c:v>
                </c:pt>
                <c:pt idx="11">
                  <c:v>Independencia</c:v>
                </c:pt>
                <c:pt idx="12">
                  <c:v>La Romana</c:v>
                </c:pt>
                <c:pt idx="13">
                  <c:v>La vega</c:v>
                </c:pt>
                <c:pt idx="14">
                  <c:v>María Trinidad Sánchez</c:v>
                </c:pt>
                <c:pt idx="15">
                  <c:v>Monseñor Nouel</c:v>
                </c:pt>
                <c:pt idx="16">
                  <c:v>Montecristi</c:v>
                </c:pt>
                <c:pt idx="17">
                  <c:v>Monte Plata</c:v>
                </c:pt>
                <c:pt idx="18">
                  <c:v>Pedernales </c:v>
                </c:pt>
                <c:pt idx="19">
                  <c:v>Peravia</c:v>
                </c:pt>
                <c:pt idx="20">
                  <c:v>Puerto Plata </c:v>
                </c:pt>
                <c:pt idx="21">
                  <c:v>Hermanas Mirabal</c:v>
                </c:pt>
                <c:pt idx="22">
                  <c:v>Samaná</c:v>
                </c:pt>
                <c:pt idx="23">
                  <c:v>San Cristóbal</c:v>
                </c:pt>
                <c:pt idx="24">
                  <c:v>San Juan de la Maguana</c:v>
                </c:pt>
                <c:pt idx="25">
                  <c:v>San Pedro de Macorís</c:v>
                </c:pt>
                <c:pt idx="26">
                  <c:v>Sánchez Ramírez</c:v>
                </c:pt>
                <c:pt idx="27">
                  <c:v>Santiago de los Caballeros</c:v>
                </c:pt>
                <c:pt idx="28">
                  <c:v>Santiago Rodríguez</c:v>
                </c:pt>
                <c:pt idx="29">
                  <c:v>Valverde</c:v>
                </c:pt>
                <c:pt idx="30">
                  <c:v>San José de Ocoa</c:v>
                </c:pt>
                <c:pt idx="31">
                  <c:v>Santo Domingo</c:v>
                </c:pt>
                <c:pt idx="32">
                  <c:v>No Especificada</c:v>
                </c:pt>
              </c:strCache>
            </c:strRef>
          </c:cat>
          <c:val>
            <c:numRef>
              <c:f>'[6]Afil. SFS x Prov y Edad'!$J$3:$J$35</c:f>
              <c:numCache>
                <c:formatCode>General</c:formatCode>
                <c:ptCount val="33"/>
                <c:pt idx="0">
                  <c:v>790302</c:v>
                </c:pt>
                <c:pt idx="1">
                  <c:v>44891</c:v>
                </c:pt>
                <c:pt idx="2">
                  <c:v>25119</c:v>
                </c:pt>
                <c:pt idx="3">
                  <c:v>10987</c:v>
                </c:pt>
                <c:pt idx="4">
                  <c:v>28087</c:v>
                </c:pt>
                <c:pt idx="5">
                  <c:v>10365</c:v>
                </c:pt>
                <c:pt idx="6">
                  <c:v>55785</c:v>
                </c:pt>
                <c:pt idx="7">
                  <c:v>10285</c:v>
                </c:pt>
                <c:pt idx="8">
                  <c:v>7241</c:v>
                </c:pt>
                <c:pt idx="9">
                  <c:v>42735</c:v>
                </c:pt>
                <c:pt idx="10">
                  <c:v>12622</c:v>
                </c:pt>
                <c:pt idx="11">
                  <c:v>7617</c:v>
                </c:pt>
                <c:pt idx="12">
                  <c:v>68435</c:v>
                </c:pt>
                <c:pt idx="13">
                  <c:v>68808</c:v>
                </c:pt>
                <c:pt idx="14">
                  <c:v>18850</c:v>
                </c:pt>
                <c:pt idx="15">
                  <c:v>34814</c:v>
                </c:pt>
                <c:pt idx="16">
                  <c:v>14270</c:v>
                </c:pt>
                <c:pt idx="17">
                  <c:v>20879</c:v>
                </c:pt>
                <c:pt idx="18">
                  <c:v>3307</c:v>
                </c:pt>
                <c:pt idx="19">
                  <c:v>23408</c:v>
                </c:pt>
                <c:pt idx="20">
                  <c:v>57231</c:v>
                </c:pt>
                <c:pt idx="21">
                  <c:v>17411</c:v>
                </c:pt>
                <c:pt idx="22">
                  <c:v>10343</c:v>
                </c:pt>
                <c:pt idx="23">
                  <c:v>93692</c:v>
                </c:pt>
                <c:pt idx="24">
                  <c:v>35658</c:v>
                </c:pt>
                <c:pt idx="25">
                  <c:v>62455</c:v>
                </c:pt>
                <c:pt idx="26">
                  <c:v>26038</c:v>
                </c:pt>
                <c:pt idx="27">
                  <c:v>253271</c:v>
                </c:pt>
                <c:pt idx="28">
                  <c:v>9888</c:v>
                </c:pt>
                <c:pt idx="29">
                  <c:v>28073</c:v>
                </c:pt>
                <c:pt idx="30">
                  <c:v>7904</c:v>
                </c:pt>
                <c:pt idx="31">
                  <c:v>185273</c:v>
                </c:pt>
                <c:pt idx="32">
                  <c:v>431379</c:v>
                </c:pt>
              </c:numCache>
            </c:numRef>
          </c:val>
        </c:ser>
        <c:dLbls>
          <c:showLegendKey val="0"/>
          <c:showVal val="0"/>
          <c:showCatName val="0"/>
          <c:showSerName val="0"/>
          <c:showPercent val="0"/>
          <c:showBubbleSize val="0"/>
        </c:dLbls>
        <c:gapWidth val="58"/>
        <c:shape val="box"/>
        <c:axId val="269872464"/>
        <c:axId val="269872856"/>
        <c:axId val="0"/>
      </c:bar3DChart>
      <c:catAx>
        <c:axId val="269872464"/>
        <c:scaling>
          <c:orientation val="minMax"/>
        </c:scaling>
        <c:delete val="0"/>
        <c:axPos val="b"/>
        <c:numFmt formatCode="General" sourceLinked="0"/>
        <c:majorTickMark val="out"/>
        <c:minorTickMark val="none"/>
        <c:tickLblPos val="nextTo"/>
        <c:crossAx val="269872856"/>
        <c:crosses val="autoZero"/>
        <c:auto val="1"/>
        <c:lblAlgn val="ctr"/>
        <c:lblOffset val="100"/>
        <c:noMultiLvlLbl val="0"/>
      </c:catAx>
      <c:valAx>
        <c:axId val="269872856"/>
        <c:scaling>
          <c:orientation val="minMax"/>
        </c:scaling>
        <c:delete val="1"/>
        <c:axPos val="l"/>
        <c:numFmt formatCode="General" sourceLinked="1"/>
        <c:majorTickMark val="out"/>
        <c:minorTickMark val="none"/>
        <c:tickLblPos val="nextTo"/>
        <c:crossAx val="269872464"/>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Afiliados al SFS del RC por Provincia </a:t>
            </a:r>
          </a:p>
          <a:p>
            <a:pPr>
              <a:defRPr sz="1200"/>
            </a:pPr>
            <a:r>
              <a:rPr lang="en-US" sz="1050"/>
              <a:t>Al 31 de Diciembre de 2011</a:t>
            </a:r>
          </a:p>
        </c:rich>
      </c:tx>
      <c:layout>
        <c:manualLayout>
          <c:xMode val="edge"/>
          <c:yMode val="edge"/>
          <c:x val="0.42408090629572676"/>
          <c:y val="7.993990389138971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4.4600894660349936E-2"/>
          <c:y val="0.11866884574501736"/>
          <c:w val="0.94453129925742152"/>
          <c:h val="0.65572611142942605"/>
        </c:manualLayout>
      </c:layout>
      <c:bar3DChart>
        <c:barDir val="col"/>
        <c:grouping val="clustered"/>
        <c:varyColors val="0"/>
        <c:ser>
          <c:idx val="0"/>
          <c:order val="0"/>
          <c:tx>
            <c:strRef>
              <c:f>'[6]Afil. SFS x Prov x Sector'!$F$2</c:f>
              <c:strCache>
                <c:ptCount val="1"/>
                <c:pt idx="0">
                  <c:v>Total </c:v>
                </c:pt>
              </c:strCache>
            </c:strRef>
          </c:tx>
          <c:invertIfNegative val="0"/>
          <c:dPt>
            <c:idx val="32"/>
            <c:invertIfNegative val="0"/>
            <c:bubble3D val="0"/>
            <c:spPr>
              <a:solidFill>
                <a:schemeClr val="accent6">
                  <a:lumMod val="50000"/>
                </a:schemeClr>
              </a:solidFill>
            </c:spPr>
          </c:dPt>
          <c:dLbls>
            <c:dLbl>
              <c:idx val="0"/>
              <c:layout>
                <c:manualLayout>
                  <c:x val="1.7000608139864405E-3"/>
                  <c:y val="-1.56923391799135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x Sector'!$A$3:$A$35</c:f>
              <c:strCache>
                <c:ptCount val="33"/>
                <c:pt idx="0">
                  <c:v>Distrito Nacional</c:v>
                </c:pt>
                <c:pt idx="1">
                  <c:v>Santiago de los Caballeros</c:v>
                </c:pt>
                <c:pt idx="2">
                  <c:v>Santo Domingo</c:v>
                </c:pt>
                <c:pt idx="3">
                  <c:v>San Cristóbal</c:v>
                </c:pt>
                <c:pt idx="4">
                  <c:v>La Vega</c:v>
                </c:pt>
                <c:pt idx="5">
                  <c:v>La Romana</c:v>
                </c:pt>
                <c:pt idx="6">
                  <c:v>San Pedro de Macorís</c:v>
                </c:pt>
                <c:pt idx="7">
                  <c:v>Puerto Plata </c:v>
                </c:pt>
                <c:pt idx="8">
                  <c:v>Duarte </c:v>
                </c:pt>
                <c:pt idx="9">
                  <c:v>L a Altagracia</c:v>
                </c:pt>
                <c:pt idx="10">
                  <c:v>Espaillat</c:v>
                </c:pt>
                <c:pt idx="11">
                  <c:v>San Juan de la Maguana</c:v>
                </c:pt>
                <c:pt idx="12">
                  <c:v>Monseñor Nouel</c:v>
                </c:pt>
                <c:pt idx="13">
                  <c:v>Barahona</c:v>
                </c:pt>
                <c:pt idx="14">
                  <c:v>Valverde</c:v>
                </c:pt>
                <c:pt idx="15">
                  <c:v>Sánchez Ramírez</c:v>
                </c:pt>
                <c:pt idx="16">
                  <c:v>Azua</c:v>
                </c:pt>
                <c:pt idx="17">
                  <c:v>Peravia</c:v>
                </c:pt>
                <c:pt idx="18">
                  <c:v>Monte Plata</c:v>
                </c:pt>
                <c:pt idx="19">
                  <c:v>María Trinidad Sánchez</c:v>
                </c:pt>
                <c:pt idx="20">
                  <c:v>Hermanas Mirabal</c:v>
                </c:pt>
                <c:pt idx="21">
                  <c:v>Montecristi</c:v>
                </c:pt>
                <c:pt idx="22">
                  <c:v>Hato Mayor del Rey</c:v>
                </c:pt>
                <c:pt idx="23">
                  <c:v>Bahoruco</c:v>
                </c:pt>
                <c:pt idx="24">
                  <c:v>Dajabón</c:v>
                </c:pt>
                <c:pt idx="25">
                  <c:v>Samaná</c:v>
                </c:pt>
                <c:pt idx="26">
                  <c:v>El Seybo</c:v>
                </c:pt>
                <c:pt idx="27">
                  <c:v>Santiago Rodríguez</c:v>
                </c:pt>
                <c:pt idx="28">
                  <c:v>San José de Ocoa</c:v>
                </c:pt>
                <c:pt idx="29">
                  <c:v>Independencia</c:v>
                </c:pt>
                <c:pt idx="30">
                  <c:v>Elías Piña</c:v>
                </c:pt>
                <c:pt idx="31">
                  <c:v>Pedernales </c:v>
                </c:pt>
                <c:pt idx="32">
                  <c:v>No Especificada</c:v>
                </c:pt>
              </c:strCache>
            </c:strRef>
          </c:cat>
          <c:val>
            <c:numRef>
              <c:f>'[6]Afil. SFS x Prov x Sector'!$F$3:$F$35</c:f>
              <c:numCache>
                <c:formatCode>General</c:formatCode>
                <c:ptCount val="33"/>
                <c:pt idx="0">
                  <c:v>790302</c:v>
                </c:pt>
                <c:pt idx="1">
                  <c:v>253271</c:v>
                </c:pt>
                <c:pt idx="2">
                  <c:v>185273</c:v>
                </c:pt>
                <c:pt idx="3">
                  <c:v>93692</c:v>
                </c:pt>
                <c:pt idx="4">
                  <c:v>68808</c:v>
                </c:pt>
                <c:pt idx="5">
                  <c:v>68435</c:v>
                </c:pt>
                <c:pt idx="6">
                  <c:v>62455</c:v>
                </c:pt>
                <c:pt idx="7">
                  <c:v>57231</c:v>
                </c:pt>
                <c:pt idx="8">
                  <c:v>55785</c:v>
                </c:pt>
                <c:pt idx="9">
                  <c:v>44891</c:v>
                </c:pt>
                <c:pt idx="10">
                  <c:v>42735</c:v>
                </c:pt>
                <c:pt idx="11">
                  <c:v>35658</c:v>
                </c:pt>
                <c:pt idx="12">
                  <c:v>34814</c:v>
                </c:pt>
                <c:pt idx="13">
                  <c:v>28087</c:v>
                </c:pt>
                <c:pt idx="14">
                  <c:v>28073</c:v>
                </c:pt>
                <c:pt idx="15">
                  <c:v>26038</c:v>
                </c:pt>
                <c:pt idx="16">
                  <c:v>25119</c:v>
                </c:pt>
                <c:pt idx="17">
                  <c:v>23408</c:v>
                </c:pt>
                <c:pt idx="18">
                  <c:v>20879</c:v>
                </c:pt>
                <c:pt idx="19">
                  <c:v>18850</c:v>
                </c:pt>
                <c:pt idx="20">
                  <c:v>17411</c:v>
                </c:pt>
                <c:pt idx="21">
                  <c:v>14270</c:v>
                </c:pt>
                <c:pt idx="22">
                  <c:v>12622</c:v>
                </c:pt>
                <c:pt idx="23">
                  <c:v>10987</c:v>
                </c:pt>
                <c:pt idx="24">
                  <c:v>10365</c:v>
                </c:pt>
                <c:pt idx="25">
                  <c:v>10343</c:v>
                </c:pt>
                <c:pt idx="26">
                  <c:v>10285</c:v>
                </c:pt>
                <c:pt idx="27">
                  <c:v>9888</c:v>
                </c:pt>
                <c:pt idx="28">
                  <c:v>7904</c:v>
                </c:pt>
                <c:pt idx="29">
                  <c:v>7617</c:v>
                </c:pt>
                <c:pt idx="30">
                  <c:v>7241</c:v>
                </c:pt>
                <c:pt idx="31">
                  <c:v>3307</c:v>
                </c:pt>
                <c:pt idx="32">
                  <c:v>431379</c:v>
                </c:pt>
              </c:numCache>
            </c:numRef>
          </c:val>
        </c:ser>
        <c:dLbls>
          <c:showLegendKey val="0"/>
          <c:showVal val="0"/>
          <c:showCatName val="0"/>
          <c:showSerName val="0"/>
          <c:showPercent val="0"/>
          <c:showBubbleSize val="0"/>
        </c:dLbls>
        <c:gapWidth val="58"/>
        <c:shape val="box"/>
        <c:axId val="269873640"/>
        <c:axId val="269874032"/>
        <c:axId val="0"/>
      </c:bar3DChart>
      <c:catAx>
        <c:axId val="269873640"/>
        <c:scaling>
          <c:orientation val="minMax"/>
        </c:scaling>
        <c:delete val="0"/>
        <c:axPos val="b"/>
        <c:numFmt formatCode="General" sourceLinked="0"/>
        <c:majorTickMark val="out"/>
        <c:minorTickMark val="none"/>
        <c:tickLblPos val="nextTo"/>
        <c:crossAx val="269874032"/>
        <c:crosses val="autoZero"/>
        <c:auto val="1"/>
        <c:lblAlgn val="ctr"/>
        <c:lblOffset val="100"/>
        <c:noMultiLvlLbl val="0"/>
      </c:catAx>
      <c:valAx>
        <c:axId val="269874032"/>
        <c:scaling>
          <c:orientation val="minMax"/>
        </c:scaling>
        <c:delete val="1"/>
        <c:axPos val="l"/>
        <c:numFmt formatCode="General" sourceLinked="1"/>
        <c:majorTickMark val="out"/>
        <c:minorTickMark val="none"/>
        <c:tickLblPos val="nextTo"/>
        <c:crossAx val="269873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Afiliación Definitiva al SFS del  RC de Trabajadores de Empresas Privadas Por Provincia Al  31 de Diciembre de 2011</a:t>
            </a:r>
          </a:p>
        </c:rich>
      </c:tx>
      <c:layout>
        <c:manualLayout>
          <c:xMode val="edge"/>
          <c:yMode val="edge"/>
          <c:x val="0.1123973690993308"/>
          <c:y val="5.011532852788081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1544644084844764E-2"/>
          <c:y val="0.25447240008085253"/>
          <c:w val="0.93913681610766098"/>
          <c:h val="0.48372592627497751"/>
        </c:manualLayout>
      </c:layout>
      <c:bar3DChart>
        <c:barDir val="col"/>
        <c:grouping val="clustered"/>
        <c:varyColors val="0"/>
        <c:ser>
          <c:idx val="0"/>
          <c:order val="0"/>
          <c:tx>
            <c:strRef>
              <c:f>'[6]Afil. SFS x Prov. EPriv'!$J$2</c:f>
              <c:strCache>
                <c:ptCount val="1"/>
                <c:pt idx="0">
                  <c:v>Total / Provincia</c:v>
                </c:pt>
              </c:strCache>
            </c:strRef>
          </c:tx>
          <c:invertIfNegative val="0"/>
          <c:dPt>
            <c:idx val="32"/>
            <c:invertIfNegative val="0"/>
            <c:bubble3D val="0"/>
            <c:spPr>
              <a:solidFill>
                <a:schemeClr val="accent6">
                  <a:lumMod val="75000"/>
                </a:schemeClr>
              </a:solidFill>
            </c:spPr>
          </c:dPt>
          <c:dLbls>
            <c:dLbl>
              <c:idx val="0"/>
              <c:layout>
                <c:manualLayout>
                  <c:x val="2.080146743706348E-3"/>
                  <c:y val="-1.91044740196076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EPriv'!$A$3:$A$35</c:f>
              <c:strCache>
                <c:ptCount val="33"/>
                <c:pt idx="0">
                  <c:v>Distrito Nacional</c:v>
                </c:pt>
                <c:pt idx="1">
                  <c:v>Santiago de los Caballeros</c:v>
                </c:pt>
                <c:pt idx="2">
                  <c:v>Santo Domingo</c:v>
                </c:pt>
                <c:pt idx="3">
                  <c:v>San Cristóbal</c:v>
                </c:pt>
                <c:pt idx="4">
                  <c:v>La Romana</c:v>
                </c:pt>
                <c:pt idx="5">
                  <c:v>San Pedro de Macorís</c:v>
                </c:pt>
                <c:pt idx="6">
                  <c:v>La Vega</c:v>
                </c:pt>
                <c:pt idx="7">
                  <c:v>Puerto Plata </c:v>
                </c:pt>
                <c:pt idx="8">
                  <c:v>L a Altagracia</c:v>
                </c:pt>
                <c:pt idx="9">
                  <c:v>Duarte </c:v>
                </c:pt>
                <c:pt idx="10">
                  <c:v>Espaillat</c:v>
                </c:pt>
                <c:pt idx="11">
                  <c:v>Monseñor Nouel</c:v>
                </c:pt>
                <c:pt idx="12">
                  <c:v>San Juan de la Maguana</c:v>
                </c:pt>
                <c:pt idx="13">
                  <c:v>Valverde</c:v>
                </c:pt>
                <c:pt idx="14">
                  <c:v>Sánchez Ramírez</c:v>
                </c:pt>
                <c:pt idx="15">
                  <c:v>Peravia</c:v>
                </c:pt>
                <c:pt idx="16">
                  <c:v>Barahona</c:v>
                </c:pt>
                <c:pt idx="17">
                  <c:v>Azua</c:v>
                </c:pt>
                <c:pt idx="18">
                  <c:v>María Trinidad Sánchez</c:v>
                </c:pt>
                <c:pt idx="19">
                  <c:v>Monte Plata</c:v>
                </c:pt>
                <c:pt idx="20">
                  <c:v>Hermanas Mirabal</c:v>
                </c:pt>
                <c:pt idx="21">
                  <c:v>Hato mayor del Rey</c:v>
                </c:pt>
                <c:pt idx="22">
                  <c:v>Montecristi</c:v>
                </c:pt>
                <c:pt idx="23">
                  <c:v>El Seybo</c:v>
                </c:pt>
                <c:pt idx="24">
                  <c:v>Samaná</c:v>
                </c:pt>
                <c:pt idx="25">
                  <c:v>Santiago Rodríguez</c:v>
                </c:pt>
                <c:pt idx="26">
                  <c:v>Dajabón</c:v>
                </c:pt>
                <c:pt idx="27">
                  <c:v>Bahoruco</c:v>
                </c:pt>
                <c:pt idx="28">
                  <c:v>San José de Ocoa</c:v>
                </c:pt>
                <c:pt idx="29">
                  <c:v>Elías Piña</c:v>
                </c:pt>
                <c:pt idx="30">
                  <c:v>Independencia</c:v>
                </c:pt>
                <c:pt idx="31">
                  <c:v>Pedernales </c:v>
                </c:pt>
                <c:pt idx="32">
                  <c:v>No Especificada</c:v>
                </c:pt>
              </c:strCache>
            </c:strRef>
          </c:cat>
          <c:val>
            <c:numRef>
              <c:f>'[6]Afil. SFS x Prov. EPriv'!$J$3:$J$35</c:f>
              <c:numCache>
                <c:formatCode>General</c:formatCode>
                <c:ptCount val="33"/>
                <c:pt idx="0">
                  <c:v>538804</c:v>
                </c:pt>
                <c:pt idx="1">
                  <c:v>203447</c:v>
                </c:pt>
                <c:pt idx="2">
                  <c:v>127398</c:v>
                </c:pt>
                <c:pt idx="3">
                  <c:v>67494</c:v>
                </c:pt>
                <c:pt idx="4">
                  <c:v>61578</c:v>
                </c:pt>
                <c:pt idx="5">
                  <c:v>49096</c:v>
                </c:pt>
                <c:pt idx="6">
                  <c:v>48803</c:v>
                </c:pt>
                <c:pt idx="7">
                  <c:v>43157</c:v>
                </c:pt>
                <c:pt idx="8">
                  <c:v>39717</c:v>
                </c:pt>
                <c:pt idx="9">
                  <c:v>32799</c:v>
                </c:pt>
                <c:pt idx="10">
                  <c:v>30162</c:v>
                </c:pt>
                <c:pt idx="11">
                  <c:v>25429</c:v>
                </c:pt>
                <c:pt idx="12">
                  <c:v>18001</c:v>
                </c:pt>
                <c:pt idx="13">
                  <c:v>17653</c:v>
                </c:pt>
                <c:pt idx="14">
                  <c:v>14858</c:v>
                </c:pt>
                <c:pt idx="15">
                  <c:v>13752</c:v>
                </c:pt>
                <c:pt idx="16">
                  <c:v>12752</c:v>
                </c:pt>
                <c:pt idx="17">
                  <c:v>12631</c:v>
                </c:pt>
                <c:pt idx="18">
                  <c:v>10726</c:v>
                </c:pt>
                <c:pt idx="19">
                  <c:v>9846</c:v>
                </c:pt>
                <c:pt idx="20">
                  <c:v>8572</c:v>
                </c:pt>
                <c:pt idx="21">
                  <c:v>8333</c:v>
                </c:pt>
                <c:pt idx="22">
                  <c:v>7945</c:v>
                </c:pt>
                <c:pt idx="23">
                  <c:v>6931</c:v>
                </c:pt>
                <c:pt idx="24">
                  <c:v>5873</c:v>
                </c:pt>
                <c:pt idx="25">
                  <c:v>5285</c:v>
                </c:pt>
                <c:pt idx="26">
                  <c:v>5105</c:v>
                </c:pt>
                <c:pt idx="27">
                  <c:v>4477</c:v>
                </c:pt>
                <c:pt idx="28">
                  <c:v>3874</c:v>
                </c:pt>
                <c:pt idx="29">
                  <c:v>3102</c:v>
                </c:pt>
                <c:pt idx="30">
                  <c:v>2091</c:v>
                </c:pt>
                <c:pt idx="31">
                  <c:v>1692</c:v>
                </c:pt>
                <c:pt idx="32">
                  <c:v>350746</c:v>
                </c:pt>
              </c:numCache>
            </c:numRef>
          </c:val>
        </c:ser>
        <c:dLbls>
          <c:showLegendKey val="0"/>
          <c:showVal val="0"/>
          <c:showCatName val="0"/>
          <c:showSerName val="0"/>
          <c:showPercent val="0"/>
          <c:showBubbleSize val="0"/>
        </c:dLbls>
        <c:gapWidth val="58"/>
        <c:shape val="box"/>
        <c:axId val="269874816"/>
        <c:axId val="269875208"/>
        <c:axId val="0"/>
      </c:bar3DChart>
      <c:catAx>
        <c:axId val="269874816"/>
        <c:scaling>
          <c:orientation val="minMax"/>
        </c:scaling>
        <c:delete val="0"/>
        <c:axPos val="b"/>
        <c:numFmt formatCode="General" sourceLinked="0"/>
        <c:majorTickMark val="out"/>
        <c:minorTickMark val="none"/>
        <c:tickLblPos val="nextTo"/>
        <c:crossAx val="269875208"/>
        <c:crosses val="autoZero"/>
        <c:auto val="1"/>
        <c:lblAlgn val="ctr"/>
        <c:lblOffset val="100"/>
        <c:noMultiLvlLbl val="0"/>
      </c:catAx>
      <c:valAx>
        <c:axId val="269875208"/>
        <c:scaling>
          <c:orientation val="minMax"/>
        </c:scaling>
        <c:delete val="1"/>
        <c:axPos val="l"/>
        <c:numFmt formatCode="General" sourceLinked="1"/>
        <c:majorTickMark val="out"/>
        <c:minorTickMark val="none"/>
        <c:tickLblPos val="nextTo"/>
        <c:crossAx val="26987481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Afiliación Definitiva al SFS del  RC de Trabajadores de Empresas Pública Descentralizadas por Provincia </a:t>
            </a:r>
            <a:endParaRPr lang="en-US" sz="1050"/>
          </a:p>
          <a:p>
            <a:pPr>
              <a:defRPr sz="1200"/>
            </a:pPr>
            <a:r>
              <a:rPr lang="en-US" sz="1050"/>
              <a:t>Al 31 de Diciembre</a:t>
            </a:r>
          </a:p>
        </c:rich>
      </c:tx>
      <c:layout>
        <c:manualLayout>
          <c:xMode val="edge"/>
          <c:yMode val="edge"/>
          <c:x val="0.22336102976771499"/>
          <c:y val="7.1892802873325043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7107673219491839E-2"/>
          <c:y val="0.21453258218963495"/>
          <c:w val="0.92708648388686044"/>
          <c:h val="0.43284779180611949"/>
        </c:manualLayout>
      </c:layout>
      <c:bar3DChart>
        <c:barDir val="col"/>
        <c:grouping val="clustered"/>
        <c:varyColors val="0"/>
        <c:ser>
          <c:idx val="0"/>
          <c:order val="0"/>
          <c:tx>
            <c:strRef>
              <c:f>'[6]Afil. SFS x Prov EPub D '!$J$2</c:f>
              <c:strCache>
                <c:ptCount val="1"/>
                <c:pt idx="0">
                  <c:v>Total / Provincia</c:v>
                </c:pt>
              </c:strCache>
            </c:strRef>
          </c:tx>
          <c:invertIfNegative val="0"/>
          <c:dPt>
            <c:idx val="32"/>
            <c:invertIfNegative val="0"/>
            <c:bubble3D val="0"/>
            <c:spPr>
              <a:solidFill>
                <a:schemeClr val="accent6">
                  <a:lumMod val="50000"/>
                </a:schemeClr>
              </a:solidFill>
            </c:spPr>
          </c:dPt>
          <c:dLbls>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EPub D '!$A$3:$A$35</c:f>
              <c:strCache>
                <c:ptCount val="33"/>
                <c:pt idx="0">
                  <c:v>Distrito Nacional</c:v>
                </c:pt>
                <c:pt idx="1">
                  <c:v>L a Altagracia</c:v>
                </c:pt>
                <c:pt idx="2">
                  <c:v>Azua</c:v>
                </c:pt>
                <c:pt idx="3">
                  <c:v>Bahoruco</c:v>
                </c:pt>
                <c:pt idx="4">
                  <c:v>Barahona</c:v>
                </c:pt>
                <c:pt idx="5">
                  <c:v>Dajabón</c:v>
                </c:pt>
                <c:pt idx="6">
                  <c:v>Duarte </c:v>
                </c:pt>
                <c:pt idx="7">
                  <c:v>El Seybo</c:v>
                </c:pt>
                <c:pt idx="8">
                  <c:v>Elías Piña</c:v>
                </c:pt>
                <c:pt idx="9">
                  <c:v>Espaillat</c:v>
                </c:pt>
                <c:pt idx="10">
                  <c:v>Hato mayor del Rey</c:v>
                </c:pt>
                <c:pt idx="11">
                  <c:v>Independencia</c:v>
                </c:pt>
                <c:pt idx="12">
                  <c:v>La Romana</c:v>
                </c:pt>
                <c:pt idx="13">
                  <c:v>La vega</c:v>
                </c:pt>
                <c:pt idx="14">
                  <c:v>María Trinidad Sánchez</c:v>
                </c:pt>
                <c:pt idx="15">
                  <c:v>Monseñor Nouel</c:v>
                </c:pt>
                <c:pt idx="16">
                  <c:v>Montecristi</c:v>
                </c:pt>
                <c:pt idx="17">
                  <c:v>Monte Plata</c:v>
                </c:pt>
                <c:pt idx="18">
                  <c:v>Pedernales </c:v>
                </c:pt>
                <c:pt idx="19">
                  <c:v>Peravia</c:v>
                </c:pt>
                <c:pt idx="20">
                  <c:v>Puerto Plata </c:v>
                </c:pt>
                <c:pt idx="21">
                  <c:v>Hermanas Mirabal</c:v>
                </c:pt>
                <c:pt idx="22">
                  <c:v>Samaná</c:v>
                </c:pt>
                <c:pt idx="23">
                  <c:v>San Cristóbal</c:v>
                </c:pt>
                <c:pt idx="24">
                  <c:v>San Juan de la Maguana</c:v>
                </c:pt>
                <c:pt idx="25">
                  <c:v>San Pedro de Macorís</c:v>
                </c:pt>
                <c:pt idx="26">
                  <c:v>Sánchez Ramírez</c:v>
                </c:pt>
                <c:pt idx="27">
                  <c:v>Santiago de los Caballeros</c:v>
                </c:pt>
                <c:pt idx="28">
                  <c:v>Santiago Rodríguez</c:v>
                </c:pt>
                <c:pt idx="29">
                  <c:v>Valverde</c:v>
                </c:pt>
                <c:pt idx="30">
                  <c:v>San José de Ocoa</c:v>
                </c:pt>
                <c:pt idx="31">
                  <c:v>Santo Domingo</c:v>
                </c:pt>
                <c:pt idx="32">
                  <c:v>No Especificada</c:v>
                </c:pt>
              </c:strCache>
            </c:strRef>
          </c:cat>
          <c:val>
            <c:numRef>
              <c:f>'[6]Afil. SFS x Prov EPub D '!$J$3:$J$35</c:f>
              <c:numCache>
                <c:formatCode>General</c:formatCode>
                <c:ptCount val="33"/>
                <c:pt idx="0">
                  <c:v>97905</c:v>
                </c:pt>
                <c:pt idx="1">
                  <c:v>924</c:v>
                </c:pt>
                <c:pt idx="2">
                  <c:v>3342</c:v>
                </c:pt>
                <c:pt idx="3">
                  <c:v>1038</c:v>
                </c:pt>
                <c:pt idx="4">
                  <c:v>3228</c:v>
                </c:pt>
                <c:pt idx="5">
                  <c:v>1553</c:v>
                </c:pt>
                <c:pt idx="6">
                  <c:v>6682</c:v>
                </c:pt>
                <c:pt idx="7">
                  <c:v>822</c:v>
                </c:pt>
                <c:pt idx="8">
                  <c:v>919</c:v>
                </c:pt>
                <c:pt idx="9">
                  <c:v>4767</c:v>
                </c:pt>
                <c:pt idx="10">
                  <c:v>883</c:v>
                </c:pt>
                <c:pt idx="11">
                  <c:v>1498</c:v>
                </c:pt>
                <c:pt idx="12">
                  <c:v>2735</c:v>
                </c:pt>
                <c:pt idx="13">
                  <c:v>4277</c:v>
                </c:pt>
                <c:pt idx="14">
                  <c:v>1800</c:v>
                </c:pt>
                <c:pt idx="15">
                  <c:v>2322</c:v>
                </c:pt>
                <c:pt idx="16">
                  <c:v>1557</c:v>
                </c:pt>
                <c:pt idx="17">
                  <c:v>1616</c:v>
                </c:pt>
                <c:pt idx="18">
                  <c:v>369</c:v>
                </c:pt>
                <c:pt idx="19">
                  <c:v>3955</c:v>
                </c:pt>
                <c:pt idx="20">
                  <c:v>4602</c:v>
                </c:pt>
                <c:pt idx="21">
                  <c:v>1172</c:v>
                </c:pt>
                <c:pt idx="22">
                  <c:v>824</c:v>
                </c:pt>
                <c:pt idx="23">
                  <c:v>7350</c:v>
                </c:pt>
                <c:pt idx="24">
                  <c:v>3164</c:v>
                </c:pt>
                <c:pt idx="25">
                  <c:v>4255</c:v>
                </c:pt>
                <c:pt idx="26">
                  <c:v>1783</c:v>
                </c:pt>
                <c:pt idx="27">
                  <c:v>20467</c:v>
                </c:pt>
                <c:pt idx="28">
                  <c:v>1245</c:v>
                </c:pt>
                <c:pt idx="29">
                  <c:v>3374</c:v>
                </c:pt>
                <c:pt idx="30">
                  <c:v>643</c:v>
                </c:pt>
                <c:pt idx="31">
                  <c:v>23232</c:v>
                </c:pt>
                <c:pt idx="32">
                  <c:v>35299</c:v>
                </c:pt>
              </c:numCache>
            </c:numRef>
          </c:val>
        </c:ser>
        <c:dLbls>
          <c:showLegendKey val="0"/>
          <c:showVal val="0"/>
          <c:showCatName val="0"/>
          <c:showSerName val="0"/>
          <c:showPercent val="0"/>
          <c:showBubbleSize val="0"/>
        </c:dLbls>
        <c:gapWidth val="58"/>
        <c:shape val="box"/>
        <c:axId val="269875992"/>
        <c:axId val="269876384"/>
        <c:axId val="0"/>
      </c:bar3DChart>
      <c:catAx>
        <c:axId val="269875992"/>
        <c:scaling>
          <c:orientation val="minMax"/>
        </c:scaling>
        <c:delete val="0"/>
        <c:axPos val="b"/>
        <c:numFmt formatCode="General" sourceLinked="0"/>
        <c:majorTickMark val="out"/>
        <c:minorTickMark val="none"/>
        <c:tickLblPos val="nextTo"/>
        <c:crossAx val="269876384"/>
        <c:crosses val="autoZero"/>
        <c:auto val="1"/>
        <c:lblAlgn val="ctr"/>
        <c:lblOffset val="100"/>
        <c:noMultiLvlLbl val="0"/>
      </c:catAx>
      <c:valAx>
        <c:axId val="269876384"/>
        <c:scaling>
          <c:orientation val="minMax"/>
        </c:scaling>
        <c:delete val="1"/>
        <c:axPos val="l"/>
        <c:numFmt formatCode="General" sourceLinked="1"/>
        <c:majorTickMark val="out"/>
        <c:minorTickMark val="none"/>
        <c:tickLblPos val="nextTo"/>
        <c:crossAx val="26987599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Afiliación Definitiva al SFS del  RC de Trabajadores de Empresas Pública Centralizadas por Provincia y Rango de Edad                                                                                                              </a:t>
            </a:r>
            <a:r>
              <a:rPr lang="en-US" sz="1050"/>
              <a:t>Al 31 de Diciembre de 2011</a:t>
            </a:r>
          </a:p>
        </c:rich>
      </c:tx>
      <c:layout>
        <c:manualLayout>
          <c:xMode val="edge"/>
          <c:yMode val="edge"/>
          <c:x val="0.19511457558101722"/>
          <c:y val="5.71298729302016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1559692980047755E-2"/>
          <c:y val="0.1596937996465678"/>
          <c:w val="0.93456704446368288"/>
          <c:h val="0.57285087003589796"/>
        </c:manualLayout>
      </c:layout>
      <c:bar3DChart>
        <c:barDir val="col"/>
        <c:grouping val="clustered"/>
        <c:varyColors val="0"/>
        <c:ser>
          <c:idx val="0"/>
          <c:order val="0"/>
          <c:tx>
            <c:strRef>
              <c:f>'[6]Afil. SFS x Prov. EPub.C'!$J$2</c:f>
              <c:strCache>
                <c:ptCount val="1"/>
                <c:pt idx="0">
                  <c:v>Total / Provincia</c:v>
                </c:pt>
              </c:strCache>
            </c:strRef>
          </c:tx>
          <c:invertIfNegative val="0"/>
          <c:dPt>
            <c:idx val="32"/>
            <c:invertIfNegative val="0"/>
            <c:bubble3D val="0"/>
            <c:spPr>
              <a:solidFill>
                <a:schemeClr val="accent6">
                  <a:lumMod val="50000"/>
                </a:schemeClr>
              </a:solidFill>
            </c:spPr>
          </c:dPt>
          <c:dLbls>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EPub.C'!$A$3:$A$35</c:f>
              <c:strCache>
                <c:ptCount val="33"/>
                <c:pt idx="0">
                  <c:v>Distrito Nacional</c:v>
                </c:pt>
                <c:pt idx="1">
                  <c:v>L a Altagracia</c:v>
                </c:pt>
                <c:pt idx="2">
                  <c:v>Azua</c:v>
                </c:pt>
                <c:pt idx="3">
                  <c:v>Bahoruco</c:v>
                </c:pt>
                <c:pt idx="4">
                  <c:v>Barahona</c:v>
                </c:pt>
                <c:pt idx="5">
                  <c:v>Dajabón</c:v>
                </c:pt>
                <c:pt idx="6">
                  <c:v>Duarte </c:v>
                </c:pt>
                <c:pt idx="7">
                  <c:v>El Seybo</c:v>
                </c:pt>
                <c:pt idx="8">
                  <c:v>Elías Piña</c:v>
                </c:pt>
                <c:pt idx="9">
                  <c:v>Espaillat</c:v>
                </c:pt>
                <c:pt idx="10">
                  <c:v>Hato mayor del Rey</c:v>
                </c:pt>
                <c:pt idx="11">
                  <c:v>Independencia</c:v>
                </c:pt>
                <c:pt idx="12">
                  <c:v>La Romana</c:v>
                </c:pt>
                <c:pt idx="13">
                  <c:v>La vega</c:v>
                </c:pt>
                <c:pt idx="14">
                  <c:v>María Trinidad Sánchez</c:v>
                </c:pt>
                <c:pt idx="15">
                  <c:v>Monseñor Nouel</c:v>
                </c:pt>
                <c:pt idx="16">
                  <c:v>Montecristi</c:v>
                </c:pt>
                <c:pt idx="17">
                  <c:v>Monte Plata</c:v>
                </c:pt>
                <c:pt idx="18">
                  <c:v>Pedernales </c:v>
                </c:pt>
                <c:pt idx="19">
                  <c:v>Peravia</c:v>
                </c:pt>
                <c:pt idx="20">
                  <c:v>Puerto Plata </c:v>
                </c:pt>
                <c:pt idx="21">
                  <c:v>Hermanas Mirabal</c:v>
                </c:pt>
                <c:pt idx="22">
                  <c:v>Samaná</c:v>
                </c:pt>
                <c:pt idx="23">
                  <c:v>San Cristóbal</c:v>
                </c:pt>
                <c:pt idx="24">
                  <c:v>San Juan de la Maguana</c:v>
                </c:pt>
                <c:pt idx="25">
                  <c:v>San Pedro de Macorís</c:v>
                </c:pt>
                <c:pt idx="26">
                  <c:v>Sánchez Ramírez</c:v>
                </c:pt>
                <c:pt idx="27">
                  <c:v>Santiago de los Caballeros</c:v>
                </c:pt>
                <c:pt idx="28">
                  <c:v>Santiago Rodríguez</c:v>
                </c:pt>
                <c:pt idx="29">
                  <c:v>Valverde</c:v>
                </c:pt>
                <c:pt idx="30">
                  <c:v>San José de Ocoa</c:v>
                </c:pt>
                <c:pt idx="31">
                  <c:v>Santo Domingo</c:v>
                </c:pt>
                <c:pt idx="32">
                  <c:v>No Especificada</c:v>
                </c:pt>
              </c:strCache>
            </c:strRef>
          </c:cat>
          <c:val>
            <c:numRef>
              <c:f>'[6]Afil. SFS x Prov. EPub.C'!$J$3:$J$35</c:f>
              <c:numCache>
                <c:formatCode>General</c:formatCode>
                <c:ptCount val="33"/>
                <c:pt idx="0">
                  <c:v>147367</c:v>
                </c:pt>
                <c:pt idx="1">
                  <c:v>3681</c:v>
                </c:pt>
                <c:pt idx="2">
                  <c:v>9015</c:v>
                </c:pt>
                <c:pt idx="3">
                  <c:v>5409</c:v>
                </c:pt>
                <c:pt idx="4">
                  <c:v>11933</c:v>
                </c:pt>
                <c:pt idx="5">
                  <c:v>3618</c:v>
                </c:pt>
                <c:pt idx="6">
                  <c:v>15848</c:v>
                </c:pt>
                <c:pt idx="7">
                  <c:v>2432</c:v>
                </c:pt>
                <c:pt idx="8">
                  <c:v>3177</c:v>
                </c:pt>
                <c:pt idx="9">
                  <c:v>7230</c:v>
                </c:pt>
                <c:pt idx="10">
                  <c:v>3335</c:v>
                </c:pt>
                <c:pt idx="11">
                  <c:v>4000</c:v>
                </c:pt>
                <c:pt idx="12">
                  <c:v>3431</c:v>
                </c:pt>
                <c:pt idx="13">
                  <c:v>15205</c:v>
                </c:pt>
                <c:pt idx="14">
                  <c:v>6050</c:v>
                </c:pt>
                <c:pt idx="15">
                  <c:v>6720</c:v>
                </c:pt>
                <c:pt idx="16">
                  <c:v>4649</c:v>
                </c:pt>
                <c:pt idx="17">
                  <c:v>9262</c:v>
                </c:pt>
                <c:pt idx="18">
                  <c:v>1218</c:v>
                </c:pt>
                <c:pt idx="19">
                  <c:v>5524</c:v>
                </c:pt>
                <c:pt idx="20">
                  <c:v>8490</c:v>
                </c:pt>
                <c:pt idx="21">
                  <c:v>7520</c:v>
                </c:pt>
                <c:pt idx="22">
                  <c:v>3559</c:v>
                </c:pt>
                <c:pt idx="23">
                  <c:v>17991</c:v>
                </c:pt>
                <c:pt idx="24">
                  <c:v>14215</c:v>
                </c:pt>
                <c:pt idx="25">
                  <c:v>8568</c:v>
                </c:pt>
                <c:pt idx="26">
                  <c:v>9259</c:v>
                </c:pt>
                <c:pt idx="27">
                  <c:v>25685</c:v>
                </c:pt>
                <c:pt idx="28">
                  <c:v>3286</c:v>
                </c:pt>
                <c:pt idx="29">
                  <c:v>6661</c:v>
                </c:pt>
                <c:pt idx="30">
                  <c:v>3337</c:v>
                </c:pt>
                <c:pt idx="31">
                  <c:v>32849</c:v>
                </c:pt>
                <c:pt idx="32">
                  <c:v>40084</c:v>
                </c:pt>
              </c:numCache>
            </c:numRef>
          </c:val>
        </c:ser>
        <c:dLbls>
          <c:showLegendKey val="0"/>
          <c:showVal val="0"/>
          <c:showCatName val="0"/>
          <c:showSerName val="0"/>
          <c:showPercent val="0"/>
          <c:showBubbleSize val="0"/>
        </c:dLbls>
        <c:gapWidth val="58"/>
        <c:shape val="box"/>
        <c:axId val="269877168"/>
        <c:axId val="269877560"/>
        <c:axId val="0"/>
      </c:bar3DChart>
      <c:catAx>
        <c:axId val="269877168"/>
        <c:scaling>
          <c:orientation val="minMax"/>
        </c:scaling>
        <c:delete val="0"/>
        <c:axPos val="b"/>
        <c:numFmt formatCode="General" sourceLinked="0"/>
        <c:majorTickMark val="out"/>
        <c:minorTickMark val="none"/>
        <c:tickLblPos val="nextTo"/>
        <c:crossAx val="269877560"/>
        <c:crosses val="autoZero"/>
        <c:auto val="1"/>
        <c:lblAlgn val="ctr"/>
        <c:lblOffset val="100"/>
        <c:noMultiLvlLbl val="0"/>
      </c:catAx>
      <c:valAx>
        <c:axId val="269877560"/>
        <c:scaling>
          <c:orientation val="minMax"/>
        </c:scaling>
        <c:delete val="1"/>
        <c:axPos val="l"/>
        <c:numFmt formatCode="General" sourceLinked="1"/>
        <c:majorTickMark val="out"/>
        <c:minorTickMark val="none"/>
        <c:tickLblPos val="nextTo"/>
        <c:crossAx val="269877168"/>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Afiliados al SFS del RC (Aplicación Artículo 124 de la  Ley 87-01)</a:t>
            </a:r>
          </a:p>
          <a:p>
            <a:pPr>
              <a:defRPr sz="1200"/>
            </a:pPr>
            <a:r>
              <a:rPr lang="en-US" sz="1050"/>
              <a:t>Al 31 de Diciembre de 2011</a:t>
            </a:r>
          </a:p>
        </c:rich>
      </c:tx>
      <c:layout>
        <c:manualLayout>
          <c:xMode val="edge"/>
          <c:yMode val="edge"/>
          <c:x val="0.31284514922023721"/>
          <c:y val="4.2468869939737065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4.6352083543157764E-2"/>
          <c:y val="0.21318787570908476"/>
          <c:w val="0.93815345436031616"/>
          <c:h val="0.53358699517399022"/>
        </c:manualLayout>
      </c:layout>
      <c:bar3DChart>
        <c:barDir val="col"/>
        <c:grouping val="clustered"/>
        <c:varyColors val="0"/>
        <c:ser>
          <c:idx val="0"/>
          <c:order val="0"/>
          <c:tx>
            <c:strRef>
              <c:f>'[6]Afil. SFS x Prov. Art. 124 Ley'!$J$2</c:f>
              <c:strCache>
                <c:ptCount val="1"/>
                <c:pt idx="0">
                  <c:v>Total / Provincia</c:v>
                </c:pt>
              </c:strCache>
            </c:strRef>
          </c:tx>
          <c:invertIfNegative val="0"/>
          <c:dPt>
            <c:idx val="32"/>
            <c:invertIfNegative val="0"/>
            <c:bubble3D val="0"/>
            <c:spPr>
              <a:solidFill>
                <a:schemeClr val="accent6">
                  <a:lumMod val="50000"/>
                </a:schemeClr>
              </a:solidFill>
            </c:spPr>
          </c:dPt>
          <c:dLbls>
            <c:dLbl>
              <c:idx val="10"/>
              <c:layout>
                <c:manualLayout>
                  <c:x val="0"/>
                  <c:y val="2.82511349770186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'[6]Afil. SFS x Prov. Art. 124 Ley'!$A$3:$A$35</c:f>
              <c:strCache>
                <c:ptCount val="33"/>
                <c:pt idx="0">
                  <c:v>Distrito Nacional</c:v>
                </c:pt>
                <c:pt idx="1">
                  <c:v>L a Altagracia</c:v>
                </c:pt>
                <c:pt idx="2">
                  <c:v>Azua</c:v>
                </c:pt>
                <c:pt idx="3">
                  <c:v>Bahoruco</c:v>
                </c:pt>
                <c:pt idx="4">
                  <c:v>Barahona</c:v>
                </c:pt>
                <c:pt idx="5">
                  <c:v>Dajabón</c:v>
                </c:pt>
                <c:pt idx="6">
                  <c:v>Duarte </c:v>
                </c:pt>
                <c:pt idx="7">
                  <c:v>El Seybo</c:v>
                </c:pt>
                <c:pt idx="8">
                  <c:v>Elías Piña</c:v>
                </c:pt>
                <c:pt idx="9">
                  <c:v>Espaillat</c:v>
                </c:pt>
                <c:pt idx="10">
                  <c:v>Hato mayor del Rey</c:v>
                </c:pt>
                <c:pt idx="11">
                  <c:v>Independencia</c:v>
                </c:pt>
                <c:pt idx="12">
                  <c:v>La Romana</c:v>
                </c:pt>
                <c:pt idx="13">
                  <c:v>La vega</c:v>
                </c:pt>
                <c:pt idx="14">
                  <c:v>María Trinidad Sánchez</c:v>
                </c:pt>
                <c:pt idx="15">
                  <c:v>Monseñor Nouel</c:v>
                </c:pt>
                <c:pt idx="16">
                  <c:v>Montecristi</c:v>
                </c:pt>
                <c:pt idx="17">
                  <c:v>Monte Plata</c:v>
                </c:pt>
                <c:pt idx="18">
                  <c:v>Pedernales </c:v>
                </c:pt>
                <c:pt idx="19">
                  <c:v>Peravia</c:v>
                </c:pt>
                <c:pt idx="20">
                  <c:v>Puerto Plata </c:v>
                </c:pt>
                <c:pt idx="21">
                  <c:v>Hermanas Mirabal</c:v>
                </c:pt>
                <c:pt idx="22">
                  <c:v>Samaná</c:v>
                </c:pt>
                <c:pt idx="23">
                  <c:v>San Cristóbal</c:v>
                </c:pt>
                <c:pt idx="24">
                  <c:v>San Juan de la Maguana</c:v>
                </c:pt>
                <c:pt idx="25">
                  <c:v>San Pedro de Macorís</c:v>
                </c:pt>
                <c:pt idx="26">
                  <c:v>Sánchez Ramírez</c:v>
                </c:pt>
                <c:pt idx="27">
                  <c:v>Santiago de los Caballeros</c:v>
                </c:pt>
                <c:pt idx="28">
                  <c:v>Santiago Rodríguez</c:v>
                </c:pt>
                <c:pt idx="29">
                  <c:v>Valverde</c:v>
                </c:pt>
                <c:pt idx="30">
                  <c:v>San José de Ocoa</c:v>
                </c:pt>
                <c:pt idx="31">
                  <c:v>Santo Domingo</c:v>
                </c:pt>
                <c:pt idx="32">
                  <c:v>No Especificada</c:v>
                </c:pt>
              </c:strCache>
            </c:strRef>
          </c:cat>
          <c:val>
            <c:numRef>
              <c:f>'[6]Afil. SFS x Prov. Art. 124 Ley'!$J$3:$J$35</c:f>
              <c:numCache>
                <c:formatCode>General</c:formatCode>
                <c:ptCount val="33"/>
                <c:pt idx="0">
                  <c:v>6226</c:v>
                </c:pt>
                <c:pt idx="1">
                  <c:v>569</c:v>
                </c:pt>
                <c:pt idx="2">
                  <c:v>131</c:v>
                </c:pt>
                <c:pt idx="3">
                  <c:v>63</c:v>
                </c:pt>
                <c:pt idx="4">
                  <c:v>174</c:v>
                </c:pt>
                <c:pt idx="5">
                  <c:v>89</c:v>
                </c:pt>
                <c:pt idx="6">
                  <c:v>456</c:v>
                </c:pt>
                <c:pt idx="7">
                  <c:v>100</c:v>
                </c:pt>
                <c:pt idx="8">
                  <c:v>43</c:v>
                </c:pt>
                <c:pt idx="9">
                  <c:v>576</c:v>
                </c:pt>
                <c:pt idx="10">
                  <c:v>71</c:v>
                </c:pt>
                <c:pt idx="11">
                  <c:v>28</c:v>
                </c:pt>
                <c:pt idx="12">
                  <c:v>691</c:v>
                </c:pt>
                <c:pt idx="13">
                  <c:v>523</c:v>
                </c:pt>
                <c:pt idx="14">
                  <c:v>274</c:v>
                </c:pt>
                <c:pt idx="15">
                  <c:v>343</c:v>
                </c:pt>
                <c:pt idx="16">
                  <c:v>119</c:v>
                </c:pt>
                <c:pt idx="17">
                  <c:v>155</c:v>
                </c:pt>
                <c:pt idx="18">
                  <c:v>28</c:v>
                </c:pt>
                <c:pt idx="19">
                  <c:v>177</c:v>
                </c:pt>
                <c:pt idx="20">
                  <c:v>982</c:v>
                </c:pt>
                <c:pt idx="21">
                  <c:v>147</c:v>
                </c:pt>
                <c:pt idx="22">
                  <c:v>87</c:v>
                </c:pt>
                <c:pt idx="23">
                  <c:v>857</c:v>
                </c:pt>
                <c:pt idx="24">
                  <c:v>278</c:v>
                </c:pt>
                <c:pt idx="25">
                  <c:v>536</c:v>
                </c:pt>
                <c:pt idx="26">
                  <c:v>138</c:v>
                </c:pt>
                <c:pt idx="27">
                  <c:v>3672</c:v>
                </c:pt>
                <c:pt idx="28">
                  <c:v>72</c:v>
                </c:pt>
                <c:pt idx="29">
                  <c:v>385</c:v>
                </c:pt>
                <c:pt idx="30">
                  <c:v>50</c:v>
                </c:pt>
                <c:pt idx="31">
                  <c:v>1794</c:v>
                </c:pt>
                <c:pt idx="32">
                  <c:v>5250</c:v>
                </c:pt>
              </c:numCache>
            </c:numRef>
          </c:val>
        </c:ser>
        <c:dLbls>
          <c:showLegendKey val="0"/>
          <c:showVal val="0"/>
          <c:showCatName val="0"/>
          <c:showSerName val="0"/>
          <c:showPercent val="0"/>
          <c:showBubbleSize val="0"/>
        </c:dLbls>
        <c:gapWidth val="58"/>
        <c:shape val="box"/>
        <c:axId val="269878344"/>
        <c:axId val="269878736"/>
        <c:axId val="0"/>
      </c:bar3DChart>
      <c:catAx>
        <c:axId val="269878344"/>
        <c:scaling>
          <c:orientation val="minMax"/>
        </c:scaling>
        <c:delete val="0"/>
        <c:axPos val="b"/>
        <c:numFmt formatCode="General" sourceLinked="0"/>
        <c:majorTickMark val="out"/>
        <c:minorTickMark val="none"/>
        <c:tickLblPos val="nextTo"/>
        <c:crossAx val="269878736"/>
        <c:crosses val="autoZero"/>
        <c:auto val="1"/>
        <c:lblAlgn val="ctr"/>
        <c:lblOffset val="100"/>
        <c:noMultiLvlLbl val="0"/>
      </c:catAx>
      <c:valAx>
        <c:axId val="269878736"/>
        <c:scaling>
          <c:orientation val="minMax"/>
        </c:scaling>
        <c:delete val="1"/>
        <c:axPos val="l"/>
        <c:numFmt formatCode="General" sourceLinked="1"/>
        <c:majorTickMark val="out"/>
        <c:minorTickMark val="none"/>
        <c:tickLblPos val="nextTo"/>
        <c:crossAx val="2698783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Comparativo de la Población Afiliada al SFS RC  con la Población Nacional por Rango de Edad
</a:t>
            </a:r>
            <a:r>
              <a:rPr lang="en-US" sz="1050"/>
              <a:t>Al 31 de Diciembre 2011</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6.9936177065121315E-3"/>
          <c:y val="0.32446225080095453"/>
          <c:w val="0.97968729412379374"/>
          <c:h val="0.43116528181208075"/>
        </c:manualLayout>
      </c:layout>
      <c:bar3DChart>
        <c:barDir val="col"/>
        <c:grouping val="clustered"/>
        <c:varyColors val="0"/>
        <c:ser>
          <c:idx val="0"/>
          <c:order val="0"/>
          <c:tx>
            <c:strRef>
              <c:f>'[6]Comparativo afil. x edad'!$B$2</c:f>
              <c:strCache>
                <c:ptCount val="1"/>
                <c:pt idx="0">
                  <c:v>Población Nacional</c:v>
                </c:pt>
              </c:strCache>
            </c:strRef>
          </c:tx>
          <c:spPr>
            <a:solidFill>
              <a:srgbClr val="0070C0"/>
            </a:solidFill>
          </c:spPr>
          <c:invertIfNegative val="0"/>
          <c:dLbls>
            <c:dLbl>
              <c:idx val="7"/>
              <c:layout>
                <c:manualLayout>
                  <c:x val="5.6762307057040863E-3"/>
                  <c:y val="-1.7986936102471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'[6]Comparativo afil. x edad'!$A$3:$A$17</c:f>
              <c:strCache>
                <c:ptCount val="15"/>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65 -69</c:v>
                </c:pt>
                <c:pt idx="14">
                  <c:v>70 y más</c:v>
                </c:pt>
              </c:strCache>
            </c:strRef>
          </c:cat>
          <c:val>
            <c:numRef>
              <c:f>'[6]Comparativo afil. x edad'!$B$3:$B$17</c:f>
              <c:numCache>
                <c:formatCode>General</c:formatCode>
                <c:ptCount val="15"/>
                <c:pt idx="0">
                  <c:v>1063281.5000000005</c:v>
                </c:pt>
                <c:pt idx="1">
                  <c:v>1053464.5</c:v>
                </c:pt>
                <c:pt idx="2">
                  <c:v>1005494.0000000002</c:v>
                </c:pt>
                <c:pt idx="3">
                  <c:v>981126</c:v>
                </c:pt>
                <c:pt idx="4">
                  <c:v>916350</c:v>
                </c:pt>
                <c:pt idx="5">
                  <c:v>835825</c:v>
                </c:pt>
                <c:pt idx="6">
                  <c:v>735985</c:v>
                </c:pt>
                <c:pt idx="7">
                  <c:v>657046.00000000023</c:v>
                </c:pt>
                <c:pt idx="8">
                  <c:v>590874</c:v>
                </c:pt>
                <c:pt idx="9">
                  <c:v>527694.5</c:v>
                </c:pt>
                <c:pt idx="10">
                  <c:v>453364.50000000012</c:v>
                </c:pt>
                <c:pt idx="11">
                  <c:v>364306.5</c:v>
                </c:pt>
                <c:pt idx="12">
                  <c:v>274767</c:v>
                </c:pt>
                <c:pt idx="13">
                  <c:v>203064.5</c:v>
                </c:pt>
                <c:pt idx="14">
                  <c:v>410205</c:v>
                </c:pt>
              </c:numCache>
            </c:numRef>
          </c:val>
        </c:ser>
        <c:ser>
          <c:idx val="1"/>
          <c:order val="1"/>
          <c:tx>
            <c:strRef>
              <c:f>'[6]Comparativo afil. x edad'!$C$2</c:f>
              <c:strCache>
                <c:ptCount val="1"/>
                <c:pt idx="0">
                  <c:v>Población Afiliada  SFS RC</c:v>
                </c:pt>
              </c:strCache>
            </c:strRef>
          </c:tx>
          <c:spPr>
            <a:solidFill>
              <a:srgbClr val="00B050"/>
            </a:solidFill>
          </c:spPr>
          <c:invertIfNegative val="0"/>
          <c:dLbls>
            <c:dLbl>
              <c:idx val="0"/>
              <c:layout>
                <c:manualLayout>
                  <c:x val="3.6324785917347668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632478591734744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433047889796894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4957183469533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649571834695779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0541309862246111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4757833807144554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2649571834695337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4757833807144554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897435775204389E-2"/>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4757833807143669E-3"/>
                  <c:y val="-2.275769913569125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649571834695337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8.4757833807144554E-3"/>
                  <c:y val="-8.3443932879434774E-17"/>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4757833807144554E-3"/>
                  <c:y val="0"/>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4757833807144554E-3"/>
                  <c:y val="8.3443932879434774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'[6]Comparativo afil. x edad'!$A$3:$A$17</c:f>
              <c:strCache>
                <c:ptCount val="15"/>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65 -69</c:v>
                </c:pt>
                <c:pt idx="14">
                  <c:v>70 y más</c:v>
                </c:pt>
              </c:strCache>
            </c:strRef>
          </c:cat>
          <c:val>
            <c:numRef>
              <c:f>'[6]Comparativo afil. x edad'!$C$3:$C$17</c:f>
              <c:numCache>
                <c:formatCode>General</c:formatCode>
                <c:ptCount val="15"/>
                <c:pt idx="0">
                  <c:v>222037</c:v>
                </c:pt>
                <c:pt idx="1">
                  <c:v>242365</c:v>
                </c:pt>
                <c:pt idx="2">
                  <c:v>249006</c:v>
                </c:pt>
                <c:pt idx="3">
                  <c:v>182523</c:v>
                </c:pt>
                <c:pt idx="4">
                  <c:v>201709</c:v>
                </c:pt>
                <c:pt idx="5">
                  <c:v>235096</c:v>
                </c:pt>
                <c:pt idx="6">
                  <c:v>241241</c:v>
                </c:pt>
                <c:pt idx="7">
                  <c:v>212189</c:v>
                </c:pt>
                <c:pt idx="8">
                  <c:v>190403</c:v>
                </c:pt>
                <c:pt idx="9">
                  <c:v>163750</c:v>
                </c:pt>
                <c:pt idx="10">
                  <c:v>124447</c:v>
                </c:pt>
                <c:pt idx="11">
                  <c:v>94966</c:v>
                </c:pt>
                <c:pt idx="12">
                  <c:v>62469</c:v>
                </c:pt>
                <c:pt idx="13">
                  <c:v>38620</c:v>
                </c:pt>
                <c:pt idx="14">
                  <c:v>56602</c:v>
                </c:pt>
              </c:numCache>
            </c:numRef>
          </c:val>
        </c:ser>
        <c:dLbls>
          <c:showLegendKey val="0"/>
          <c:showVal val="0"/>
          <c:showCatName val="0"/>
          <c:showSerName val="0"/>
          <c:showPercent val="0"/>
          <c:showBubbleSize val="0"/>
        </c:dLbls>
        <c:gapWidth val="39"/>
        <c:shape val="box"/>
        <c:axId val="271292456"/>
        <c:axId val="271292848"/>
        <c:axId val="0"/>
      </c:bar3DChart>
      <c:catAx>
        <c:axId val="271292456"/>
        <c:scaling>
          <c:orientation val="minMax"/>
        </c:scaling>
        <c:delete val="0"/>
        <c:axPos val="b"/>
        <c:numFmt formatCode="General" sourceLinked="0"/>
        <c:majorTickMark val="none"/>
        <c:minorTickMark val="none"/>
        <c:tickLblPos val="nextTo"/>
        <c:crossAx val="271292848"/>
        <c:crosses val="autoZero"/>
        <c:auto val="1"/>
        <c:lblAlgn val="ctr"/>
        <c:lblOffset val="100"/>
        <c:noMultiLvlLbl val="0"/>
      </c:catAx>
      <c:valAx>
        <c:axId val="271292848"/>
        <c:scaling>
          <c:orientation val="minMax"/>
        </c:scaling>
        <c:delete val="1"/>
        <c:axPos val="l"/>
        <c:numFmt formatCode="General" sourceLinked="1"/>
        <c:majorTickMark val="none"/>
        <c:minorTickMark val="none"/>
        <c:tickLblPos val="nextTo"/>
        <c:crossAx val="27129245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(3)'!$E$2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(3)'!$E$3:$E$11</c:f>
              <c:numCache>
                <c:formatCode>_([$€-2]* #,##0_);_([$€-2]* \(#,##0\);_([$€-2]* "-"??_)</c:formatCode>
                <c:ptCount val="9"/>
              </c:numCache>
            </c:numRef>
          </c:val>
        </c:ser>
        <c:ser>
          <c:idx val="1"/>
          <c:order val="1"/>
          <c:tx>
            <c:strRef>
              <c:f>' SDSS Definiciones (3)'!$L$2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(3)'!$L$3:$L$11</c:f>
              <c:numCache>
                <c:formatCode>_([$€-2]* #,##0_);_([$€-2]* \(#,##0\);_([$€-2]* "-"??_)</c:formatCode>
                <c:ptCount val="9"/>
              </c:numCache>
            </c:numRef>
          </c:val>
        </c:ser>
        <c:dLbls>
          <c:showLegendKey val="0"/>
          <c:showVal val="0"/>
          <c:showCatName val="0"/>
          <c:showSerName val="0"/>
          <c:showPercent val="0"/>
          <c:showBubbleSize val="0"/>
        </c:dLbls>
        <c:gapWidth val="150"/>
        <c:shape val="cylinder"/>
        <c:axId val="240551600"/>
        <c:axId val="240551992"/>
        <c:axId val="0"/>
      </c:bar3DChart>
      <c:catAx>
        <c:axId val="240551600"/>
        <c:scaling>
          <c:orientation val="minMax"/>
        </c:scaling>
        <c:delete val="0"/>
        <c:axPos val="b"/>
        <c:title>
          <c:overlay val="0"/>
        </c:title>
        <c:numFmt formatCode="_([$€-2]* #,##0_);_([$€-2]* \(#,##0\);_([$€-2]* &quot;-&quot;??_)" sourceLinked="1"/>
        <c:majorTickMark val="none"/>
        <c:minorTickMark val="none"/>
        <c:tickLblPos val="nextTo"/>
        <c:crossAx val="240551992"/>
        <c:crosses val="autoZero"/>
        <c:auto val="1"/>
        <c:lblAlgn val="ctr"/>
        <c:lblOffset val="100"/>
        <c:noMultiLvlLbl val="0"/>
      </c:catAx>
      <c:valAx>
        <c:axId val="240551992"/>
        <c:scaling>
          <c:orientation val="minMax"/>
        </c:scaling>
        <c:delete val="0"/>
        <c:axPos val="l"/>
        <c:title>
          <c:overlay val="0"/>
        </c:title>
        <c:numFmt formatCode="_([$€-2]* #,##0_);_([$€-2]* \(#,##0\);_([$€-2]* &quot;-&quot;??_)" sourceLinked="1"/>
        <c:majorTickMark val="out"/>
        <c:minorTickMark val="none"/>
        <c:tickLblPos val="nextTo"/>
        <c:crossAx val="240551600"/>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Comparativo de la Población Afiliada al SFS RC  con la Población Nacional por Región
</a:t>
            </a:r>
            <a:r>
              <a:rPr lang="en-US" sz="1050"/>
              <a:t>Al 31 de Diciembre 2011</a:t>
            </a:r>
          </a:p>
        </c:rich>
      </c:tx>
      <c:layout>
        <c:manualLayout>
          <c:xMode val="edge"/>
          <c:yMode val="edge"/>
          <c:x val="0.24657310744437422"/>
          <c:y val="3.846409432913826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480851145039223E-3"/>
          <c:y val="0.30562564548504756"/>
          <c:w val="0.9652120790628802"/>
          <c:h val="0.47387417970830498"/>
        </c:manualLayout>
      </c:layout>
      <c:bar3DChart>
        <c:barDir val="col"/>
        <c:grouping val="clustered"/>
        <c:varyColors val="0"/>
        <c:ser>
          <c:idx val="0"/>
          <c:order val="0"/>
          <c:tx>
            <c:strRef>
              <c:f>'[6]Comparativo afil. x región'!$B$2</c:f>
              <c:strCache>
                <c:ptCount val="1"/>
                <c:pt idx="0">
                  <c:v>Población Nacional</c:v>
                </c:pt>
              </c:strCache>
            </c:strRef>
          </c:tx>
          <c:spPr>
            <a:solidFill>
              <a:srgbClr val="0070C0"/>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'[6]Comparativo afil. x región'!$A$3:$A$12</c:f>
              <c:strCache>
                <c:ptCount val="10"/>
                <c:pt idx="0">
                  <c:v>Región 0</c:v>
                </c:pt>
                <c:pt idx="1">
                  <c:v>Región 1</c:v>
                </c:pt>
                <c:pt idx="2">
                  <c:v>Región 2</c:v>
                </c:pt>
                <c:pt idx="3">
                  <c:v>Región 3</c:v>
                </c:pt>
                <c:pt idx="4">
                  <c:v>Región 4</c:v>
                </c:pt>
                <c:pt idx="5">
                  <c:v>Región 5</c:v>
                </c:pt>
                <c:pt idx="6">
                  <c:v>Región 6</c:v>
                </c:pt>
                <c:pt idx="7">
                  <c:v>Región 7</c:v>
                </c:pt>
                <c:pt idx="8">
                  <c:v>Región 8</c:v>
                </c:pt>
                <c:pt idx="9">
                  <c:v>No especificada</c:v>
                </c:pt>
              </c:strCache>
            </c:strRef>
          </c:cat>
          <c:val>
            <c:numRef>
              <c:f>'[6]Comparativo afil. x región'!$B$3:$B$12</c:f>
              <c:numCache>
                <c:formatCode>General</c:formatCode>
                <c:ptCount val="10"/>
                <c:pt idx="0">
                  <c:v>3603126.0000000005</c:v>
                </c:pt>
                <c:pt idx="1">
                  <c:v>1201455</c:v>
                </c:pt>
                <c:pt idx="2">
                  <c:v>1638718.9999999995</c:v>
                </c:pt>
                <c:pt idx="3">
                  <c:v>648204</c:v>
                </c:pt>
                <c:pt idx="4">
                  <c:v>402711</c:v>
                </c:pt>
                <c:pt idx="5">
                  <c:v>1031171.4999999998</c:v>
                </c:pt>
                <c:pt idx="6">
                  <c:v>317849</c:v>
                </c:pt>
                <c:pt idx="7">
                  <c:v>438793.99999999994</c:v>
                </c:pt>
                <c:pt idx="8">
                  <c:v>790818</c:v>
                </c:pt>
                <c:pt idx="9">
                  <c:v>0</c:v>
                </c:pt>
              </c:numCache>
            </c:numRef>
          </c:val>
        </c:ser>
        <c:ser>
          <c:idx val="1"/>
          <c:order val="1"/>
          <c:tx>
            <c:strRef>
              <c:f>'[6]Comparativo afil. x región'!$C$2</c:f>
              <c:strCache>
                <c:ptCount val="1"/>
                <c:pt idx="0">
                  <c:v>Población Afiliada  SFS RC</c:v>
                </c:pt>
              </c:strCache>
            </c:strRef>
          </c:tx>
          <c:spPr>
            <a:solidFill>
              <a:srgbClr val="00B050"/>
            </a:solidFill>
          </c:spPr>
          <c:invertIfNegative val="0"/>
          <c:dPt>
            <c:idx val="9"/>
            <c:invertIfNegative val="0"/>
            <c:bubble3D val="0"/>
            <c:spPr>
              <a:solidFill>
                <a:schemeClr val="accent6">
                  <a:lumMod val="50000"/>
                </a:schemeClr>
              </a:solidFill>
            </c:spPr>
          </c:dPt>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'[6]Comparativo afil. x región'!$A$3:$A$12</c:f>
              <c:strCache>
                <c:ptCount val="10"/>
                <c:pt idx="0">
                  <c:v>Región 0</c:v>
                </c:pt>
                <c:pt idx="1">
                  <c:v>Región 1</c:v>
                </c:pt>
                <c:pt idx="2">
                  <c:v>Región 2</c:v>
                </c:pt>
                <c:pt idx="3">
                  <c:v>Región 3</c:v>
                </c:pt>
                <c:pt idx="4">
                  <c:v>Región 4</c:v>
                </c:pt>
                <c:pt idx="5">
                  <c:v>Región 5</c:v>
                </c:pt>
                <c:pt idx="6">
                  <c:v>Región 6</c:v>
                </c:pt>
                <c:pt idx="7">
                  <c:v>Región 7</c:v>
                </c:pt>
                <c:pt idx="8">
                  <c:v>Región 8</c:v>
                </c:pt>
                <c:pt idx="9">
                  <c:v>No especificada</c:v>
                </c:pt>
              </c:strCache>
            </c:strRef>
          </c:cat>
          <c:val>
            <c:numRef>
              <c:f>'[6]Comparativo afil. x región'!$C$3:$C$12</c:f>
              <c:numCache>
                <c:formatCode>General</c:formatCode>
                <c:ptCount val="10"/>
                <c:pt idx="0">
                  <c:v>996454</c:v>
                </c:pt>
                <c:pt idx="1">
                  <c:v>150123</c:v>
                </c:pt>
                <c:pt idx="2">
                  <c:v>353237</c:v>
                </c:pt>
                <c:pt idx="3">
                  <c:v>102389</c:v>
                </c:pt>
                <c:pt idx="4">
                  <c:v>49998</c:v>
                </c:pt>
                <c:pt idx="5">
                  <c:v>198688</c:v>
                </c:pt>
                <c:pt idx="6">
                  <c:v>42899</c:v>
                </c:pt>
                <c:pt idx="7">
                  <c:v>62596</c:v>
                </c:pt>
                <c:pt idx="8">
                  <c:v>129660</c:v>
                </c:pt>
                <c:pt idx="9">
                  <c:v>431379</c:v>
                </c:pt>
              </c:numCache>
            </c:numRef>
          </c:val>
        </c:ser>
        <c:dLbls>
          <c:showLegendKey val="0"/>
          <c:showVal val="0"/>
          <c:showCatName val="0"/>
          <c:showSerName val="0"/>
          <c:showPercent val="0"/>
          <c:showBubbleSize val="0"/>
        </c:dLbls>
        <c:gapWidth val="75"/>
        <c:shape val="box"/>
        <c:axId val="271293632"/>
        <c:axId val="271294024"/>
        <c:axId val="0"/>
      </c:bar3DChart>
      <c:catAx>
        <c:axId val="271293632"/>
        <c:scaling>
          <c:orientation val="minMax"/>
        </c:scaling>
        <c:delete val="0"/>
        <c:axPos val="b"/>
        <c:numFmt formatCode="General" sourceLinked="0"/>
        <c:majorTickMark val="none"/>
        <c:minorTickMark val="none"/>
        <c:tickLblPos val="nextTo"/>
        <c:crossAx val="271294024"/>
        <c:crosses val="autoZero"/>
        <c:auto val="1"/>
        <c:lblAlgn val="ctr"/>
        <c:lblOffset val="100"/>
        <c:noMultiLvlLbl val="0"/>
      </c:catAx>
      <c:valAx>
        <c:axId val="271294024"/>
        <c:scaling>
          <c:orientation val="minMax"/>
        </c:scaling>
        <c:delete val="1"/>
        <c:axPos val="l"/>
        <c:numFmt formatCode="General" sourceLinked="1"/>
        <c:majorTickMark val="none"/>
        <c:minorTickMark val="none"/>
        <c:tickLblPos val="nextTo"/>
        <c:crossAx val="271293632"/>
        <c:crosses val="autoZero"/>
        <c:crossBetween val="between"/>
      </c:valAx>
    </c:plotArea>
    <c:legend>
      <c:legendPos val="t"/>
      <c:layout>
        <c:manualLayout>
          <c:xMode val="edge"/>
          <c:yMode val="edge"/>
          <c:x val="0.36111546404333139"/>
          <c:y val="0.1209808896340602"/>
          <c:w val="0.27776907191333727"/>
          <c:h val="4.0914287424592827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426479844018854E-2"/>
          <c:y val="0.18353913251559364"/>
          <c:w val="0.90674749559910539"/>
          <c:h val="0.73272913525506844"/>
        </c:manualLayout>
      </c:layout>
      <c:bar3DChart>
        <c:barDir val="col"/>
        <c:grouping val="clustered"/>
        <c:varyColors val="0"/>
        <c:ser>
          <c:idx val="0"/>
          <c:order val="0"/>
          <c:tx>
            <c:strRef>
              <c:f>'IV.1.2.1 Rec. disp. salud'!$F$3</c:f>
              <c:strCache>
                <c:ptCount val="1"/>
                <c:pt idx="0">
                  <c:v>Ingreso total </c:v>
                </c:pt>
              </c:strCache>
            </c:strRef>
          </c:tx>
          <c:invertIfNegative val="0"/>
          <c:dLbls>
            <c:dLbl>
              <c:idx val="0"/>
              <c:layout>
                <c:manualLayout>
                  <c:x val="7.6923076923076606E-3"/>
                  <c:y val="-1.52287695438999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1282051282051282E-3"/>
                  <c:y val="-1.903596192987477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1282051282051282E-3"/>
                  <c:y val="-1.903596192987481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4187481531696602E-3"/>
                  <c:y val="-1.13224444442082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0112287288590941E-3"/>
                  <c:y val="-7.4904450552145301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508265109245451E-3"/>
                  <c:y val="-7.4409450432950663E-3"/>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8.8300220750538931E-4"/>
                  <c:y val="-1.5426997579813834E-2"/>
                </c:manualLayout>
              </c:layout>
              <c:spPr/>
              <c:txPr>
                <a:bodyPr/>
                <a:lstStyle/>
                <a:p>
                  <a:pPr>
                    <a:defRPr sz="1600" b="1">
                      <a:solidFill>
                        <a:schemeClr val="accent5">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'IV.1.2.1 Rec. disp. salud'!$A$4:$A$10</c:f>
              <c:strCache>
                <c:ptCount val="7"/>
                <c:pt idx="0">
                  <c:v>2007</c:v>
                </c:pt>
                <c:pt idx="1">
                  <c:v>2008</c:v>
                </c:pt>
                <c:pt idx="2">
                  <c:v>2009</c:v>
                </c:pt>
                <c:pt idx="3">
                  <c:v>2010</c:v>
                </c:pt>
                <c:pt idx="4">
                  <c:v>2011</c:v>
                </c:pt>
                <c:pt idx="5">
                  <c:v>2012</c:v>
                </c:pt>
                <c:pt idx="6">
                  <c:v>May. 13</c:v>
                </c:pt>
              </c:strCache>
            </c:strRef>
          </c:cat>
          <c:val>
            <c:numRef>
              <c:f>'IV.1.2.1 Rec. disp. salud'!$F$4:$F$10</c:f>
              <c:numCache>
                <c:formatCode>#,##0.00_);[Red]\(#,##0.00\)</c:formatCode>
                <c:ptCount val="7"/>
                <c:pt idx="0">
                  <c:v>4686877794.6300001</c:v>
                </c:pt>
                <c:pt idx="1">
                  <c:v>15470476030.930004</c:v>
                </c:pt>
                <c:pt idx="2">
                  <c:v>17161027127.5</c:v>
                </c:pt>
                <c:pt idx="3">
                  <c:v>19437520131.98</c:v>
                </c:pt>
                <c:pt idx="4">
                  <c:v>21809952191.549999</c:v>
                </c:pt>
                <c:pt idx="5">
                  <c:v>24045895755.450005</c:v>
                </c:pt>
                <c:pt idx="6">
                  <c:v>4156185318.2499995</c:v>
                </c:pt>
              </c:numCache>
            </c:numRef>
          </c:val>
        </c:ser>
        <c:ser>
          <c:idx val="1"/>
          <c:order val="1"/>
          <c:tx>
            <c:strRef>
              <c:f>'IV.1.2.1 Rec. disp. salud'!$H$3</c:f>
              <c:strCache>
                <c:ptCount val="1"/>
                <c:pt idx="0">
                  <c:v>Saldo CCS (Recaudo -Dispersión)</c:v>
                </c:pt>
              </c:strCache>
            </c:strRef>
          </c:tx>
          <c:invertIfNegative val="0"/>
          <c:dPt>
            <c:idx val="1"/>
            <c:invertIfNegative val="0"/>
            <c:bubble3D val="0"/>
            <c:spPr>
              <a:solidFill>
                <a:schemeClr val="accent2">
                  <a:lumMod val="60000"/>
                  <a:lumOff val="40000"/>
                </a:schemeClr>
              </a:solidFill>
            </c:spPr>
          </c:dPt>
          <c:dPt>
            <c:idx val="2"/>
            <c:invertIfNegative val="0"/>
            <c:bubble3D val="0"/>
            <c:spPr>
              <a:solidFill>
                <a:schemeClr val="accent2">
                  <a:lumMod val="60000"/>
                  <a:lumOff val="40000"/>
                </a:schemeClr>
              </a:solidFill>
            </c:spPr>
          </c:dPt>
          <c:dPt>
            <c:idx val="3"/>
            <c:invertIfNegative val="0"/>
            <c:bubble3D val="0"/>
            <c:spPr>
              <a:solidFill>
                <a:schemeClr val="accent2"/>
              </a:solidFill>
            </c:spPr>
          </c:dPt>
          <c:dPt>
            <c:idx val="4"/>
            <c:invertIfNegative val="0"/>
            <c:bubble3D val="0"/>
            <c:spPr>
              <a:solidFill>
                <a:schemeClr val="accent2"/>
              </a:solidFill>
            </c:spPr>
          </c:dPt>
          <c:dPt>
            <c:idx val="5"/>
            <c:invertIfNegative val="0"/>
            <c:bubble3D val="0"/>
            <c:spPr>
              <a:solidFill>
                <a:schemeClr val="accent2"/>
              </a:solidFill>
            </c:spPr>
          </c:dPt>
          <c:dPt>
            <c:idx val="6"/>
            <c:invertIfNegative val="0"/>
            <c:bubble3D val="0"/>
            <c:spPr>
              <a:solidFill>
                <a:schemeClr val="accent2">
                  <a:lumMod val="75000"/>
                </a:schemeClr>
              </a:solidFill>
            </c:spPr>
          </c:dPt>
          <c:dLbls>
            <c:dLbl>
              <c:idx val="0"/>
              <c:layout>
                <c:manualLayout>
                  <c:x val="1.2820518084142724E-2"/>
                  <c:y val="-3.85318924751677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391555701715711E-3"/>
                  <c:y val="-1.59050857138944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6337321133039286E-3"/>
                  <c:y val="-1.14084037047736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340922861783779E-3"/>
                  <c:y val="-1.9418305248130289E-5"/>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05055115333503E-3"/>
                  <c:y val="-3.826601106484907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9860403460351092E-3"/>
                  <c:y val="1.9100143785083174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7.9096032686937212E-3"/>
                  <c:y val="7.5885243193361211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'IV.1.2.1 Rec. disp. salud'!$A$4:$A$10</c:f>
              <c:strCache>
                <c:ptCount val="7"/>
                <c:pt idx="0">
                  <c:v>2007</c:v>
                </c:pt>
                <c:pt idx="1">
                  <c:v>2008</c:v>
                </c:pt>
                <c:pt idx="2">
                  <c:v>2009</c:v>
                </c:pt>
                <c:pt idx="3">
                  <c:v>2010</c:v>
                </c:pt>
                <c:pt idx="4">
                  <c:v>2011</c:v>
                </c:pt>
                <c:pt idx="5">
                  <c:v>2012</c:v>
                </c:pt>
                <c:pt idx="6">
                  <c:v>May. 13</c:v>
                </c:pt>
              </c:strCache>
            </c:strRef>
          </c:cat>
          <c:val>
            <c:numRef>
              <c:f>'IV.1.2.1 Rec. disp. salud'!$H$4:$H$10</c:f>
              <c:numCache>
                <c:formatCode>#,##0.00_);[Red]\(#,##0.00\)</c:formatCode>
                <c:ptCount val="7"/>
                <c:pt idx="0">
                  <c:v>1806277064.1400003</c:v>
                </c:pt>
                <c:pt idx="1">
                  <c:v>2868696805.7100029</c:v>
                </c:pt>
                <c:pt idx="2">
                  <c:v>1948733833.8899994</c:v>
                </c:pt>
                <c:pt idx="3">
                  <c:v>-486099761.64999771</c:v>
                </c:pt>
                <c:pt idx="4">
                  <c:v>-345210090.30000305</c:v>
                </c:pt>
                <c:pt idx="5">
                  <c:v>-981135455.54999542</c:v>
                </c:pt>
                <c:pt idx="6">
                  <c:v>-7188043094.5300007</c:v>
                </c:pt>
              </c:numCache>
            </c:numRef>
          </c:val>
        </c:ser>
        <c:ser>
          <c:idx val="2"/>
          <c:order val="2"/>
          <c:tx>
            <c:strRef>
              <c:f>'IV.1.2.1 Rec. disp. salud'!$B$3</c:f>
              <c:strCache>
                <c:ptCount val="1"/>
                <c:pt idx="0">
                  <c:v>Fondo  CCS Invertido</c:v>
                </c:pt>
              </c:strCache>
            </c:strRef>
          </c:tx>
          <c:spPr>
            <a:solidFill>
              <a:schemeClr val="accent3">
                <a:lumMod val="50000"/>
              </a:schemeClr>
            </a:solidFill>
          </c:spPr>
          <c:invertIfNegative val="0"/>
          <c:dPt>
            <c:idx val="0"/>
            <c:invertIfNegative val="0"/>
            <c:bubble3D val="0"/>
          </c:dPt>
          <c:dLbls>
            <c:dLbl>
              <c:idx val="0"/>
              <c:delete val="1"/>
              <c:extLst>
                <c:ext xmlns:c15="http://schemas.microsoft.com/office/drawing/2012/chart" uri="{CE6537A1-D6FC-4f65-9D91-7224C49458BB}"/>
              </c:extLst>
            </c:dLbl>
            <c:dLbl>
              <c:idx val="1"/>
              <c:layout>
                <c:manualLayout>
                  <c:x val="1.4457481488206733E-2"/>
                  <c:y val="-2.47402652301503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820512820512758E-2"/>
                  <c:y val="-1.903596192987481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1.713236573688733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9829059829059833E-3"/>
                  <c:y val="-1.142157715792495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2735042735041482E-3"/>
                  <c:y val="-3.2361135280787254E-2"/>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2.6490066225165563E-3"/>
                  <c:y val="-9.6418734873836461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'IV.1.2.1 Rec. disp. salud'!$A$4:$A$10</c:f>
              <c:strCache>
                <c:ptCount val="7"/>
                <c:pt idx="0">
                  <c:v>2007</c:v>
                </c:pt>
                <c:pt idx="1">
                  <c:v>2008</c:v>
                </c:pt>
                <c:pt idx="2">
                  <c:v>2009</c:v>
                </c:pt>
                <c:pt idx="3">
                  <c:v>2010</c:v>
                </c:pt>
                <c:pt idx="4">
                  <c:v>2011</c:v>
                </c:pt>
                <c:pt idx="5">
                  <c:v>2012</c:v>
                </c:pt>
                <c:pt idx="6">
                  <c:v>May. 13</c:v>
                </c:pt>
              </c:strCache>
            </c:strRef>
          </c:cat>
          <c:val>
            <c:numRef>
              <c:f>'IV.1.2.1 Rec. disp. salud'!$B$4:$B$10</c:f>
              <c:numCache>
                <c:formatCode>#,##0.00_);[Red]\(#,##0.00\)</c:formatCode>
                <c:ptCount val="7"/>
                <c:pt idx="0">
                  <c:v>0</c:v>
                </c:pt>
                <c:pt idx="1">
                  <c:v>4000000000</c:v>
                </c:pt>
                <c:pt idx="2">
                  <c:v>7024153181.6999998</c:v>
                </c:pt>
                <c:pt idx="3">
                  <c:v>7025911153.7799997</c:v>
                </c:pt>
                <c:pt idx="4">
                  <c:v>6833090118.8800001</c:v>
                </c:pt>
                <c:pt idx="5">
                  <c:v>6599992425.9700003</c:v>
                </c:pt>
                <c:pt idx="6">
                  <c:v>6383778265.6899996</c:v>
                </c:pt>
              </c:numCache>
            </c:numRef>
          </c:val>
        </c:ser>
        <c:dLbls>
          <c:showLegendKey val="0"/>
          <c:showVal val="0"/>
          <c:showCatName val="0"/>
          <c:showSerName val="0"/>
          <c:showPercent val="0"/>
          <c:showBubbleSize val="0"/>
        </c:dLbls>
        <c:gapWidth val="60"/>
        <c:shape val="cylinder"/>
        <c:axId val="271294808"/>
        <c:axId val="271295200"/>
        <c:axId val="0"/>
      </c:bar3DChart>
      <c:catAx>
        <c:axId val="271294808"/>
        <c:scaling>
          <c:orientation val="minMax"/>
        </c:scaling>
        <c:delete val="0"/>
        <c:axPos val="b"/>
        <c:numFmt formatCode="General" sourceLinked="0"/>
        <c:majorTickMark val="out"/>
        <c:minorTickMark val="none"/>
        <c:tickLblPos val="low"/>
        <c:txPr>
          <a:bodyPr/>
          <a:lstStyle/>
          <a:p>
            <a:pPr>
              <a:defRPr sz="1400"/>
            </a:pPr>
            <a:endParaRPr lang="es-ES"/>
          </a:p>
        </c:txPr>
        <c:crossAx val="271295200"/>
        <c:crosses val="autoZero"/>
        <c:auto val="1"/>
        <c:lblAlgn val="ctr"/>
        <c:lblOffset val="100"/>
        <c:noMultiLvlLbl val="0"/>
      </c:catAx>
      <c:valAx>
        <c:axId val="271295200"/>
        <c:scaling>
          <c:orientation val="minMax"/>
        </c:scaling>
        <c:delete val="0"/>
        <c:axPos val="l"/>
        <c:numFmt formatCode="#,##0.00_);[Red]\(#,##0.00\)" sourceLinked="1"/>
        <c:majorTickMark val="out"/>
        <c:minorTickMark val="none"/>
        <c:tickLblPos val="nextTo"/>
        <c:txPr>
          <a:bodyPr/>
          <a:lstStyle/>
          <a:p>
            <a:pPr>
              <a:defRPr sz="1200"/>
            </a:pPr>
            <a:endParaRPr lang="es-ES"/>
          </a:p>
        </c:txPr>
        <c:crossAx val="271294808"/>
        <c:crosses val="autoZero"/>
        <c:crossBetween val="between"/>
        <c:dispUnits>
          <c:builtInUnit val="millions"/>
          <c:dispUnitsLbl>
            <c:layout>
              <c:manualLayout>
                <c:xMode val="edge"/>
                <c:yMode val="edge"/>
                <c:x val="8.1444427289726062E-3"/>
                <c:y val="0.49051140952498667"/>
              </c:manualLayout>
            </c:layout>
            <c:txPr>
              <a:bodyPr/>
              <a:lstStyle/>
              <a:p>
                <a:pPr>
                  <a:defRPr sz="1200"/>
                </a:pPr>
                <a:endParaRPr lang="es-ES"/>
              </a:p>
            </c:txPr>
          </c:dispUnitsLbl>
        </c:dispUnits>
      </c:valAx>
    </c:plotArea>
    <c:legend>
      <c:legendPos val="r"/>
      <c:layout>
        <c:manualLayout>
          <c:xMode val="edge"/>
          <c:yMode val="edge"/>
          <c:x val="0.16838446281303898"/>
          <c:y val="6.855438484750806E-2"/>
          <c:w val="0.73628947990484761"/>
          <c:h val="6.206374163257757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Familiar de Salud (SFS) del Régimen Contributivo (RC)</a:t>
            </a:r>
          </a:p>
          <a:p>
            <a:pPr>
              <a:defRPr/>
            </a:pPr>
            <a:r>
              <a:rPr lang="es-DO"/>
              <a:t>Fondos Dispersados Anualmente por Cuentas al SFS del RC</a:t>
            </a:r>
          </a:p>
        </c:rich>
      </c:tx>
      <c:layout>
        <c:manualLayout>
          <c:xMode val="edge"/>
          <c:yMode val="edge"/>
          <c:x val="0.33135750415942367"/>
          <c:y val="1.8333668855567972E-2"/>
        </c:manualLayout>
      </c:layout>
      <c:overlay val="1"/>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4.5845570596119323E-2"/>
          <c:y val="0.26899294145098879"/>
          <c:w val="0.91785809868446444"/>
          <c:h val="0.59420649372783119"/>
        </c:manualLayout>
      </c:layout>
      <c:bar3DChart>
        <c:barDir val="col"/>
        <c:grouping val="clustered"/>
        <c:varyColors val="0"/>
        <c:ser>
          <c:idx val="0"/>
          <c:order val="0"/>
          <c:tx>
            <c:strRef>
              <c:f>'IV.1.2.2 Disp. SFS'!$A$5</c:f>
              <c:strCache>
                <c:ptCount val="1"/>
                <c:pt idx="0">
                  <c:v>Cuidado de la Salud *</c:v>
                </c:pt>
              </c:strCache>
            </c:strRef>
          </c:tx>
          <c:spPr>
            <a:solidFill>
              <a:schemeClr val="accent5">
                <a:lumMod val="50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5270600770427379E-3"/>
                  <c:y val="-8.84165250405352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571570235381913E-3"/>
                  <c:y val="-8.63824591257298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094384317510257E-3"/>
                  <c:y val="-8.5988868139947067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4.3016267768058239E-3"/>
                  <c:y val="-1.3310908896908988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2.9644391020566129E-3"/>
                  <c:y val="-1.9525802810301852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spPr/>
              <c:txPr>
                <a:bodyPr rot="-5400000" vert="horz"/>
                <a:lstStyle/>
                <a:p>
                  <a:pPr>
                    <a:defRPr lang="en-US" sz="1600" b="0"/>
                  </a:pPr>
                  <a:endParaRPr lang="es-ES"/>
                </a:p>
              </c:txPr>
              <c:showLegendKey val="0"/>
              <c:showVal val="1"/>
              <c:showCatName val="0"/>
              <c:showSerName val="0"/>
              <c:showPercent val="0"/>
              <c:showBubbleSize val="0"/>
            </c:dLbl>
            <c:dLbl>
              <c:idx val="7"/>
              <c:spPr/>
              <c:txPr>
                <a:bodyPr rot="-5400000" vert="horz"/>
                <a:lstStyle/>
                <a:p>
                  <a:pPr>
                    <a:defRPr lang="en-US" sz="1600" b="1"/>
                  </a:pPr>
                  <a:endParaRPr lang="es-ES"/>
                </a:p>
              </c:txPr>
              <c:showLegendKey val="0"/>
              <c:showVal val="1"/>
              <c:showCatName val="0"/>
              <c:showSerName val="0"/>
              <c:showPercent val="0"/>
              <c:showBubbleSize val="0"/>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'IV.1.2.2 Disp. SFS'!$B$4:$I$4</c:f>
              <c:strCache>
                <c:ptCount val="8"/>
                <c:pt idx="0">
                  <c:v>2007</c:v>
                </c:pt>
                <c:pt idx="1">
                  <c:v>2008</c:v>
                </c:pt>
                <c:pt idx="2">
                  <c:v>2009</c:v>
                </c:pt>
                <c:pt idx="3">
                  <c:v>2010</c:v>
                </c:pt>
                <c:pt idx="4">
                  <c:v>2011</c:v>
                </c:pt>
                <c:pt idx="5">
                  <c:v> 2012</c:v>
                </c:pt>
                <c:pt idx="6">
                  <c:v> 2013</c:v>
                </c:pt>
                <c:pt idx="7">
                  <c:v> 2014</c:v>
                </c:pt>
              </c:strCache>
            </c:strRef>
          </c:cat>
          <c:val>
            <c:numRef>
              <c:f>'IV.1.2.2 Disp. SFS'!$B$5:$I$5</c:f>
              <c:numCache>
                <c:formatCode>_(* #,##0.00_);_(* \(#,##0.00\);_(* "-"??_);_(@_)</c:formatCode>
                <c:ptCount val="8"/>
                <c:pt idx="0">
                  <c:v>2756085890.3800001</c:v>
                </c:pt>
                <c:pt idx="1">
                  <c:v>12262043622.240002</c:v>
                </c:pt>
                <c:pt idx="2">
                  <c:v>14997271060.83</c:v>
                </c:pt>
                <c:pt idx="3">
                  <c:v>20037998054.5</c:v>
                </c:pt>
                <c:pt idx="4">
                  <c:v>22215656750.489998</c:v>
                </c:pt>
                <c:pt idx="5">
                  <c:v>25323798457.93</c:v>
                </c:pt>
                <c:pt idx="6">
                  <c:v>27866096681.57</c:v>
                </c:pt>
                <c:pt idx="7">
                  <c:v>31167111771.200001</c:v>
                </c:pt>
              </c:numCache>
            </c:numRef>
          </c:val>
        </c:ser>
        <c:ser>
          <c:idx val="1"/>
          <c:order val="1"/>
          <c:tx>
            <c:strRef>
              <c:f>'IV.1.2.2 Disp. SFS'!$A$7</c:f>
              <c:strCache>
                <c:ptCount val="1"/>
                <c:pt idx="0">
                  <c:v>FONAMAT </c:v>
                </c:pt>
              </c:strCache>
            </c:strRef>
          </c:tx>
          <c:invertIfNegative val="0"/>
          <c:dLbls>
            <c:dLbl>
              <c:idx val="0"/>
              <c:spPr/>
              <c:txPr>
                <a:bodyPr rot="-5400000" vert="horz"/>
                <a:lstStyle/>
                <a:p>
                  <a:pPr>
                    <a:defRPr lang="en-US" sz="1400" b="0"/>
                  </a:pPr>
                  <a:endParaRPr lang="es-ES"/>
                </a:p>
              </c:txPr>
              <c:showLegendKey val="0"/>
              <c:showVal val="1"/>
              <c:showCatName val="0"/>
              <c:showSerName val="0"/>
              <c:showPercent val="0"/>
              <c:showBubbleSize val="0"/>
            </c:dLbl>
            <c:dLbl>
              <c:idx val="1"/>
              <c:spPr/>
              <c:txPr>
                <a:bodyPr rot="-5400000" vert="horz"/>
                <a:lstStyle/>
                <a:p>
                  <a:pPr>
                    <a:defRPr lang="en-US" sz="1400" b="0"/>
                  </a:pPr>
                  <a:endParaRPr lang="es-ES"/>
                </a:p>
              </c:txPr>
              <c:showLegendKey val="0"/>
              <c:showVal val="1"/>
              <c:showCatName val="0"/>
              <c:showSerName val="0"/>
              <c:showPercent val="0"/>
              <c:showBubbleSize val="0"/>
            </c:dLbl>
            <c:dLbl>
              <c:idx val="2"/>
              <c:spPr/>
              <c:txPr>
                <a:bodyPr rot="-5400000" vert="horz"/>
                <a:lstStyle/>
                <a:p>
                  <a:pPr>
                    <a:defRPr lang="en-US" sz="14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400" b="0"/>
                    </a:pPr>
                    <a:r>
                      <a:rPr lang="en-US" sz="14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400" b="0"/>
                  </a:pPr>
                  <a:endParaRPr lang="es-ES"/>
                </a:p>
              </c:txPr>
              <c:showLegendKey val="0"/>
              <c:showVal val="1"/>
              <c:showCatName val="0"/>
              <c:showSerName val="0"/>
              <c:showPercent val="0"/>
              <c:showBubbleSize val="0"/>
            </c:dLbl>
            <c:dLbl>
              <c:idx val="5"/>
              <c:spPr/>
              <c:txPr>
                <a:bodyPr rot="-5400000" vert="horz"/>
                <a:lstStyle/>
                <a:p>
                  <a:pPr>
                    <a:defRPr lang="en-US" sz="14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'IV.1.2.2 Disp. SFS'!$B$4:$I$4</c:f>
              <c:strCache>
                <c:ptCount val="8"/>
                <c:pt idx="0">
                  <c:v>2007</c:v>
                </c:pt>
                <c:pt idx="1">
                  <c:v>2008</c:v>
                </c:pt>
                <c:pt idx="2">
                  <c:v>2009</c:v>
                </c:pt>
                <c:pt idx="3">
                  <c:v>2010</c:v>
                </c:pt>
                <c:pt idx="4">
                  <c:v>2011</c:v>
                </c:pt>
                <c:pt idx="5">
                  <c:v> 2012</c:v>
                </c:pt>
                <c:pt idx="6">
                  <c:v> 2013</c:v>
                </c:pt>
                <c:pt idx="7">
                  <c:v> 2014</c:v>
                </c:pt>
              </c:strCache>
            </c:strRef>
          </c:cat>
          <c:val>
            <c:numRef>
              <c:f>'IV.1.2.2 Disp. SFS'!$B$7:$I$7</c:f>
              <c:numCache>
                <c:formatCode>_(* #,##0.00_);_(* \(#,##0.00\);_(* "-"??_);_(@_)</c:formatCode>
                <c:ptCount val="8"/>
                <c:pt idx="0">
                  <c:v>71139450</c:v>
                </c:pt>
                <c:pt idx="1">
                  <c:v>245511975</c:v>
                </c:pt>
                <c:pt idx="2">
                  <c:v>83348568.400000006</c:v>
                </c:pt>
                <c:pt idx="3">
                  <c:v>0</c:v>
                </c:pt>
                <c:pt idx="4">
                  <c:v>149163844</c:v>
                </c:pt>
                <c:pt idx="5">
                  <c:v>182825831.59999999</c:v>
                </c:pt>
                <c:pt idx="6">
                  <c:v>213705747.59999999</c:v>
                </c:pt>
                <c:pt idx="7">
                  <c:v>260908691.69999999</c:v>
                </c:pt>
              </c:numCache>
            </c:numRef>
          </c:val>
        </c:ser>
        <c:ser>
          <c:idx val="2"/>
          <c:order val="2"/>
          <c:tx>
            <c:strRef>
              <c:f>'IV.1.2.2 Disp. SFS'!$A$8</c:f>
              <c:strCache>
                <c:ptCount val="1"/>
                <c:pt idx="0">
                  <c:v>Subsidios </c:v>
                </c:pt>
              </c:strCache>
            </c:strRef>
          </c:tx>
          <c:invertIfNegative val="0"/>
          <c:dLbls>
            <c:dLbl>
              <c:idx val="0"/>
              <c:tx>
                <c:rich>
                  <a:bodyPr rot="0" vert="horz"/>
                  <a:lstStyle/>
                  <a:p>
                    <a:pPr>
                      <a:defRPr lang="en-US" sz="1400" b="0"/>
                    </a:pPr>
                    <a:r>
                      <a:rPr lang="en-US" sz="14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'IV.1.2.2 Disp. SFS'!$B$4:$I$4</c:f>
              <c:strCache>
                <c:ptCount val="8"/>
                <c:pt idx="0">
                  <c:v>2007</c:v>
                </c:pt>
                <c:pt idx="1">
                  <c:v>2008</c:v>
                </c:pt>
                <c:pt idx="2">
                  <c:v>2009</c:v>
                </c:pt>
                <c:pt idx="3">
                  <c:v>2010</c:v>
                </c:pt>
                <c:pt idx="4">
                  <c:v>2011</c:v>
                </c:pt>
                <c:pt idx="5">
                  <c:v> 2012</c:v>
                </c:pt>
                <c:pt idx="6">
                  <c:v> 2013</c:v>
                </c:pt>
                <c:pt idx="7">
                  <c:v> 2014</c:v>
                </c:pt>
              </c:strCache>
            </c:strRef>
          </c:cat>
          <c:val>
            <c:numRef>
              <c:f>'IV.1.2.2 Disp. SFS'!$B$8:$I$8</c:f>
              <c:numCache>
                <c:formatCode>_(* #,##0.00_);_(* \(#,##0.00\);_(* "-"??_);_(@_)</c:formatCode>
                <c:ptCount val="8"/>
                <c:pt idx="0">
                  <c:v>0</c:v>
                </c:pt>
                <c:pt idx="1">
                  <c:v>283848938.23000002</c:v>
                </c:pt>
                <c:pt idx="2">
                  <c:v>717406862.30999994</c:v>
                </c:pt>
                <c:pt idx="3">
                  <c:v>958993042.63</c:v>
                </c:pt>
                <c:pt idx="4">
                  <c:v>1126433498.0599999</c:v>
                </c:pt>
                <c:pt idx="5">
                  <c:v>1222112428.3699999</c:v>
                </c:pt>
                <c:pt idx="6">
                  <c:v>1358265601.1400001</c:v>
                </c:pt>
                <c:pt idx="7">
                  <c:v>1556233315.8</c:v>
                </c:pt>
              </c:numCache>
            </c:numRef>
          </c:val>
        </c:ser>
        <c:ser>
          <c:idx val="3"/>
          <c:order val="3"/>
          <c:tx>
            <c:strRef>
              <c:f>'IV.1.2.2 Disp. SFS'!$A$9</c:f>
              <c:strCache>
                <c:ptCount val="1"/>
                <c:pt idx="0">
                  <c:v>Comisión SISALRIL</c:v>
                </c:pt>
              </c:strCache>
            </c:strRef>
          </c:tx>
          <c:invertIfNegative val="0"/>
          <c:dLbls>
            <c:dLbl>
              <c:idx val="0"/>
              <c:tx>
                <c:rich>
                  <a:bodyPr rot="0" vert="horz"/>
                  <a:lstStyle/>
                  <a:p>
                    <a:pPr>
                      <a:defRPr lang="en-US" sz="1400" b="0"/>
                    </a:pPr>
                    <a:r>
                      <a:rPr lang="en-US" sz="14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'IV.1.2.2 Disp. SFS'!$B$4:$I$4</c:f>
              <c:strCache>
                <c:ptCount val="8"/>
                <c:pt idx="0">
                  <c:v>2007</c:v>
                </c:pt>
                <c:pt idx="1">
                  <c:v>2008</c:v>
                </c:pt>
                <c:pt idx="2">
                  <c:v>2009</c:v>
                </c:pt>
                <c:pt idx="3">
                  <c:v>2010</c:v>
                </c:pt>
                <c:pt idx="4">
                  <c:v>2011</c:v>
                </c:pt>
                <c:pt idx="5">
                  <c:v> 2012</c:v>
                </c:pt>
                <c:pt idx="6">
                  <c:v> 2013</c:v>
                </c:pt>
                <c:pt idx="7">
                  <c:v> 2014</c:v>
                </c:pt>
              </c:strCache>
            </c:strRef>
          </c:cat>
          <c:val>
            <c:numRef>
              <c:f>'IV.1.2.2 Disp. SFS'!$B$9:$I$9</c:f>
              <c:numCache>
                <c:formatCode>_(* #,##0.00_);_(* \(#,##0.00\);_(* "-"??_);_(@_)</c:formatCode>
                <c:ptCount val="8"/>
                <c:pt idx="0">
                  <c:v>0</c:v>
                </c:pt>
                <c:pt idx="1">
                  <c:v>38720972.609999999</c:v>
                </c:pt>
                <c:pt idx="2">
                  <c:v>121903634.47</c:v>
                </c:pt>
                <c:pt idx="3">
                  <c:v>138388657.5</c:v>
                </c:pt>
                <c:pt idx="4">
                  <c:v>155182686.03</c:v>
                </c:pt>
                <c:pt idx="5">
                  <c:v>171240027.52000001</c:v>
                </c:pt>
                <c:pt idx="6">
                  <c:v>190492244.19999999</c:v>
                </c:pt>
                <c:pt idx="7">
                  <c:v>215918628.93000001</c:v>
                </c:pt>
              </c:numCache>
            </c:numRef>
          </c:val>
        </c:ser>
        <c:dLbls>
          <c:showLegendKey val="0"/>
          <c:showVal val="0"/>
          <c:showCatName val="0"/>
          <c:showSerName val="0"/>
          <c:showPercent val="0"/>
          <c:showBubbleSize val="0"/>
        </c:dLbls>
        <c:gapWidth val="99"/>
        <c:gapDepth val="311"/>
        <c:shape val="cylinder"/>
        <c:axId val="271295984"/>
        <c:axId val="271296376"/>
        <c:axId val="0"/>
      </c:bar3DChart>
      <c:catAx>
        <c:axId val="271295984"/>
        <c:scaling>
          <c:orientation val="minMax"/>
        </c:scaling>
        <c:delete val="0"/>
        <c:axPos val="b"/>
        <c:numFmt formatCode="General" sourceLinked="1"/>
        <c:majorTickMark val="none"/>
        <c:minorTickMark val="none"/>
        <c:tickLblPos val="nextTo"/>
        <c:txPr>
          <a:bodyPr/>
          <a:lstStyle/>
          <a:p>
            <a:pPr>
              <a:defRPr lang="en-US" sz="1400"/>
            </a:pPr>
            <a:endParaRPr lang="es-ES"/>
          </a:p>
        </c:txPr>
        <c:crossAx val="271296376"/>
        <c:crosses val="autoZero"/>
        <c:auto val="1"/>
        <c:lblAlgn val="ctr"/>
        <c:lblOffset val="100"/>
        <c:noMultiLvlLbl val="0"/>
      </c:catAx>
      <c:valAx>
        <c:axId val="27129637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71295984"/>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9.6509011255852914E-2"/>
          <c:y val="0.12418402326999207"/>
          <c:w val="0.76435361577614458"/>
          <c:h val="4.276936851227274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Familiar de Salud (SFS) del Régimen Contributivo (RC)</a:t>
            </a:r>
          </a:p>
          <a:p>
            <a:pPr>
              <a:defRPr/>
            </a:pPr>
            <a:r>
              <a:rPr lang="es-DO"/>
              <a:t>Fondos Dispersados Mensualmente por Cuentas al SFS del RC</a:t>
            </a:r>
          </a:p>
        </c:rich>
      </c:tx>
      <c:layout>
        <c:manualLayout>
          <c:xMode val="edge"/>
          <c:yMode val="edge"/>
          <c:x val="0.31040387609743558"/>
          <c:y val="3.5714308032938402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692929572326506E-2"/>
          <c:y val="0.29288138537769365"/>
          <c:w val="0.87497726317486901"/>
          <c:h val="0.47779104348896606"/>
        </c:manualLayout>
      </c:layout>
      <c:bar3DChart>
        <c:barDir val="col"/>
        <c:grouping val="clustered"/>
        <c:varyColors val="0"/>
        <c:ser>
          <c:idx val="0"/>
          <c:order val="0"/>
          <c:tx>
            <c:strRef>
              <c:f>'IV.1.2.3 Dip. SFS mensual'!$B$3</c:f>
              <c:strCache>
                <c:ptCount val="1"/>
                <c:pt idx="0">
                  <c:v>Cuidado de la Salud</c:v>
                </c:pt>
              </c:strCache>
            </c:strRef>
          </c:tx>
          <c:spPr>
            <a:solidFill>
              <a:schemeClr val="accent5">
                <a:lumMod val="50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'IV.1.2.3 Dip. SFS mensual'!$A$11:$A$37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'IV.1.2.3 Dip. SFS mensual'!$B$4:$B$37</c:f>
              <c:numCache>
                <c:formatCode>_(* #,##0.00_);_(* \(#,##0.00\);_(* "-"??_);_(@_)</c:formatCode>
                <c:ptCount val="13"/>
                <c:pt idx="0">
                  <c:v>2477071109.4299998</c:v>
                </c:pt>
                <c:pt idx="1">
                  <c:v>2481123851.8899999</c:v>
                </c:pt>
                <c:pt idx="2">
                  <c:v>2521735402.48</c:v>
                </c:pt>
                <c:pt idx="3">
                  <c:v>2521262075.8699999</c:v>
                </c:pt>
                <c:pt idx="4">
                  <c:v>2571038494.48</c:v>
                </c:pt>
                <c:pt idx="5">
                  <c:v>2492547024.3400002</c:v>
                </c:pt>
                <c:pt idx="6">
                  <c:v>2683967635.4099998</c:v>
                </c:pt>
                <c:pt idx="7">
                  <c:v>2594192728.46</c:v>
                </c:pt>
                <c:pt idx="8">
                  <c:v>2641820988.0099998</c:v>
                </c:pt>
                <c:pt idx="9">
                  <c:v>2631187836.6500001</c:v>
                </c:pt>
                <c:pt idx="10">
                  <c:v>2657402335.5600004</c:v>
                </c:pt>
                <c:pt idx="11">
                  <c:v>2675404983.6300001</c:v>
                </c:pt>
                <c:pt idx="12">
                  <c:v>2695428414.4199996</c:v>
                </c:pt>
              </c:numCache>
            </c:numRef>
          </c:val>
        </c:ser>
        <c:ser>
          <c:idx val="1"/>
          <c:order val="1"/>
          <c:tx>
            <c:strRef>
              <c:f>'IV.1.2.3 Dip. SFS mensual'!$C$3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'IV.1.2.3 Dip. SFS mensual'!$A$11:$A$37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'IV.1.2.3 Dip. SFS mensual'!$C$4:$C$37</c:f>
              <c:numCache>
                <c:formatCode>_(* #,##0.00_);_(* \(#,##0.00\);_(* "-"??_);_(@_)</c:formatCode>
                <c:ptCount val="13"/>
                <c:pt idx="0">
                  <c:v>20814935.399999999</c:v>
                </c:pt>
                <c:pt idx="1">
                  <c:v>20979055.5</c:v>
                </c:pt>
                <c:pt idx="2">
                  <c:v>21008001</c:v>
                </c:pt>
                <c:pt idx="3">
                  <c:v>21071451</c:v>
                </c:pt>
                <c:pt idx="4">
                  <c:v>21381019.199999999</c:v>
                </c:pt>
                <c:pt idx="5">
                  <c:v>0</c:v>
                </c:pt>
                <c:pt idx="6">
                  <c:v>43392624</c:v>
                </c:pt>
                <c:pt idx="7">
                  <c:v>21695539.5</c:v>
                </c:pt>
                <c:pt idx="8">
                  <c:v>22127010</c:v>
                </c:pt>
                <c:pt idx="9">
                  <c:v>21933249</c:v>
                </c:pt>
                <c:pt idx="10">
                  <c:v>22144288.5</c:v>
                </c:pt>
                <c:pt idx="11">
                  <c:v>22622574</c:v>
                </c:pt>
                <c:pt idx="12">
                  <c:v>22553880</c:v>
                </c:pt>
              </c:numCache>
            </c:numRef>
          </c:val>
        </c:ser>
        <c:ser>
          <c:idx val="2"/>
          <c:order val="2"/>
          <c:tx>
            <c:strRef>
              <c:f>'IV.1.2.3 Dip. SFS mensual'!$D$3</c:f>
              <c:strCache>
                <c:ptCount val="1"/>
                <c:pt idx="0">
                  <c:v>Subsidios </c:v>
                </c:pt>
              </c:strCache>
            </c:strRef>
          </c:tx>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'IV.1.2.3 Dip. SFS mensual'!$A$11:$A$37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'IV.1.2.3 Dip. SFS mensual'!$D$4:$D$37</c:f>
              <c:numCache>
                <c:formatCode>_(* #,##0.00_);_(* \(#,##0.00\);_(* "-"??_);_(@_)</c:formatCode>
                <c:ptCount val="13"/>
                <c:pt idx="0">
                  <c:v>121384670.51000001</c:v>
                </c:pt>
                <c:pt idx="1">
                  <c:v>117579749.40000001</c:v>
                </c:pt>
                <c:pt idx="2">
                  <c:v>120115331.20999999</c:v>
                </c:pt>
                <c:pt idx="3">
                  <c:v>128948107.11</c:v>
                </c:pt>
                <c:pt idx="4">
                  <c:v>126664709.78</c:v>
                </c:pt>
                <c:pt idx="5">
                  <c:v>128425724.31999999</c:v>
                </c:pt>
                <c:pt idx="6">
                  <c:v>137309264.62</c:v>
                </c:pt>
                <c:pt idx="7">
                  <c:v>133174993.88</c:v>
                </c:pt>
                <c:pt idx="8">
                  <c:v>131852721.61</c:v>
                </c:pt>
                <c:pt idx="9">
                  <c:v>134291668.47999999</c:v>
                </c:pt>
                <c:pt idx="10">
                  <c:v>134502961.25999999</c:v>
                </c:pt>
                <c:pt idx="11">
                  <c:v>129397014.25</c:v>
                </c:pt>
                <c:pt idx="12">
                  <c:v>133971069.88</c:v>
                </c:pt>
              </c:numCache>
            </c:numRef>
          </c:val>
        </c:ser>
        <c:ser>
          <c:idx val="3"/>
          <c:order val="3"/>
          <c:tx>
            <c:strRef>
              <c:f>'IV.1.2.3 Dip. SFS mensual'!$E$3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'IV.1.2.3 Dip. SFS mensual'!$A$11:$A$37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'IV.1.2.3 Dip. SFS mensual'!$E$4:$E$37</c:f>
              <c:numCache>
                <c:formatCode>_(* #,##0.00_);_(* \(#,##0.00\);_(* "-"??_);_(@_)</c:formatCode>
                <c:ptCount val="13"/>
                <c:pt idx="0">
                  <c:v>17384193.73</c:v>
                </c:pt>
                <c:pt idx="1">
                  <c:v>16737868.779999999</c:v>
                </c:pt>
                <c:pt idx="2">
                  <c:v>16897600.02</c:v>
                </c:pt>
                <c:pt idx="3">
                  <c:v>17473435.41</c:v>
                </c:pt>
                <c:pt idx="4">
                  <c:v>17588136.32</c:v>
                </c:pt>
                <c:pt idx="5">
                  <c:v>17684785.719999999</c:v>
                </c:pt>
                <c:pt idx="6">
                  <c:v>18317103.920000002</c:v>
                </c:pt>
                <c:pt idx="7">
                  <c:v>18106572.739999998</c:v>
                </c:pt>
                <c:pt idx="8">
                  <c:v>18117489.039999999</c:v>
                </c:pt>
                <c:pt idx="9">
                  <c:v>18358494.530000001</c:v>
                </c:pt>
                <c:pt idx="10">
                  <c:v>18689133.52</c:v>
                </c:pt>
                <c:pt idx="11">
                  <c:v>18490936.91</c:v>
                </c:pt>
                <c:pt idx="12">
                  <c:v>19457072.02</c:v>
                </c:pt>
              </c:numCache>
            </c:numRef>
          </c:val>
        </c:ser>
        <c:ser>
          <c:idx val="4"/>
          <c:order val="4"/>
          <c:tx>
            <c:strRef>
              <c:f>'IV.1.2.3 Dip. SFS mensual'!$F$3</c:f>
              <c:strCache>
                <c:ptCount val="1"/>
                <c:pt idx="0">
                  <c:v>Estancias Infantiles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'IV.1.2.3 Dip. SFS mensual'!$A$11:$A$37</c:f>
              <c:numCache>
                <c:formatCode>mmm\-yy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'IV.1.2.3 Dip. SFS mensual'!$F$4:$F$37</c:f>
              <c:numCache>
                <c:formatCode>_(* #,##0.00_);_(* \(#,##0.00\);_(* "-"??_);_(@_)</c:formatCode>
                <c:ptCount val="13"/>
                <c:pt idx="0">
                  <c:v>13296000</c:v>
                </c:pt>
                <c:pt idx="1">
                  <c:v>13096000</c:v>
                </c:pt>
                <c:pt idx="2">
                  <c:v>12830000</c:v>
                </c:pt>
                <c:pt idx="3">
                  <c:v>13236000</c:v>
                </c:pt>
                <c:pt idx="4">
                  <c:v>108461320</c:v>
                </c:pt>
                <c:pt idx="5">
                  <c:v>13130000</c:v>
                </c:pt>
                <c:pt idx="6">
                  <c:v>13402000</c:v>
                </c:pt>
                <c:pt idx="7">
                  <c:v>13136000</c:v>
                </c:pt>
                <c:pt idx="8">
                  <c:v>14004000</c:v>
                </c:pt>
                <c:pt idx="9">
                  <c:v>15014000</c:v>
                </c:pt>
                <c:pt idx="10">
                  <c:v>15616000</c:v>
                </c:pt>
                <c:pt idx="11">
                  <c:v>15756000</c:v>
                </c:pt>
                <c:pt idx="12">
                  <c:v>14748000</c:v>
                </c:pt>
              </c:numCache>
            </c:numRef>
          </c:val>
        </c:ser>
        <c:dLbls>
          <c:showLegendKey val="0"/>
          <c:showVal val="0"/>
          <c:showCatName val="0"/>
          <c:showSerName val="0"/>
          <c:showPercent val="0"/>
          <c:showBubbleSize val="0"/>
        </c:dLbls>
        <c:gapWidth val="25"/>
        <c:shape val="cylinder"/>
        <c:axId val="271297160"/>
        <c:axId val="271297552"/>
        <c:axId val="0"/>
      </c:bar3DChart>
      <c:dateAx>
        <c:axId val="271297160"/>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271297552"/>
        <c:crosses val="autoZero"/>
        <c:auto val="1"/>
        <c:lblOffset val="100"/>
        <c:baseTimeUnit val="months"/>
      </c:dateAx>
      <c:valAx>
        <c:axId val="271297552"/>
        <c:scaling>
          <c:orientation val="minMax"/>
        </c:scaling>
        <c:delete val="0"/>
        <c:axPos val="l"/>
        <c:numFmt formatCode="_(* #,##0.00_);_(* \(#,##0.00\);_(* &quot;-&quot;??_);_(@_)" sourceLinked="1"/>
        <c:majorTickMark val="none"/>
        <c:minorTickMark val="none"/>
        <c:tickLblPos val="nextTo"/>
        <c:spPr>
          <a:ln w="9525">
            <a:noFill/>
          </a:ln>
        </c:spPr>
        <c:crossAx val="271297160"/>
        <c:crosses val="autoZero"/>
        <c:crossBetween val="between"/>
        <c:dispUnits>
          <c:builtInUnit val="millions"/>
          <c:dispUnitsLbl>
            <c:layout>
              <c:manualLayout>
                <c:xMode val="edge"/>
                <c:yMode val="edge"/>
                <c:x val="2.005412087716019E-2"/>
                <c:y val="0.40932371390625261"/>
              </c:manualLayout>
            </c:layout>
            <c:txPr>
              <a:bodyPr/>
              <a:lstStyle/>
              <a:p>
                <a:pPr>
                  <a:defRPr sz="1600" b="1"/>
                </a:pPr>
                <a:endParaRPr lang="es-ES"/>
              </a:p>
            </c:txPr>
          </c:dispUnitsLbl>
        </c:dispUnits>
      </c:valAx>
      <c:spPr>
        <a:noFill/>
        <a:ln w="25400">
          <a:noFill/>
        </a:ln>
      </c:spPr>
    </c:plotArea>
    <c:legend>
      <c:legendPos val="t"/>
      <c:layout>
        <c:manualLayout>
          <c:xMode val="edge"/>
          <c:yMode val="edge"/>
          <c:x val="0.17290641018049102"/>
          <c:y val="0.15046019276352504"/>
          <c:w val="0.66195100607111401"/>
          <c:h val="4.19663109131586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Familiar de Salud (SFS) del Régimen Contributivo (RC)</a:t>
            </a:r>
          </a:p>
          <a:p>
            <a:pPr>
              <a:defRPr sz="1600"/>
            </a:pPr>
            <a:r>
              <a:rPr lang="es-DO" sz="1600"/>
              <a:t>Fondos Dispersados  a las ARS del SFS del RC</a:t>
            </a:r>
          </a:p>
        </c:rich>
      </c:tx>
      <c:layout>
        <c:manualLayout>
          <c:xMode val="edge"/>
          <c:yMode val="edge"/>
          <c:x val="0.26715691527514429"/>
          <c:y val="2.7382548213228837E-2"/>
        </c:manualLayout>
      </c:layout>
      <c:overlay val="1"/>
    </c:title>
    <c:autoTitleDeleted val="0"/>
    <c:plotArea>
      <c:layout>
        <c:manualLayout>
          <c:layoutTarget val="inner"/>
          <c:xMode val="edge"/>
          <c:yMode val="edge"/>
          <c:x val="0.12580162893908287"/>
          <c:y val="0.19042466067979871"/>
          <c:w val="0.81440149222289038"/>
          <c:h val="0.76025165591947563"/>
        </c:manualLayout>
      </c:layout>
      <c:barChart>
        <c:barDir val="bar"/>
        <c:grouping val="clustered"/>
        <c:varyColors val="0"/>
        <c:ser>
          <c:idx val="0"/>
          <c:order val="0"/>
          <c:tx>
            <c:strRef>
              <c:f>'IV.1.2.4 Disp. x ARS 2'!$B$3</c:f>
              <c:strCache>
                <c:ptCount val="1"/>
                <c:pt idx="0">
                  <c:v>Total 
Sep.07 - Dic. 2014</c:v>
                </c:pt>
              </c:strCache>
            </c:strRef>
          </c:tx>
          <c:invertIfNegative val="0"/>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rgbClr val="00B050"/>
              </a:solidFill>
            </c:spPr>
          </c:dPt>
          <c:dPt>
            <c:idx val="19"/>
            <c:invertIfNegative val="0"/>
            <c:bubble3D val="0"/>
            <c:spPr>
              <a:solidFill>
                <a:srgbClr val="FF0000"/>
              </a:solidFill>
            </c:spPr>
          </c:dPt>
          <c:dPt>
            <c:idx val="20"/>
            <c:invertIfNegative val="0"/>
            <c:bubble3D val="0"/>
            <c:spPr>
              <a:solidFill>
                <a:srgbClr val="FF000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00B050"/>
              </a:solidFill>
            </c:spPr>
          </c:dPt>
          <c:dPt>
            <c:idx val="24"/>
            <c:invertIfNegative val="0"/>
            <c:bubble3D val="0"/>
            <c:spPr>
              <a:solidFill>
                <a:srgbClr val="FF0000"/>
              </a:solidFill>
            </c:spPr>
          </c:dPt>
          <c:dPt>
            <c:idx val="25"/>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'IV.1.2.4 Disp. x ARS 2'!$A$4:$A$32</c:f>
              <c:strCache>
                <c:ptCount val="29"/>
                <c:pt idx="0">
                  <c:v>Humano</c:v>
                </c:pt>
                <c:pt idx="1">
                  <c:v>Palic Salud</c:v>
                </c:pt>
                <c:pt idx="2">
                  <c:v>SENASA RC</c:v>
                </c:pt>
                <c:pt idx="3">
                  <c:v>Universal</c:v>
                </c:pt>
                <c:pt idx="4">
                  <c:v>Salud Segura</c:v>
                </c:pt>
                <c:pt idx="5">
                  <c:v>SEMMA</c:v>
                </c:pt>
                <c:pt idx="6">
                  <c:v>Serv. Dominicano de Salud</c:v>
                </c:pt>
                <c:pt idx="7">
                  <c:v>La Colonial</c:v>
                </c:pt>
                <c:pt idx="8">
                  <c:v>Serv. de Igualas Méd. Dr. Abel</c:v>
                </c:pt>
                <c:pt idx="9">
                  <c:v>Futuro</c:v>
                </c:pt>
                <c:pt idx="10">
                  <c:v>Asoc. de Profesionales de la Salud</c:v>
                </c:pt>
                <c:pt idx="11">
                  <c:v>Dr. Yunen</c:v>
                </c:pt>
                <c:pt idx="12">
                  <c:v>Reservas</c:v>
                </c:pt>
                <c:pt idx="13">
                  <c:v>Renacer</c:v>
                </c:pt>
                <c:pt idx="14">
                  <c:v>CMD</c:v>
                </c:pt>
                <c:pt idx="15">
                  <c:v>Monumental </c:v>
                </c:pt>
                <c:pt idx="16">
                  <c:v>Grupo Med. Asociado</c:v>
                </c:pt>
                <c:pt idx="17">
                  <c:v>Adm. Serv. Médicos Amor y Paz</c:v>
                </c:pt>
                <c:pt idx="18">
                  <c:v>METASALUD</c:v>
                </c:pt>
                <c:pt idx="19">
                  <c:v>FFAA</c:v>
                </c:pt>
                <c:pt idx="20">
                  <c:v>Constitución (ex IGMAN)</c:v>
                </c:pt>
                <c:pt idx="21">
                  <c:v>Plan Salud </c:v>
                </c:pt>
                <c:pt idx="22">
                  <c:v>ISSAPOL</c:v>
                </c:pt>
                <c:pt idx="23">
                  <c:v>IGMAM</c:v>
                </c:pt>
                <c:pt idx="24">
                  <c:v>SEMUNASED</c:v>
                </c:pt>
                <c:pt idx="25">
                  <c:v>Galeno</c:v>
                </c:pt>
                <c:pt idx="26">
                  <c:v>BMI </c:v>
                </c:pt>
                <c:pt idx="27">
                  <c:v>UCEMED</c:v>
                </c:pt>
                <c:pt idx="28">
                  <c:v>Plamedin</c:v>
                </c:pt>
              </c:strCache>
            </c:strRef>
          </c:cat>
          <c:val>
            <c:numRef>
              <c:f>'IV.1.2.4 Disp. x ARS 2'!$B$4:$B$32</c:f>
              <c:numCache>
                <c:formatCode>_(* #,##0.00_);_(* \(#,##0.00\);_(* "-"??_);_(@_)</c:formatCode>
                <c:ptCount val="29"/>
                <c:pt idx="0">
                  <c:v>50143156596.179993</c:v>
                </c:pt>
                <c:pt idx="1">
                  <c:v>21425138467.989998</c:v>
                </c:pt>
                <c:pt idx="2">
                  <c:v>20377683473.84</c:v>
                </c:pt>
                <c:pt idx="3">
                  <c:v>18635215778.989998</c:v>
                </c:pt>
                <c:pt idx="4">
                  <c:v>12779762675.9</c:v>
                </c:pt>
                <c:pt idx="5">
                  <c:v>8359933925.6600008</c:v>
                </c:pt>
                <c:pt idx="6">
                  <c:v>3119370268.7700009</c:v>
                </c:pt>
                <c:pt idx="7">
                  <c:v>2163231786.7200003</c:v>
                </c:pt>
                <c:pt idx="8">
                  <c:v>2474688021.5100002</c:v>
                </c:pt>
                <c:pt idx="9">
                  <c:v>2786493337.8499999</c:v>
                </c:pt>
                <c:pt idx="10">
                  <c:v>1788472787.6899998</c:v>
                </c:pt>
                <c:pt idx="11">
                  <c:v>2014022648.0899999</c:v>
                </c:pt>
                <c:pt idx="12">
                  <c:v>1539588719</c:v>
                </c:pt>
                <c:pt idx="13">
                  <c:v>1660258319.04</c:v>
                </c:pt>
                <c:pt idx="14">
                  <c:v>1234642293.1600001</c:v>
                </c:pt>
                <c:pt idx="15">
                  <c:v>1201831480.53</c:v>
                </c:pt>
                <c:pt idx="16">
                  <c:v>1353470187.53</c:v>
                </c:pt>
                <c:pt idx="17">
                  <c:v>1057290829.3299999</c:v>
                </c:pt>
                <c:pt idx="18">
                  <c:v>928780117.28000009</c:v>
                </c:pt>
                <c:pt idx="19">
                  <c:v>502384343.58999997</c:v>
                </c:pt>
                <c:pt idx="20">
                  <c:v>728587692.07999945</c:v>
                </c:pt>
                <c:pt idx="21">
                  <c:v>477751060.30000001</c:v>
                </c:pt>
                <c:pt idx="22">
                  <c:v>364022669.18000001</c:v>
                </c:pt>
                <c:pt idx="23">
                  <c:v>260644027.96000001</c:v>
                </c:pt>
                <c:pt idx="24">
                  <c:v>160153630.19999999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271298336"/>
        <c:axId val="271298728"/>
      </c:barChart>
      <c:catAx>
        <c:axId val="271298336"/>
        <c:scaling>
          <c:orientation val="minMax"/>
        </c:scaling>
        <c:delete val="0"/>
        <c:axPos val="l"/>
        <c:numFmt formatCode="General" sourceLinked="1"/>
        <c:majorTickMark val="out"/>
        <c:minorTickMark val="none"/>
        <c:tickLblPos val="nextTo"/>
        <c:txPr>
          <a:bodyPr/>
          <a:lstStyle/>
          <a:p>
            <a:pPr>
              <a:defRPr lang="en-US" sz="900"/>
            </a:pPr>
            <a:endParaRPr lang="es-ES"/>
          </a:p>
        </c:txPr>
        <c:crossAx val="271298728"/>
        <c:crosses val="autoZero"/>
        <c:auto val="1"/>
        <c:lblAlgn val="ctr"/>
        <c:lblOffset val="100"/>
        <c:noMultiLvlLbl val="0"/>
      </c:catAx>
      <c:valAx>
        <c:axId val="271298728"/>
        <c:scaling>
          <c:orientation val="minMax"/>
        </c:scaling>
        <c:delete val="1"/>
        <c:axPos val="b"/>
        <c:numFmt formatCode="_(* #,##0.00_);_(* \(#,##0.00\);_(* &quot;-&quot;??_);_(@_)" sourceLinked="1"/>
        <c:majorTickMark val="out"/>
        <c:minorTickMark val="none"/>
        <c:tickLblPos val="nextTo"/>
        <c:crossAx val="271298336"/>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10"/>
      <c:depthPercent val="100"/>
      <c:rAngAx val="1"/>
    </c:view3D>
    <c:floor>
      <c:thickness val="0"/>
    </c:floor>
    <c:sideWall>
      <c:thickness val="0"/>
    </c:sideWall>
    <c:backWall>
      <c:thickness val="0"/>
    </c:backWall>
    <c:plotArea>
      <c:layout>
        <c:manualLayout>
          <c:layoutTarget val="inner"/>
          <c:xMode val="edge"/>
          <c:yMode val="edge"/>
          <c:x val="0.15978712204236947"/>
          <c:y val="2.0235636368969034E-2"/>
          <c:w val="0.75842713319534294"/>
          <c:h val="0.89511638148913131"/>
        </c:manualLayout>
      </c:layout>
      <c:bar3DChart>
        <c:barDir val="bar"/>
        <c:grouping val="clustered"/>
        <c:varyColors val="0"/>
        <c:ser>
          <c:idx val="0"/>
          <c:order val="0"/>
          <c:spPr>
            <a:solidFill>
              <a:schemeClr val="tx2">
                <a:lumMod val="60000"/>
                <a:lumOff val="40000"/>
              </a:schemeClr>
            </a:solidFill>
          </c:spPr>
          <c:invertIfNegative val="0"/>
          <c:dPt>
            <c:idx val="5"/>
            <c:invertIfNegative val="0"/>
            <c:bubble3D val="0"/>
          </c:dPt>
          <c:dPt>
            <c:idx val="12"/>
            <c:invertIfNegative val="0"/>
            <c:bubble3D val="0"/>
          </c:dPt>
          <c:dPt>
            <c:idx val="13"/>
            <c:invertIfNegative val="0"/>
            <c:bubble3D val="0"/>
          </c:dPt>
          <c:dPt>
            <c:idx val="20"/>
            <c:invertIfNegative val="0"/>
            <c:bubble3D val="0"/>
          </c:dPt>
          <c:dPt>
            <c:idx val="21"/>
            <c:invertIfNegative val="0"/>
            <c:bubble3D val="0"/>
          </c:dPt>
          <c:dPt>
            <c:idx val="22"/>
            <c:invertIfNegative val="0"/>
            <c:bubble3D val="0"/>
          </c:dPt>
          <c:dPt>
            <c:idx val="24"/>
            <c:invertIfNegative val="0"/>
            <c:bubble3D val="0"/>
          </c:dPt>
          <c:dLbls>
            <c:dLbl>
              <c:idx val="0"/>
              <c:layout>
                <c:manualLayout>
                  <c:x val="3.4275599904354734E-3"/>
                  <c:y val="-3.445913802342313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'IV.1.2.5 Disp. x ARS'!$I$6:$I$27</c:f>
              <c:strCache>
                <c:ptCount val="22"/>
                <c:pt idx="0">
                  <c:v>Humano</c:v>
                </c:pt>
                <c:pt idx="1">
                  <c:v>Palic Salud</c:v>
                </c:pt>
                <c:pt idx="2">
                  <c:v>SENASA RC</c:v>
                </c:pt>
                <c:pt idx="3">
                  <c:v>Universal</c:v>
                </c:pt>
                <c:pt idx="4">
                  <c:v>Futuro</c:v>
                </c:pt>
                <c:pt idx="5">
                  <c:v>SEMMA</c:v>
                </c:pt>
                <c:pt idx="6">
                  <c:v>Salud Segura</c:v>
                </c:pt>
                <c:pt idx="7">
                  <c:v>Dr. Yunen</c:v>
                </c:pt>
                <c:pt idx="8">
                  <c:v>Serv. de Igualas Méd. Dr. Abel</c:v>
                </c:pt>
                <c:pt idx="9">
                  <c:v>Renacer</c:v>
                </c:pt>
                <c:pt idx="10">
                  <c:v>Grupo Med. Asociado</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'IV.1.2.5 Disp. x ARS'!$J$6:$J$27</c:f>
              <c:numCache>
                <c:formatCode>_(* #,##0.00_);_(* \(#,##0.00\);_(* "-"??_);_(@_)</c:formatCode>
                <c:ptCount val="22"/>
                <c:pt idx="0">
                  <c:v>948955267.38</c:v>
                </c:pt>
                <c:pt idx="1">
                  <c:v>424311972.67000002</c:v>
                </c:pt>
                <c:pt idx="2">
                  <c:v>404730761.14999998</c:v>
                </c:pt>
                <c:pt idx="3">
                  <c:v>340988686.80000001</c:v>
                </c:pt>
                <c:pt idx="4">
                  <c:v>100783328.76000001</c:v>
                </c:pt>
                <c:pt idx="5">
                  <c:v>96893554.980000004</c:v>
                </c:pt>
                <c:pt idx="6">
                  <c:v>74820545.099999994</c:v>
                </c:pt>
                <c:pt idx="7">
                  <c:v>44918890.469999999</c:v>
                </c:pt>
                <c:pt idx="8">
                  <c:v>43732405.530000001</c:v>
                </c:pt>
                <c:pt idx="9">
                  <c:v>39028392.869999997</c:v>
                </c:pt>
                <c:pt idx="10">
                  <c:v>38629605.990000002</c:v>
                </c:pt>
                <c:pt idx="11">
                  <c:v>28074901.829999998</c:v>
                </c:pt>
                <c:pt idx="12">
                  <c:v>24766404.75</c:v>
                </c:pt>
                <c:pt idx="13">
                  <c:v>22502600.07</c:v>
                </c:pt>
                <c:pt idx="14">
                  <c:v>21398179.050000001</c:v>
                </c:pt>
                <c:pt idx="15">
                  <c:v>18704525.34</c:v>
                </c:pt>
                <c:pt idx="16">
                  <c:v>15988557.51</c:v>
                </c:pt>
                <c:pt idx="17">
                  <c:v>13722215.640000001</c:v>
                </c:pt>
                <c:pt idx="18">
                  <c:v>6915318</c:v>
                </c:pt>
                <c:pt idx="19">
                  <c:v>3339160.29</c:v>
                </c:pt>
                <c:pt idx="20">
                  <c:v>2765670.09</c:v>
                </c:pt>
                <c:pt idx="21">
                  <c:v>2011350.15</c:v>
                </c:pt>
              </c:numCache>
            </c:numRef>
          </c:val>
        </c:ser>
        <c:dLbls>
          <c:showLegendKey val="0"/>
          <c:showVal val="0"/>
          <c:showCatName val="0"/>
          <c:showSerName val="0"/>
          <c:showPercent val="0"/>
          <c:showBubbleSize val="0"/>
        </c:dLbls>
        <c:gapWidth val="18"/>
        <c:gapDepth val="32"/>
        <c:shape val="cylinder"/>
        <c:axId val="271299512"/>
        <c:axId val="273915216"/>
        <c:axId val="0"/>
      </c:bar3DChart>
      <c:catAx>
        <c:axId val="271299512"/>
        <c:scaling>
          <c:orientation val="minMax"/>
        </c:scaling>
        <c:delete val="0"/>
        <c:axPos val="l"/>
        <c:numFmt formatCode="General" sourceLinked="1"/>
        <c:majorTickMark val="none"/>
        <c:minorTickMark val="none"/>
        <c:tickLblPos val="nextTo"/>
        <c:txPr>
          <a:bodyPr rot="-2700000" vert="horz"/>
          <a:lstStyle/>
          <a:p>
            <a:pPr>
              <a:defRPr lang="en-US" sz="1600"/>
            </a:pPr>
            <a:endParaRPr lang="es-ES"/>
          </a:p>
        </c:txPr>
        <c:crossAx val="273915216"/>
        <c:crosses val="autoZero"/>
        <c:auto val="1"/>
        <c:lblAlgn val="ctr"/>
        <c:lblOffset val="100"/>
        <c:noMultiLvlLbl val="0"/>
      </c:catAx>
      <c:valAx>
        <c:axId val="273915216"/>
        <c:scaling>
          <c:orientation val="minMax"/>
        </c:scaling>
        <c:delete val="1"/>
        <c:axPos val="b"/>
        <c:numFmt formatCode="_(* #,##0.00_);_(* \(#,##0.00\);_(* &quot;-&quot;??_);_(@_)" sourceLinked="1"/>
        <c:majorTickMark val="out"/>
        <c:minorTickMark val="none"/>
        <c:tickLblPos val="nextTo"/>
        <c:crossAx val="27129951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Familiar de Salud (SFS) del Régimen Contributivo (RC)</a:t>
            </a:r>
          </a:p>
          <a:p>
            <a:pPr>
              <a:defRPr/>
            </a:pPr>
            <a:r>
              <a:rPr lang="es-DO"/>
              <a:t>Administradora de Riesgos que Poseen más de 50,000 Afiliados</a:t>
            </a:r>
          </a:p>
        </c:rich>
      </c:tx>
      <c:overlay val="1"/>
    </c:title>
    <c:autoTitleDeleted val="0"/>
    <c:plotArea>
      <c:layout>
        <c:manualLayout>
          <c:layoutTarget val="inner"/>
          <c:xMode val="edge"/>
          <c:yMode val="edge"/>
          <c:x val="5.2108950735313672E-2"/>
          <c:y val="0.1874646337753553"/>
          <c:w val="0.92618900317091823"/>
          <c:h val="0.71438722975213043"/>
        </c:manualLayout>
      </c:layout>
      <c:lineChart>
        <c:grouping val="standard"/>
        <c:varyColors val="0"/>
        <c:ser>
          <c:idx val="0"/>
          <c:order val="0"/>
          <c:tx>
            <c:strRef>
              <c:f>'Total Afil.Mas 50'!$A$5</c:f>
              <c:strCache>
                <c:ptCount val="1"/>
                <c:pt idx="0">
                  <c:v>HUMANO, S.A.</c:v>
                </c:pt>
              </c:strCache>
            </c:strRef>
          </c:tx>
          <c:marker>
            <c:symbol val="diamond"/>
            <c:size val="7"/>
          </c:marker>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50'!$B$5:$IL$5</c:f>
              <c:numCache>
                <c:formatCode>_(* #,##0_);_(* \(#,##0\);_(* "-"??_);_(@_)</c:formatCode>
                <c:ptCount val="17"/>
                <c:pt idx="0">
                  <c:v>340189</c:v>
                </c:pt>
                <c:pt idx="1">
                  <c:v>390103</c:v>
                </c:pt>
                <c:pt idx="2">
                  <c:v>436710</c:v>
                </c:pt>
                <c:pt idx="3">
                  <c:v>456890</c:v>
                </c:pt>
                <c:pt idx="4">
                  <c:v>528287</c:v>
                </c:pt>
                <c:pt idx="5">
                  <c:v>607758</c:v>
                </c:pt>
                <c:pt idx="6">
                  <c:v>657733</c:v>
                </c:pt>
                <c:pt idx="7">
                  <c:v>725450</c:v>
                </c:pt>
                <c:pt idx="8">
                  <c:v>768269</c:v>
                </c:pt>
                <c:pt idx="9">
                  <c:v>804535</c:v>
                </c:pt>
                <c:pt idx="10">
                  <c:v>849154</c:v>
                </c:pt>
                <c:pt idx="11">
                  <c:v>883406</c:v>
                </c:pt>
                <c:pt idx="12">
                  <c:v>946321</c:v>
                </c:pt>
                <c:pt idx="13">
                  <c:v>984247</c:v>
                </c:pt>
                <c:pt idx="14">
                  <c:v>1003490</c:v>
                </c:pt>
                <c:pt idx="15">
                  <c:v>1035505</c:v>
                </c:pt>
                <c:pt idx="16">
                  <c:v>1077343</c:v>
                </c:pt>
              </c:numCache>
            </c:numRef>
          </c:val>
          <c:smooth val="0"/>
        </c:ser>
        <c:ser>
          <c:idx val="1"/>
          <c:order val="1"/>
          <c:tx>
            <c:strRef>
              <c:f>'Total Afil.Mas 50'!$A$6</c:f>
              <c:strCache>
                <c:ptCount val="1"/>
                <c:pt idx="0">
                  <c:v>SENASA RC</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50'!$B$6:$IL$6</c:f>
              <c:numCache>
                <c:formatCode>_(* #,##0_);_(* \(#,##0\);_(* "-"??_);_(@_)</c:formatCode>
                <c:ptCount val="17"/>
                <c:pt idx="0">
                  <c:v>72958</c:v>
                </c:pt>
                <c:pt idx="1">
                  <c:v>107331</c:v>
                </c:pt>
                <c:pt idx="2">
                  <c:v>119705</c:v>
                </c:pt>
                <c:pt idx="3">
                  <c:v>135693</c:v>
                </c:pt>
                <c:pt idx="4">
                  <c:v>168275</c:v>
                </c:pt>
                <c:pt idx="5">
                  <c:v>238109</c:v>
                </c:pt>
                <c:pt idx="6">
                  <c:v>282833</c:v>
                </c:pt>
                <c:pt idx="7">
                  <c:v>335016</c:v>
                </c:pt>
                <c:pt idx="8">
                  <c:v>390238</c:v>
                </c:pt>
                <c:pt idx="9">
                  <c:v>404588</c:v>
                </c:pt>
                <c:pt idx="10">
                  <c:v>422744</c:v>
                </c:pt>
                <c:pt idx="11">
                  <c:v>424610</c:v>
                </c:pt>
                <c:pt idx="12">
                  <c:v>435033</c:v>
                </c:pt>
                <c:pt idx="13">
                  <c:v>427244</c:v>
                </c:pt>
                <c:pt idx="14">
                  <c:v>436591</c:v>
                </c:pt>
                <c:pt idx="15">
                  <c:v>455943</c:v>
                </c:pt>
                <c:pt idx="16">
                  <c:v>466017</c:v>
                </c:pt>
              </c:numCache>
            </c:numRef>
          </c:val>
          <c:smooth val="0"/>
        </c:ser>
        <c:ser>
          <c:idx val="2"/>
          <c:order val="2"/>
          <c:tx>
            <c:strRef>
              <c:f>'Total Afil.Mas 50'!$A$7</c:f>
              <c:strCache>
                <c:ptCount val="1"/>
                <c:pt idx="0">
                  <c:v>PALIC-SALUD, S.A.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50'!$B$7:$IL$7</c:f>
              <c:numCache>
                <c:formatCode>_(* #,##0_);_(* \(#,##0\);_(* "-"??_);_(@_)</c:formatCode>
                <c:ptCount val="17"/>
                <c:pt idx="0">
                  <c:v>148614</c:v>
                </c:pt>
                <c:pt idx="1">
                  <c:v>160887</c:v>
                </c:pt>
                <c:pt idx="2">
                  <c:v>171773</c:v>
                </c:pt>
                <c:pt idx="3">
                  <c:v>190149</c:v>
                </c:pt>
                <c:pt idx="4">
                  <c:v>216010</c:v>
                </c:pt>
                <c:pt idx="5">
                  <c:v>242381</c:v>
                </c:pt>
                <c:pt idx="6">
                  <c:v>269614</c:v>
                </c:pt>
                <c:pt idx="7">
                  <c:v>299139</c:v>
                </c:pt>
                <c:pt idx="8">
                  <c:v>318042</c:v>
                </c:pt>
                <c:pt idx="9">
                  <c:v>331533</c:v>
                </c:pt>
                <c:pt idx="10">
                  <c:v>354892</c:v>
                </c:pt>
                <c:pt idx="11">
                  <c:v>385749</c:v>
                </c:pt>
                <c:pt idx="12">
                  <c:v>407727</c:v>
                </c:pt>
                <c:pt idx="13">
                  <c:v>436598</c:v>
                </c:pt>
                <c:pt idx="14">
                  <c:v>433405</c:v>
                </c:pt>
                <c:pt idx="15">
                  <c:v>442504</c:v>
                </c:pt>
                <c:pt idx="16">
                  <c:v>473666</c:v>
                </c:pt>
              </c:numCache>
            </c:numRef>
          </c:val>
          <c:smooth val="0"/>
        </c:ser>
        <c:ser>
          <c:idx val="3"/>
          <c:order val="3"/>
          <c:tx>
            <c:strRef>
              <c:f>'Total Afil.Mas 50'!$A$8</c:f>
              <c:strCache>
                <c:ptCount val="1"/>
                <c:pt idx="0">
                  <c:v>UNIVERSAL, S.A.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50'!$B$8:$IL$8</c:f>
              <c:numCache>
                <c:formatCode>_(* #,##0_);_(* \(#,##0\);_(* "-"??_);_(@_)</c:formatCode>
                <c:ptCount val="17"/>
                <c:pt idx="0">
                  <c:v>149245</c:v>
                </c:pt>
                <c:pt idx="1">
                  <c:v>154527</c:v>
                </c:pt>
                <c:pt idx="2">
                  <c:v>171022</c:v>
                </c:pt>
                <c:pt idx="3">
                  <c:v>189679</c:v>
                </c:pt>
                <c:pt idx="4">
                  <c:v>217410</c:v>
                </c:pt>
                <c:pt idx="5">
                  <c:v>225389</c:v>
                </c:pt>
                <c:pt idx="6">
                  <c:v>237901</c:v>
                </c:pt>
                <c:pt idx="7">
                  <c:v>247899</c:v>
                </c:pt>
                <c:pt idx="8">
                  <c:v>252506</c:v>
                </c:pt>
                <c:pt idx="9">
                  <c:v>259032</c:v>
                </c:pt>
                <c:pt idx="10">
                  <c:v>262104</c:v>
                </c:pt>
                <c:pt idx="11">
                  <c:v>376272</c:v>
                </c:pt>
                <c:pt idx="12">
                  <c:v>377332</c:v>
                </c:pt>
                <c:pt idx="13">
                  <c:v>378516</c:v>
                </c:pt>
                <c:pt idx="14">
                  <c:v>383456</c:v>
                </c:pt>
                <c:pt idx="15">
                  <c:v>383875</c:v>
                </c:pt>
                <c:pt idx="16">
                  <c:v>409147</c:v>
                </c:pt>
              </c:numCache>
            </c:numRef>
          </c:val>
          <c:smooth val="0"/>
        </c:ser>
        <c:ser>
          <c:idx val="4"/>
          <c:order val="4"/>
          <c:tx>
            <c:strRef>
              <c:f>'Total Afil.Mas 50'!$A$9</c:f>
              <c:strCache>
                <c:ptCount val="1"/>
                <c:pt idx="0">
                  <c:v>SEMMA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50'!$B$9:$IL$9</c:f>
              <c:numCache>
                <c:formatCode>_(* #,##0_);_(* \(#,##0\);_(* "-"??_);_(@_)</c:formatCode>
                <c:ptCount val="17"/>
                <c:pt idx="0">
                  <c:v>17259</c:v>
                </c:pt>
                <c:pt idx="1">
                  <c:v>130816</c:v>
                </c:pt>
                <c:pt idx="2">
                  <c:v>145034</c:v>
                </c:pt>
                <c:pt idx="3">
                  <c:v>148647</c:v>
                </c:pt>
                <c:pt idx="4">
                  <c:v>150727</c:v>
                </c:pt>
                <c:pt idx="5">
                  <c:v>157124</c:v>
                </c:pt>
                <c:pt idx="6">
                  <c:v>149347</c:v>
                </c:pt>
                <c:pt idx="7">
                  <c:v>143518</c:v>
                </c:pt>
                <c:pt idx="8">
                  <c:v>132451</c:v>
                </c:pt>
                <c:pt idx="9">
                  <c:v>118887</c:v>
                </c:pt>
                <c:pt idx="10">
                  <c:v>119190</c:v>
                </c:pt>
                <c:pt idx="11">
                  <c:v>113636</c:v>
                </c:pt>
                <c:pt idx="12">
                  <c:v>112414</c:v>
                </c:pt>
                <c:pt idx="13">
                  <c:v>111210</c:v>
                </c:pt>
                <c:pt idx="14">
                  <c:v>110692</c:v>
                </c:pt>
                <c:pt idx="15">
                  <c:v>110952</c:v>
                </c:pt>
                <c:pt idx="16">
                  <c:v>111800</c:v>
                </c:pt>
              </c:numCache>
            </c:numRef>
          </c:val>
          <c:smooth val="0"/>
        </c:ser>
        <c:ser>
          <c:idx val="5"/>
          <c:order val="5"/>
          <c:tx>
            <c:strRef>
              <c:f>'Total Afil.Mas 50'!$A$10</c:f>
              <c:strCache>
                <c:ptCount val="1"/>
                <c:pt idx="0">
                  <c:v>SALUD SEGURA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50'!$B$10:$IL$10</c:f>
              <c:numCache>
                <c:formatCode>_(* #,##0_);_(* \(#,##0\);_(* "-"??_);_(@_)</c:formatCode>
                <c:ptCount val="17"/>
                <c:pt idx="0">
                  <c:v>211050</c:v>
                </c:pt>
                <c:pt idx="1">
                  <c:v>246486</c:v>
                </c:pt>
                <c:pt idx="2">
                  <c:v>279250</c:v>
                </c:pt>
                <c:pt idx="3">
                  <c:v>249515</c:v>
                </c:pt>
                <c:pt idx="4">
                  <c:v>239058</c:v>
                </c:pt>
                <c:pt idx="5">
                  <c:v>210602</c:v>
                </c:pt>
                <c:pt idx="6">
                  <c:v>200946</c:v>
                </c:pt>
                <c:pt idx="7">
                  <c:v>187078</c:v>
                </c:pt>
                <c:pt idx="8">
                  <c:v>162423</c:v>
                </c:pt>
                <c:pt idx="9">
                  <c:v>137016</c:v>
                </c:pt>
                <c:pt idx="10">
                  <c:v>127878</c:v>
                </c:pt>
                <c:pt idx="11">
                  <c:v>112984</c:v>
                </c:pt>
                <c:pt idx="12">
                  <c:v>112504</c:v>
                </c:pt>
                <c:pt idx="13">
                  <c:v>104683</c:v>
                </c:pt>
                <c:pt idx="14">
                  <c:v>103301</c:v>
                </c:pt>
                <c:pt idx="15">
                  <c:v>99585</c:v>
                </c:pt>
                <c:pt idx="16">
                  <c:v>100005</c:v>
                </c:pt>
              </c:numCache>
            </c:numRef>
          </c:val>
          <c:smooth val="0"/>
        </c:ser>
        <c:ser>
          <c:idx val="6"/>
          <c:order val="6"/>
          <c:tx>
            <c:strRef>
              <c:f>'Total Afil.Mas 50'!$A$11</c:f>
              <c:strCache>
                <c:ptCount val="1"/>
                <c:pt idx="0">
                  <c:v>FUTURO</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50'!$B$11:$IL$11</c:f>
              <c:numCache>
                <c:formatCode>_(* #,##0_);_(* \(#,##0\);_(* "-"??_);_(@_)</c:formatCode>
                <c:ptCount val="17"/>
                <c:pt idx="0">
                  <c:v>7894</c:v>
                </c:pt>
                <c:pt idx="1">
                  <c:v>10861</c:v>
                </c:pt>
                <c:pt idx="2">
                  <c:v>14074</c:v>
                </c:pt>
                <c:pt idx="3">
                  <c:v>14265</c:v>
                </c:pt>
                <c:pt idx="4">
                  <c:v>17246</c:v>
                </c:pt>
                <c:pt idx="5">
                  <c:v>22438</c:v>
                </c:pt>
                <c:pt idx="6">
                  <c:v>23552</c:v>
                </c:pt>
                <c:pt idx="7">
                  <c:v>26201</c:v>
                </c:pt>
                <c:pt idx="8">
                  <c:v>34976</c:v>
                </c:pt>
                <c:pt idx="9">
                  <c:v>47892</c:v>
                </c:pt>
                <c:pt idx="10">
                  <c:v>56347</c:v>
                </c:pt>
                <c:pt idx="11">
                  <c:v>58819</c:v>
                </c:pt>
                <c:pt idx="12">
                  <c:v>63417</c:v>
                </c:pt>
                <c:pt idx="13">
                  <c:v>74744</c:v>
                </c:pt>
                <c:pt idx="14">
                  <c:v>81019</c:v>
                </c:pt>
                <c:pt idx="15">
                  <c:v>84722</c:v>
                </c:pt>
                <c:pt idx="16">
                  <c:v>91131</c:v>
                </c:pt>
              </c:numCache>
            </c:numRef>
          </c:val>
          <c:smooth val="0"/>
        </c:ser>
        <c:ser>
          <c:idx val="7"/>
          <c:order val="7"/>
          <c:tx>
            <c:strRef>
              <c:f>'Total Afil.Mas 50'!$A$12</c:f>
              <c:strCache>
                <c:ptCount val="1"/>
                <c:pt idx="0">
                  <c:v>ARS-SIMAG</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50'!$B$12:$IL$12</c:f>
              <c:numCache>
                <c:formatCode>_(* #,##0_);_(* \(#,##0\);_(* "-"??_);_(@_)</c:formatCode>
                <c:ptCount val="17"/>
                <c:pt idx="0">
                  <c:v>23264</c:v>
                </c:pt>
                <c:pt idx="1">
                  <c:v>24033</c:v>
                </c:pt>
                <c:pt idx="2">
                  <c:v>25033</c:v>
                </c:pt>
                <c:pt idx="3">
                  <c:v>25697</c:v>
                </c:pt>
                <c:pt idx="4">
                  <c:v>30154</c:v>
                </c:pt>
                <c:pt idx="5">
                  <c:v>33689</c:v>
                </c:pt>
                <c:pt idx="6">
                  <c:v>36882</c:v>
                </c:pt>
                <c:pt idx="7">
                  <c:v>39329</c:v>
                </c:pt>
                <c:pt idx="8">
                  <c:v>41651</c:v>
                </c:pt>
                <c:pt idx="9">
                  <c:v>42939</c:v>
                </c:pt>
                <c:pt idx="10">
                  <c:v>45868</c:v>
                </c:pt>
                <c:pt idx="11">
                  <c:v>45406</c:v>
                </c:pt>
                <c:pt idx="12">
                  <c:v>47906</c:v>
                </c:pt>
                <c:pt idx="13">
                  <c:v>47835</c:v>
                </c:pt>
                <c:pt idx="14">
                  <c:v>49056</c:v>
                </c:pt>
                <c:pt idx="15">
                  <c:v>49308</c:v>
                </c:pt>
                <c:pt idx="16">
                  <c:v>51038</c:v>
                </c:pt>
              </c:numCache>
            </c:numRef>
          </c:val>
          <c:smooth val="0"/>
        </c:ser>
        <c:ser>
          <c:idx val="8"/>
          <c:order val="8"/>
          <c:tx>
            <c:strRef>
              <c:f>'Total Afil.Mas 50'!$A$13</c:f>
              <c:strCache>
                <c:ptCount val="1"/>
                <c:pt idx="0">
                  <c:v>ARS DR. YUNEN</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50'!$B$13:$IL$13</c:f>
              <c:numCache>
                <c:formatCode>_(* #,##0_);_(* \(#,##0\);_(* "-"??_);_(@_)</c:formatCode>
                <c:ptCount val="17"/>
                <c:pt idx="0">
                  <c:v>14692</c:v>
                </c:pt>
                <c:pt idx="1">
                  <c:v>17019</c:v>
                </c:pt>
                <c:pt idx="2">
                  <c:v>19620</c:v>
                </c:pt>
                <c:pt idx="3">
                  <c:v>18042</c:v>
                </c:pt>
                <c:pt idx="4">
                  <c:v>18552</c:v>
                </c:pt>
                <c:pt idx="5">
                  <c:v>19715</c:v>
                </c:pt>
                <c:pt idx="6">
                  <c:v>23420</c:v>
                </c:pt>
                <c:pt idx="7">
                  <c:v>27995</c:v>
                </c:pt>
                <c:pt idx="8">
                  <c:v>30543</c:v>
                </c:pt>
                <c:pt idx="9">
                  <c:v>34812</c:v>
                </c:pt>
                <c:pt idx="10">
                  <c:v>37132</c:v>
                </c:pt>
                <c:pt idx="11">
                  <c:v>40504</c:v>
                </c:pt>
                <c:pt idx="12">
                  <c:v>44821</c:v>
                </c:pt>
                <c:pt idx="13">
                  <c:v>47651</c:v>
                </c:pt>
                <c:pt idx="14">
                  <c:v>48541</c:v>
                </c:pt>
                <c:pt idx="15">
                  <c:v>49063</c:v>
                </c:pt>
                <c:pt idx="16">
                  <c:v>50387</c:v>
                </c:pt>
              </c:numCache>
            </c:numRef>
          </c:val>
          <c:smooth val="0"/>
        </c:ser>
        <c:ser>
          <c:idx val="9"/>
          <c:order val="9"/>
          <c:tx>
            <c:strRef>
              <c:f>'Total Afil.Mas 50'!$A$14</c:f>
              <c:strCache>
                <c:ptCount val="1"/>
                <c:pt idx="0">
                  <c:v>ARS RENACER</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50'!$B$14:$IL$14</c:f>
            </c:numRef>
          </c:val>
          <c:smooth val="0"/>
        </c:ser>
        <c:ser>
          <c:idx val="10"/>
          <c:order val="10"/>
          <c:tx>
            <c:strRef>
              <c:f>'Total Afil.Mas 50'!$A$15</c:f>
              <c:strCache>
                <c:ptCount val="1"/>
                <c:pt idx="0">
                  <c:v>GRUPO MEDICO ASOCIADO</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50'!$B$15:$IL$15</c:f>
            </c:numRef>
          </c:val>
          <c:smooth val="0"/>
        </c:ser>
        <c:ser>
          <c:idx val="11"/>
          <c:order val="11"/>
          <c:tx>
            <c:strRef>
              <c:f>'Total Afil.Mas 50'!$A$16</c:f>
              <c:strCache>
                <c:ptCount val="1"/>
                <c:pt idx="0">
                  <c:v>ARS APS</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50'!$B$16:$IL$16</c:f>
            </c:numRef>
          </c:val>
          <c:smooth val="0"/>
        </c:ser>
        <c:ser>
          <c:idx val="12"/>
          <c:order val="12"/>
          <c:tx>
            <c:strRef>
              <c:f>'Total Afil.Mas 50'!$A$17</c:f>
              <c:strCache>
                <c:ptCount val="1"/>
                <c:pt idx="0">
                  <c:v>ARS CONSTITUCION</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50'!$B$17:$IL$17</c:f>
            </c:numRef>
          </c:val>
          <c:smooth val="0"/>
        </c:ser>
        <c:ser>
          <c:idx val="13"/>
          <c:order val="13"/>
          <c:tx>
            <c:strRef>
              <c:f>'Total Afil.Mas 50'!$A$18</c:f>
              <c:strCache>
                <c:ptCount val="1"/>
                <c:pt idx="0">
                  <c:v>ADM. SERVICIOS MED. AMOR Y PAZ</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50'!$B$18:$IL$18</c:f>
            </c:numRef>
          </c:val>
          <c:smooth val="0"/>
        </c:ser>
        <c:ser>
          <c:idx val="14"/>
          <c:order val="14"/>
          <c:tx>
            <c:strRef>
              <c:f>'Total Afil.Mas 50'!$A$19</c:f>
              <c:strCache>
                <c:ptCount val="1"/>
                <c:pt idx="0">
                  <c:v>ARS  RESERVAS</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50'!$B$19:$IL$19</c:f>
            </c:numRef>
          </c:val>
          <c:smooth val="0"/>
        </c:ser>
        <c:ser>
          <c:idx val="15"/>
          <c:order val="15"/>
          <c:tx>
            <c:strRef>
              <c:f>'Total Afil.Mas 50'!$A$20</c:f>
              <c:strCache>
                <c:ptCount val="1"/>
                <c:pt idx="0">
                  <c:v>LA MONUMENTAL DE SEGUROS</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50'!$B$20:$IL$20</c:f>
            </c:numRef>
          </c:val>
          <c:smooth val="0"/>
        </c:ser>
        <c:ser>
          <c:idx val="16"/>
          <c:order val="16"/>
          <c:tx>
            <c:strRef>
              <c:f>'Total Afil.Mas 50'!$A$21</c:f>
              <c:strCache>
                <c:ptCount val="1"/>
                <c:pt idx="0">
                  <c:v>ARS META-SALUD SINATRAE</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50'!$B$21:$IL$21</c:f>
            </c:numRef>
          </c:val>
          <c:smooth val="0"/>
        </c:ser>
        <c:ser>
          <c:idx val="17"/>
          <c:order val="17"/>
          <c:tx>
            <c:strRef>
              <c:f>'Total Afil.Mas 50'!$A$22</c:f>
              <c:strCache>
                <c:ptCount val="1"/>
                <c:pt idx="0">
                  <c:v>CMD</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50'!$B$22:$IL$22</c:f>
            </c:numRef>
          </c:val>
          <c:smooth val="0"/>
        </c:ser>
        <c:ser>
          <c:idx val="18"/>
          <c:order val="18"/>
          <c:tx>
            <c:strRef>
              <c:f>'Total Afil.Mas 50'!$A$23</c:f>
              <c:strCache>
                <c:ptCount val="1"/>
                <c:pt idx="0">
                  <c:v>PLAN SALUD DEL BANCO CENTRAL</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50'!$B$23:$IL$23</c:f>
            </c:numRef>
          </c:val>
          <c:smooth val="0"/>
        </c:ser>
        <c:ser>
          <c:idx val="19"/>
          <c:order val="19"/>
          <c:tx>
            <c:strRef>
              <c:f>'Total Afil.Mas 50'!$A$24</c:f>
              <c:strCache>
                <c:ptCount val="1"/>
                <c:pt idx="0">
                  <c:v>INSTITUTO DE FUERZAS ARMADAS</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50'!$B$24:$IL$24</c:f>
            </c:numRef>
          </c:val>
          <c:smooth val="0"/>
        </c:ser>
        <c:ser>
          <c:idx val="20"/>
          <c:order val="20"/>
          <c:tx>
            <c:strRef>
              <c:f>'Total Afil.Mas 50'!$A$25</c:f>
              <c:strCache>
                <c:ptCount val="1"/>
                <c:pt idx="0">
                  <c:v>INST. DE SEG. SOCIAL DE LA POLICIA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50'!$B$25:$IL$25</c:f>
            </c:numRef>
          </c:val>
          <c:smooth val="0"/>
        </c:ser>
        <c:ser>
          <c:idx val="21"/>
          <c:order val="21"/>
          <c:tx>
            <c:strRef>
              <c:f>'Total Afil.Mas 50'!$A$26</c:f>
              <c:strCache>
                <c:ptCount val="1"/>
                <c:pt idx="0">
                  <c:v>SEGURO MEDICO SEMUNASED</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50'!$B$26:$IL$26</c:f>
            </c:numRef>
          </c:val>
          <c:smooth val="0"/>
        </c:ser>
        <c:ser>
          <c:idx val="22"/>
          <c:order val="22"/>
          <c:tx>
            <c:strRef>
              <c:f>'Total Afil.Mas 50'!$A$27</c:f>
              <c:strCache>
                <c:ptCount val="1"/>
                <c:pt idx="0">
                  <c:v>A R S LA COLONIAL S 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50'!$B$27:$IL$27</c:f>
            </c:numRef>
          </c:val>
          <c:smooth val="0"/>
        </c:ser>
        <c:ser>
          <c:idx val="23"/>
          <c:order val="23"/>
          <c:tx>
            <c:strRef>
              <c:f>'Total Afil.Mas 50'!$A$28</c:f>
              <c:strCache>
                <c:ptCount val="1"/>
                <c:pt idx="0">
                  <c:v>ARS GALENO</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50'!$B$28:$IL$28</c:f>
            </c:numRef>
          </c:val>
          <c:smooth val="0"/>
        </c:ser>
        <c:ser>
          <c:idx val="24"/>
          <c:order val="24"/>
          <c:tx>
            <c:strRef>
              <c:f>'Total Afil.Mas 50'!$A$29</c:f>
              <c:strCache>
                <c:ptCount val="1"/>
                <c:pt idx="0">
                  <c:v>ARS PLAMEDIN</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50'!$B$29:$IL$29</c:f>
            </c:numRef>
          </c:val>
          <c:smooth val="0"/>
        </c:ser>
        <c:ser>
          <c:idx val="25"/>
          <c:order val="25"/>
          <c:tx>
            <c:strRef>
              <c:f>'Total Afil.Mas 50'!$A$30</c:f>
              <c:strCache>
                <c:ptCount val="1"/>
                <c:pt idx="0">
                  <c:v>ARS UCEMED</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50'!$B$30:$IL$30</c:f>
            </c:numRef>
          </c:val>
          <c:smooth val="0"/>
        </c:ser>
        <c:ser>
          <c:idx val="26"/>
          <c:order val="26"/>
          <c:tx>
            <c:strRef>
              <c:f>'Total Afil.Mas 50'!$A$31</c:f>
              <c:strCache>
                <c:ptCount val="1"/>
                <c:pt idx="0">
                  <c:v>BMI IGUALAS MEDICAS</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50'!$B$31:$IL$31</c:f>
            </c:numRef>
          </c:val>
          <c:smooth val="0"/>
        </c:ser>
        <c:ser>
          <c:idx val="27"/>
          <c:order val="27"/>
          <c:tx>
            <c:strRef>
              <c:f>'Total Afil.Mas 50'!$A$32</c:f>
              <c:strCache>
                <c:ptCount val="1"/>
                <c:pt idx="0">
                  <c:v>SERVICIOS DOM. DE SALUD, C. POR A.</c:v>
                </c:pt>
              </c:strCache>
            </c:strRef>
          </c:tx>
          <c:cat>
            <c:strRef>
              <c:f>'Total Afil.Mas 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Afil.Mas 50'!$B$32:$IL$32</c:f>
            </c:numRef>
          </c:val>
          <c:smooth val="0"/>
        </c:ser>
        <c:dLbls>
          <c:showLegendKey val="0"/>
          <c:showVal val="0"/>
          <c:showCatName val="0"/>
          <c:showSerName val="0"/>
          <c:showPercent val="0"/>
          <c:showBubbleSize val="0"/>
        </c:dLbls>
        <c:marker val="1"/>
        <c:smooth val="0"/>
        <c:axId val="273916000"/>
        <c:axId val="273916392"/>
      </c:lineChart>
      <c:catAx>
        <c:axId val="273916000"/>
        <c:scaling>
          <c:orientation val="minMax"/>
        </c:scaling>
        <c:delete val="0"/>
        <c:axPos val="b"/>
        <c:numFmt formatCode="General" sourceLinked="0"/>
        <c:majorTickMark val="none"/>
        <c:minorTickMark val="none"/>
        <c:tickLblPos val="nextTo"/>
        <c:txPr>
          <a:bodyPr/>
          <a:lstStyle/>
          <a:p>
            <a:pPr>
              <a:defRPr sz="1400"/>
            </a:pPr>
            <a:endParaRPr lang="es-ES"/>
          </a:p>
        </c:txPr>
        <c:crossAx val="273916392"/>
        <c:crosses val="autoZero"/>
        <c:auto val="1"/>
        <c:lblAlgn val="ctr"/>
        <c:lblOffset val="100"/>
        <c:noMultiLvlLbl val="0"/>
      </c:catAx>
      <c:valAx>
        <c:axId val="273916392"/>
        <c:scaling>
          <c:orientation val="minMax"/>
        </c:scaling>
        <c:delete val="0"/>
        <c:axPos val="l"/>
        <c:numFmt formatCode="_(* #,##0_);_(* \(#,##0\);_(* &quot;-&quot;??_);_(@_)" sourceLinked="1"/>
        <c:majorTickMark val="none"/>
        <c:minorTickMark val="none"/>
        <c:tickLblPos val="nextTo"/>
        <c:crossAx val="273916000"/>
        <c:crosses val="autoZero"/>
        <c:crossBetween val="between"/>
        <c:majorUnit val="50000"/>
        <c:dispUnits>
          <c:builtInUnit val="thousands"/>
        </c:dispUnits>
      </c:valAx>
    </c:plotArea>
    <c:legend>
      <c:legendPos val="r"/>
      <c:layout>
        <c:manualLayout>
          <c:xMode val="edge"/>
          <c:yMode val="edge"/>
          <c:x val="0.31906601405478896"/>
          <c:y val="0.12523544645376267"/>
          <c:w val="0.37144503611727042"/>
          <c:h val="8.4131896858593652E-2"/>
        </c:manualLayout>
      </c:layout>
      <c:overlay val="0"/>
      <c:txPr>
        <a:bodyPr/>
        <a:lstStyle/>
        <a:p>
          <a:pPr>
            <a:defRPr sz="12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b="1" i="0" baseline="0">
                <a:effectLst/>
              </a:rPr>
              <a:t>ARS que al Mes de abril Poseen Menos de  50,000 Afiliados</a:t>
            </a:r>
            <a:endParaRPr lang="es-DO" sz="1800">
              <a:effectLst/>
            </a:endParaRPr>
          </a:p>
        </c:rich>
      </c:tx>
      <c:layout>
        <c:manualLayout>
          <c:xMode val="edge"/>
          <c:yMode val="edge"/>
          <c:x val="0.39728595900806557"/>
          <c:y val="3.1169346646321719E-2"/>
        </c:manualLayout>
      </c:layout>
      <c:overlay val="0"/>
    </c:title>
    <c:autoTitleDeleted val="0"/>
    <c:plotArea>
      <c:layout>
        <c:manualLayout>
          <c:layoutTarget val="inner"/>
          <c:xMode val="edge"/>
          <c:yMode val="edge"/>
          <c:x val="5.8268365465854143E-2"/>
          <c:y val="4.2419030252797356E-2"/>
          <c:w val="0.92004556090886225"/>
          <c:h val="0.84377735288498423"/>
        </c:manualLayout>
      </c:layout>
      <c:lineChart>
        <c:grouping val="standard"/>
        <c:varyColors val="0"/>
        <c:ser>
          <c:idx val="0"/>
          <c:order val="0"/>
          <c:tx>
            <c:strRef>
              <c:f>'Total Afiliados &lt;50'!$A$12</c:f>
              <c:strCache>
                <c:ptCount val="1"/>
                <c:pt idx="0">
                  <c:v>ARS-SIMAG</c:v>
                </c:pt>
              </c:strCache>
            </c:strRef>
          </c:tx>
          <c:marker>
            <c:symbol val="diamond"/>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&lt;50'!$B$12:$IL$12</c:f>
              <c:numCache>
                <c:formatCode>_(* #,##0_);_(* \(#,##0\);_(* "-"??_);_(@_)</c:formatCode>
                <c:ptCount val="17"/>
                <c:pt idx="0">
                  <c:v>23264</c:v>
                </c:pt>
                <c:pt idx="1">
                  <c:v>24033</c:v>
                </c:pt>
                <c:pt idx="2">
                  <c:v>25033</c:v>
                </c:pt>
                <c:pt idx="3">
                  <c:v>25697</c:v>
                </c:pt>
                <c:pt idx="4">
                  <c:v>30154</c:v>
                </c:pt>
                <c:pt idx="5">
                  <c:v>33689</c:v>
                </c:pt>
                <c:pt idx="6">
                  <c:v>36882</c:v>
                </c:pt>
                <c:pt idx="7">
                  <c:v>39329</c:v>
                </c:pt>
                <c:pt idx="8">
                  <c:v>41651</c:v>
                </c:pt>
                <c:pt idx="9">
                  <c:v>42939</c:v>
                </c:pt>
                <c:pt idx="10">
                  <c:v>45868</c:v>
                </c:pt>
                <c:pt idx="11">
                  <c:v>45406</c:v>
                </c:pt>
                <c:pt idx="12">
                  <c:v>47906</c:v>
                </c:pt>
                <c:pt idx="13">
                  <c:v>47835</c:v>
                </c:pt>
                <c:pt idx="14">
                  <c:v>49056</c:v>
                </c:pt>
                <c:pt idx="15">
                  <c:v>49308</c:v>
                </c:pt>
                <c:pt idx="16">
                  <c:v>51038</c:v>
                </c:pt>
              </c:numCache>
            </c:numRef>
          </c:val>
          <c:smooth val="0"/>
        </c:ser>
        <c:ser>
          <c:idx val="1"/>
          <c:order val="1"/>
          <c:tx>
            <c:strRef>
              <c:f>'Total Afiliados &lt;50'!$A$13</c:f>
              <c:strCache>
                <c:ptCount val="1"/>
                <c:pt idx="0">
                  <c:v>ARS DR. YUNEN</c:v>
                </c:pt>
              </c:strCache>
            </c:strRef>
          </c:tx>
          <c:marker>
            <c:symbol val="square"/>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&lt;50'!$B$13:$IL$13</c:f>
              <c:numCache>
                <c:formatCode>_(* #,##0_);_(* \(#,##0\);_(* "-"??_);_(@_)</c:formatCode>
                <c:ptCount val="17"/>
                <c:pt idx="0">
                  <c:v>14692</c:v>
                </c:pt>
                <c:pt idx="1">
                  <c:v>17019</c:v>
                </c:pt>
                <c:pt idx="2">
                  <c:v>19620</c:v>
                </c:pt>
                <c:pt idx="3">
                  <c:v>18042</c:v>
                </c:pt>
                <c:pt idx="4">
                  <c:v>18552</c:v>
                </c:pt>
                <c:pt idx="5">
                  <c:v>19715</c:v>
                </c:pt>
                <c:pt idx="6">
                  <c:v>23420</c:v>
                </c:pt>
                <c:pt idx="7">
                  <c:v>27995</c:v>
                </c:pt>
                <c:pt idx="8">
                  <c:v>30543</c:v>
                </c:pt>
                <c:pt idx="9">
                  <c:v>34812</c:v>
                </c:pt>
                <c:pt idx="10">
                  <c:v>37132</c:v>
                </c:pt>
                <c:pt idx="11">
                  <c:v>40504</c:v>
                </c:pt>
                <c:pt idx="12">
                  <c:v>44821</c:v>
                </c:pt>
                <c:pt idx="13">
                  <c:v>47651</c:v>
                </c:pt>
                <c:pt idx="14">
                  <c:v>48541</c:v>
                </c:pt>
                <c:pt idx="15">
                  <c:v>49063</c:v>
                </c:pt>
                <c:pt idx="16">
                  <c:v>50387</c:v>
                </c:pt>
              </c:numCache>
            </c:numRef>
          </c:val>
          <c:smooth val="0"/>
        </c:ser>
        <c:ser>
          <c:idx val="2"/>
          <c:order val="2"/>
          <c:tx>
            <c:strRef>
              <c:f>'Total Afiliados &lt;50'!$A$14</c:f>
              <c:strCache>
                <c:ptCount val="1"/>
                <c:pt idx="0">
                  <c:v>ARS RENACER</c:v>
                </c:pt>
              </c:strCache>
            </c:strRef>
          </c:tx>
          <c:marker>
            <c:symbol val="triangle"/>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&lt;50'!$B$14:$IL$14</c:f>
              <c:numCache>
                <c:formatCode>_(* #,##0_);_(* \(#,##0\);_(* "-"??_);_(@_)</c:formatCode>
                <c:ptCount val="17"/>
                <c:pt idx="0">
                  <c:v>5286</c:v>
                </c:pt>
                <c:pt idx="1">
                  <c:v>6361</c:v>
                </c:pt>
                <c:pt idx="2">
                  <c:v>7680</c:v>
                </c:pt>
                <c:pt idx="3">
                  <c:v>9001</c:v>
                </c:pt>
                <c:pt idx="4">
                  <c:v>9924</c:v>
                </c:pt>
                <c:pt idx="5">
                  <c:v>14886</c:v>
                </c:pt>
                <c:pt idx="6">
                  <c:v>18594</c:v>
                </c:pt>
                <c:pt idx="7">
                  <c:v>25660</c:v>
                </c:pt>
                <c:pt idx="8">
                  <c:v>27120</c:v>
                </c:pt>
                <c:pt idx="9">
                  <c:v>31365</c:v>
                </c:pt>
                <c:pt idx="10">
                  <c:v>33887</c:v>
                </c:pt>
                <c:pt idx="11">
                  <c:v>35857</c:v>
                </c:pt>
                <c:pt idx="12">
                  <c:v>37573</c:v>
                </c:pt>
                <c:pt idx="13">
                  <c:v>39389</c:v>
                </c:pt>
                <c:pt idx="14">
                  <c:v>40909</c:v>
                </c:pt>
                <c:pt idx="15">
                  <c:v>42044</c:v>
                </c:pt>
                <c:pt idx="16">
                  <c:v>43183</c:v>
                </c:pt>
              </c:numCache>
            </c:numRef>
          </c:val>
          <c:smooth val="0"/>
        </c:ser>
        <c:ser>
          <c:idx val="3"/>
          <c:order val="3"/>
          <c:tx>
            <c:strRef>
              <c:f>'Total Afiliados &lt;50'!$A$15</c:f>
              <c:strCache>
                <c:ptCount val="1"/>
                <c:pt idx="0">
                  <c:v>GRUPO MEDICO ASOCIADO</c:v>
                </c:pt>
              </c:strCache>
            </c:strRef>
          </c:tx>
          <c:marker>
            <c:symbol val="x"/>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&lt;50'!$B$15:$IL$15</c:f>
              <c:numCache>
                <c:formatCode>_(* #,##0_);_(* \(#,##0\);_(* "-"??_);_(@_)</c:formatCode>
                <c:ptCount val="17"/>
                <c:pt idx="0">
                  <c:v>11303</c:v>
                </c:pt>
                <c:pt idx="1">
                  <c:v>11469</c:v>
                </c:pt>
                <c:pt idx="2">
                  <c:v>13800</c:v>
                </c:pt>
                <c:pt idx="3">
                  <c:v>12213</c:v>
                </c:pt>
                <c:pt idx="4">
                  <c:v>14052</c:v>
                </c:pt>
                <c:pt idx="5">
                  <c:v>14680</c:v>
                </c:pt>
                <c:pt idx="6">
                  <c:v>16325</c:v>
                </c:pt>
                <c:pt idx="7">
                  <c:v>17715</c:v>
                </c:pt>
                <c:pt idx="8">
                  <c:v>17209</c:v>
                </c:pt>
                <c:pt idx="9">
                  <c:v>16818</c:v>
                </c:pt>
                <c:pt idx="10">
                  <c:v>16351</c:v>
                </c:pt>
                <c:pt idx="11">
                  <c:v>16647</c:v>
                </c:pt>
                <c:pt idx="12">
                  <c:v>21216</c:v>
                </c:pt>
                <c:pt idx="13">
                  <c:v>26024</c:v>
                </c:pt>
                <c:pt idx="14">
                  <c:v>30812</c:v>
                </c:pt>
                <c:pt idx="15">
                  <c:v>31412</c:v>
                </c:pt>
                <c:pt idx="16">
                  <c:v>33992</c:v>
                </c:pt>
              </c:numCache>
            </c:numRef>
          </c:val>
          <c:smooth val="0"/>
        </c:ser>
        <c:ser>
          <c:idx val="4"/>
          <c:order val="4"/>
          <c:tx>
            <c:strRef>
              <c:f>'Total Afiliados &lt;50'!$A$16</c:f>
              <c:strCache>
                <c:ptCount val="1"/>
                <c:pt idx="0">
                  <c:v>ARS APS</c:v>
                </c:pt>
              </c:strCache>
            </c:strRef>
          </c:tx>
          <c:marker>
            <c:symbol val="star"/>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&lt;50'!$B$16:$IL$16</c:f>
              <c:numCache>
                <c:formatCode>_(* #,##0_);_(* \(#,##0\);_(* "-"??_);_(@_)</c:formatCode>
                <c:ptCount val="17"/>
                <c:pt idx="0">
                  <c:v>31598</c:v>
                </c:pt>
                <c:pt idx="1">
                  <c:v>36140</c:v>
                </c:pt>
                <c:pt idx="2">
                  <c:v>38837</c:v>
                </c:pt>
                <c:pt idx="3">
                  <c:v>27193</c:v>
                </c:pt>
                <c:pt idx="4">
                  <c:v>22466</c:v>
                </c:pt>
                <c:pt idx="5">
                  <c:v>22617</c:v>
                </c:pt>
                <c:pt idx="6">
                  <c:v>26722</c:v>
                </c:pt>
                <c:pt idx="7">
                  <c:v>26162</c:v>
                </c:pt>
                <c:pt idx="8">
                  <c:v>22772</c:v>
                </c:pt>
                <c:pt idx="9">
                  <c:v>21568</c:v>
                </c:pt>
                <c:pt idx="10">
                  <c:v>19041</c:v>
                </c:pt>
                <c:pt idx="11">
                  <c:v>17869</c:v>
                </c:pt>
                <c:pt idx="12">
                  <c:v>21824</c:v>
                </c:pt>
                <c:pt idx="13">
                  <c:v>24863</c:v>
                </c:pt>
                <c:pt idx="14">
                  <c:v>24437</c:v>
                </c:pt>
                <c:pt idx="15">
                  <c:v>24425</c:v>
                </c:pt>
                <c:pt idx="16">
                  <c:v>24682</c:v>
                </c:pt>
              </c:numCache>
            </c:numRef>
          </c:val>
          <c:smooth val="0"/>
        </c:ser>
        <c:ser>
          <c:idx val="5"/>
          <c:order val="5"/>
          <c:tx>
            <c:strRef>
              <c:f>'Total Afiliados &lt;50'!$A$17</c:f>
              <c:strCache>
                <c:ptCount val="1"/>
                <c:pt idx="0">
                  <c:v>ARS CONSTITUCION</c:v>
                </c:pt>
              </c:strCache>
            </c:strRef>
          </c:tx>
          <c:marker>
            <c:symbol val="circle"/>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&lt;50'!$B$17:$IL$17</c:f>
              <c:numCache>
                <c:formatCode>_(* #,##0_);_(* \(#,##0\);_(* "-"??_);_(@_)</c:formatCode>
                <c:ptCount val="17"/>
                <c:pt idx="0">
                  <c:v>9007</c:v>
                </c:pt>
                <c:pt idx="1">
                  <c:v>10984</c:v>
                </c:pt>
                <c:pt idx="2">
                  <c:v>12207</c:v>
                </c:pt>
                <c:pt idx="3">
                  <c:v>10893</c:v>
                </c:pt>
                <c:pt idx="4">
                  <c:v>10651</c:v>
                </c:pt>
                <c:pt idx="5">
                  <c:v>9491</c:v>
                </c:pt>
                <c:pt idx="6">
                  <c:v>10261</c:v>
                </c:pt>
                <c:pt idx="7">
                  <c:v>15210</c:v>
                </c:pt>
                <c:pt idx="8">
                  <c:v>16548</c:v>
                </c:pt>
                <c:pt idx="9">
                  <c:v>16373</c:v>
                </c:pt>
                <c:pt idx="10">
                  <c:v>16739</c:v>
                </c:pt>
                <c:pt idx="11">
                  <c:v>18799</c:v>
                </c:pt>
                <c:pt idx="12">
                  <c:v>20490</c:v>
                </c:pt>
                <c:pt idx="13">
                  <c:v>22871</c:v>
                </c:pt>
                <c:pt idx="14">
                  <c:v>23596</c:v>
                </c:pt>
                <c:pt idx="15">
                  <c:v>23706</c:v>
                </c:pt>
                <c:pt idx="16">
                  <c:v>25208</c:v>
                </c:pt>
              </c:numCache>
            </c:numRef>
          </c:val>
          <c:smooth val="0"/>
        </c:ser>
        <c:ser>
          <c:idx val="6"/>
          <c:order val="6"/>
          <c:tx>
            <c:strRef>
              <c:f>'Total Afiliados &lt;50'!$A$18</c:f>
              <c:strCache>
                <c:ptCount val="1"/>
                <c:pt idx="0">
                  <c:v>ADM. SERVICIOS MED. AMOR Y PAZ</c:v>
                </c:pt>
              </c:strCache>
            </c:strRef>
          </c:tx>
          <c:marker>
            <c:symbol val="plus"/>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&lt;50'!$B$18:$IL$18</c:f>
              <c:numCache>
                <c:formatCode>_(* #,##0_);_(* \(#,##0\);_(* "-"??_);_(@_)</c:formatCode>
                <c:ptCount val="17"/>
                <c:pt idx="0">
                  <c:v>4916</c:v>
                </c:pt>
                <c:pt idx="1">
                  <c:v>5539</c:v>
                </c:pt>
                <c:pt idx="2">
                  <c:v>7020</c:v>
                </c:pt>
                <c:pt idx="3">
                  <c:v>7628</c:v>
                </c:pt>
                <c:pt idx="4">
                  <c:v>9603</c:v>
                </c:pt>
                <c:pt idx="5">
                  <c:v>13802</c:v>
                </c:pt>
                <c:pt idx="6">
                  <c:v>14936</c:v>
                </c:pt>
                <c:pt idx="7">
                  <c:v>18845</c:v>
                </c:pt>
                <c:pt idx="8">
                  <c:v>18818</c:v>
                </c:pt>
                <c:pt idx="9">
                  <c:v>21676</c:v>
                </c:pt>
                <c:pt idx="10">
                  <c:v>20464</c:v>
                </c:pt>
                <c:pt idx="11">
                  <c:v>19339</c:v>
                </c:pt>
                <c:pt idx="12">
                  <c:v>19300</c:v>
                </c:pt>
                <c:pt idx="13">
                  <c:v>22541</c:v>
                </c:pt>
                <c:pt idx="14">
                  <c:v>25032</c:v>
                </c:pt>
                <c:pt idx="15">
                  <c:v>25547</c:v>
                </c:pt>
                <c:pt idx="16">
                  <c:v>28025</c:v>
                </c:pt>
              </c:numCache>
            </c:numRef>
          </c:val>
          <c:smooth val="0"/>
        </c:ser>
        <c:ser>
          <c:idx val="7"/>
          <c:order val="7"/>
          <c:tx>
            <c:strRef>
              <c:f>'Total Afiliados &lt;50'!$A$19</c:f>
              <c:strCache>
                <c:ptCount val="1"/>
                <c:pt idx="0">
                  <c:v>ARS  RESERVAS</c:v>
                </c:pt>
              </c:strCache>
            </c:strRef>
          </c:tx>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&lt;50'!$B$19:$IL$19</c:f>
              <c:numCache>
                <c:formatCode>_(* #,##0_);_(* \(#,##0\);_(* "-"??_);_(@_)</c:formatCode>
                <c:ptCount val="17"/>
                <c:pt idx="0">
                  <c:v>12673</c:v>
                </c:pt>
                <c:pt idx="1">
                  <c:v>13890</c:v>
                </c:pt>
                <c:pt idx="2">
                  <c:v>15734</c:v>
                </c:pt>
                <c:pt idx="3">
                  <c:v>16462</c:v>
                </c:pt>
                <c:pt idx="4">
                  <c:v>17257</c:v>
                </c:pt>
                <c:pt idx="5">
                  <c:v>17670</c:v>
                </c:pt>
                <c:pt idx="6">
                  <c:v>17973</c:v>
                </c:pt>
                <c:pt idx="7">
                  <c:v>18666</c:v>
                </c:pt>
                <c:pt idx="8">
                  <c:v>21288</c:v>
                </c:pt>
                <c:pt idx="9">
                  <c:v>19490</c:v>
                </c:pt>
                <c:pt idx="10">
                  <c:v>19555</c:v>
                </c:pt>
                <c:pt idx="11">
                  <c:v>19620</c:v>
                </c:pt>
                <c:pt idx="12">
                  <c:v>19727</c:v>
                </c:pt>
                <c:pt idx="13">
                  <c:v>20041</c:v>
                </c:pt>
                <c:pt idx="14">
                  <c:v>20307</c:v>
                </c:pt>
                <c:pt idx="15">
                  <c:v>20370</c:v>
                </c:pt>
                <c:pt idx="16">
                  <c:v>24296</c:v>
                </c:pt>
              </c:numCache>
            </c:numRef>
          </c:val>
          <c:smooth val="0"/>
        </c:ser>
        <c:ser>
          <c:idx val="8"/>
          <c:order val="8"/>
          <c:tx>
            <c:strRef>
              <c:f>'Total Afiliados &lt;50'!$A$20</c:f>
              <c:strCache>
                <c:ptCount val="1"/>
                <c:pt idx="0">
                  <c:v>LA MONUMENTAL DE SEGUROS</c:v>
                </c:pt>
              </c:strCache>
            </c:strRef>
          </c:tx>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&lt;50'!$B$20:$IL$20</c:f>
              <c:numCache>
                <c:formatCode>_(* #,##0_);_(* \(#,##0\);_(* "-"??_);_(@_)</c:formatCode>
                <c:ptCount val="17"/>
                <c:pt idx="0">
                  <c:v>13602</c:v>
                </c:pt>
                <c:pt idx="1">
                  <c:v>16431</c:v>
                </c:pt>
                <c:pt idx="2">
                  <c:v>19618</c:v>
                </c:pt>
                <c:pt idx="3">
                  <c:v>16628</c:v>
                </c:pt>
                <c:pt idx="4">
                  <c:v>16539</c:v>
                </c:pt>
                <c:pt idx="5">
                  <c:v>17023</c:v>
                </c:pt>
                <c:pt idx="6">
                  <c:v>18330</c:v>
                </c:pt>
                <c:pt idx="7">
                  <c:v>18181</c:v>
                </c:pt>
                <c:pt idx="8">
                  <c:v>17710</c:v>
                </c:pt>
                <c:pt idx="9">
                  <c:v>16693</c:v>
                </c:pt>
                <c:pt idx="10">
                  <c:v>16515</c:v>
                </c:pt>
                <c:pt idx="11">
                  <c:v>16475</c:v>
                </c:pt>
                <c:pt idx="12">
                  <c:v>16931</c:v>
                </c:pt>
                <c:pt idx="13">
                  <c:v>17034</c:v>
                </c:pt>
                <c:pt idx="14">
                  <c:v>17282</c:v>
                </c:pt>
                <c:pt idx="15">
                  <c:v>17448</c:v>
                </c:pt>
                <c:pt idx="16">
                  <c:v>18487</c:v>
                </c:pt>
              </c:numCache>
            </c:numRef>
          </c:val>
          <c:smooth val="0"/>
        </c:ser>
        <c:ser>
          <c:idx val="9"/>
          <c:order val="9"/>
          <c:tx>
            <c:strRef>
              <c:f>'Total Afiliados &lt;50'!$A$21</c:f>
              <c:strCache>
                <c:ptCount val="1"/>
                <c:pt idx="0">
                  <c:v>ARS META-SALUD SINATRAE</c:v>
                </c:pt>
              </c:strCache>
            </c:strRef>
          </c:tx>
          <c:marker>
            <c:symbol val="diamond"/>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&lt;50'!$B$21:$IL$21</c:f>
              <c:numCache>
                <c:formatCode>_(* #,##0_);_(* \(#,##0\);_(* "-"??_);_(@_)</c:formatCode>
                <c:ptCount val="17"/>
                <c:pt idx="0">
                  <c:v>3856</c:v>
                </c:pt>
                <c:pt idx="1">
                  <c:v>6526</c:v>
                </c:pt>
                <c:pt idx="2">
                  <c:v>16605</c:v>
                </c:pt>
                <c:pt idx="3">
                  <c:v>12589</c:v>
                </c:pt>
                <c:pt idx="4">
                  <c:v>13417</c:v>
                </c:pt>
                <c:pt idx="5">
                  <c:v>11708</c:v>
                </c:pt>
                <c:pt idx="6">
                  <c:v>11231</c:v>
                </c:pt>
                <c:pt idx="7">
                  <c:v>10157</c:v>
                </c:pt>
                <c:pt idx="8">
                  <c:v>9164</c:v>
                </c:pt>
                <c:pt idx="9">
                  <c:v>9777</c:v>
                </c:pt>
                <c:pt idx="10">
                  <c:v>14356</c:v>
                </c:pt>
                <c:pt idx="11">
                  <c:v>15254</c:v>
                </c:pt>
                <c:pt idx="12">
                  <c:v>15344</c:v>
                </c:pt>
                <c:pt idx="13">
                  <c:v>17340</c:v>
                </c:pt>
                <c:pt idx="14">
                  <c:v>17662</c:v>
                </c:pt>
                <c:pt idx="15">
                  <c:v>18069</c:v>
                </c:pt>
                <c:pt idx="16">
                  <c:v>18893</c:v>
                </c:pt>
              </c:numCache>
            </c:numRef>
          </c:val>
          <c:smooth val="0"/>
        </c:ser>
        <c:ser>
          <c:idx val="10"/>
          <c:order val="10"/>
          <c:tx>
            <c:strRef>
              <c:f>'Total Afiliados &lt;50'!$A$22</c:f>
              <c:strCache>
                <c:ptCount val="1"/>
                <c:pt idx="0">
                  <c:v>CMD</c:v>
                </c:pt>
              </c:strCache>
            </c:strRef>
          </c:tx>
          <c:marker>
            <c:symbol val="square"/>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&lt;50'!$B$22:$IL$22</c:f>
              <c:numCache>
                <c:formatCode>_(* #,##0_);_(* \(#,##0\);_(* "-"??_);_(@_)</c:formatCode>
                <c:ptCount val="17"/>
                <c:pt idx="0">
                  <c:v>18518</c:v>
                </c:pt>
                <c:pt idx="1">
                  <c:v>19635</c:v>
                </c:pt>
                <c:pt idx="2">
                  <c:v>19853</c:v>
                </c:pt>
                <c:pt idx="3">
                  <c:v>19563</c:v>
                </c:pt>
                <c:pt idx="4">
                  <c:v>19923</c:v>
                </c:pt>
                <c:pt idx="5">
                  <c:v>19097</c:v>
                </c:pt>
                <c:pt idx="6">
                  <c:v>17811</c:v>
                </c:pt>
                <c:pt idx="7">
                  <c:v>16114</c:v>
                </c:pt>
                <c:pt idx="8">
                  <c:v>15102</c:v>
                </c:pt>
                <c:pt idx="9">
                  <c:v>13822</c:v>
                </c:pt>
                <c:pt idx="10">
                  <c:v>13788</c:v>
                </c:pt>
                <c:pt idx="11">
                  <c:v>13287</c:v>
                </c:pt>
                <c:pt idx="12">
                  <c:v>12911</c:v>
                </c:pt>
                <c:pt idx="13">
                  <c:v>12020</c:v>
                </c:pt>
                <c:pt idx="14">
                  <c:v>12607</c:v>
                </c:pt>
                <c:pt idx="15">
                  <c:v>12327</c:v>
                </c:pt>
                <c:pt idx="16">
                  <c:v>15441</c:v>
                </c:pt>
              </c:numCache>
            </c:numRef>
          </c:val>
          <c:smooth val="0"/>
        </c:ser>
        <c:ser>
          <c:idx val="11"/>
          <c:order val="11"/>
          <c:tx>
            <c:strRef>
              <c:f>'Total Afiliados &lt;50'!$A$23</c:f>
              <c:strCache>
                <c:ptCount val="1"/>
                <c:pt idx="0">
                  <c:v>PLAN SALUD DEL BANCO CENTRAL</c:v>
                </c:pt>
              </c:strCache>
            </c:strRef>
          </c:tx>
          <c:marker>
            <c:symbol val="triangle"/>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&lt;50'!$B$23:$IL$23</c:f>
              <c:numCache>
                <c:formatCode>_(* #,##0_);_(* \(#,##0\);_(* "-"??_);_(@_)</c:formatCode>
                <c:ptCount val="17"/>
                <c:pt idx="0">
                  <c:v>4917</c:v>
                </c:pt>
                <c:pt idx="1">
                  <c:v>5255</c:v>
                </c:pt>
                <c:pt idx="2">
                  <c:v>5863</c:v>
                </c:pt>
                <c:pt idx="3">
                  <c:v>5976</c:v>
                </c:pt>
                <c:pt idx="4">
                  <c:v>6183</c:v>
                </c:pt>
                <c:pt idx="5">
                  <c:v>6240</c:v>
                </c:pt>
                <c:pt idx="6">
                  <c:v>6344</c:v>
                </c:pt>
                <c:pt idx="7">
                  <c:v>6872</c:v>
                </c:pt>
                <c:pt idx="8">
                  <c:v>6799</c:v>
                </c:pt>
                <c:pt idx="9">
                  <c:v>6792</c:v>
                </c:pt>
                <c:pt idx="10">
                  <c:v>6565</c:v>
                </c:pt>
                <c:pt idx="11">
                  <c:v>6424</c:v>
                </c:pt>
                <c:pt idx="12">
                  <c:v>6435</c:v>
                </c:pt>
                <c:pt idx="13">
                  <c:v>6444</c:v>
                </c:pt>
                <c:pt idx="14">
                  <c:v>6420</c:v>
                </c:pt>
                <c:pt idx="15">
                  <c:v>6482</c:v>
                </c:pt>
                <c:pt idx="16">
                  <c:v>8266</c:v>
                </c:pt>
              </c:numCache>
            </c:numRef>
          </c:val>
          <c:smooth val="0"/>
        </c:ser>
        <c:ser>
          <c:idx val="12"/>
          <c:order val="12"/>
          <c:tx>
            <c:strRef>
              <c:f>'Total Afiliados &lt;50'!$A$24</c:f>
              <c:strCache>
                <c:ptCount val="1"/>
                <c:pt idx="0">
                  <c:v>INSTITUTO DE FUERZAS ARMADAS</c:v>
                </c:pt>
              </c:strCache>
            </c:strRef>
          </c:tx>
          <c:marker>
            <c:symbol val="x"/>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&lt;50'!$B$24:$IL$24</c:f>
              <c:numCache>
                <c:formatCode>_(* #,##0_);_(* \(#,##0\);_(* "-"??_);_(@_)</c:formatCode>
                <c:ptCount val="17"/>
                <c:pt idx="0">
                  <c:v>6184</c:v>
                </c:pt>
                <c:pt idx="1">
                  <c:v>7148</c:v>
                </c:pt>
                <c:pt idx="2">
                  <c:v>9045</c:v>
                </c:pt>
                <c:pt idx="3">
                  <c:v>9343</c:v>
                </c:pt>
                <c:pt idx="4">
                  <c:v>9369</c:v>
                </c:pt>
                <c:pt idx="5">
                  <c:v>9135</c:v>
                </c:pt>
                <c:pt idx="6">
                  <c:v>8095</c:v>
                </c:pt>
                <c:pt idx="7">
                  <c:v>7266</c:v>
                </c:pt>
                <c:pt idx="8">
                  <c:v>5991</c:v>
                </c:pt>
                <c:pt idx="9">
                  <c:v>5416</c:v>
                </c:pt>
                <c:pt idx="10">
                  <c:v>4976</c:v>
                </c:pt>
                <c:pt idx="11">
                  <c:v>4656</c:v>
                </c:pt>
                <c:pt idx="12">
                  <c:v>4349</c:v>
                </c:pt>
                <c:pt idx="13">
                  <c:v>4110</c:v>
                </c:pt>
                <c:pt idx="14">
                  <c:v>3887</c:v>
                </c:pt>
                <c:pt idx="15">
                  <c:v>4084</c:v>
                </c:pt>
                <c:pt idx="16">
                  <c:v>3930</c:v>
                </c:pt>
              </c:numCache>
            </c:numRef>
          </c:val>
          <c:smooth val="0"/>
        </c:ser>
        <c:ser>
          <c:idx val="13"/>
          <c:order val="13"/>
          <c:tx>
            <c:strRef>
              <c:f>'Total Afiliados &lt;50'!$A$25</c:f>
              <c:strCache>
                <c:ptCount val="1"/>
                <c:pt idx="0">
                  <c:v>INST. DE SEG. SOCIAL DE LA POLICIA</c:v>
                </c:pt>
              </c:strCache>
            </c:strRef>
          </c:tx>
          <c:marker>
            <c:symbol val="star"/>
            <c:size val="3"/>
          </c:marker>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&lt;50'!$B$25:$IL$25</c:f>
              <c:numCache>
                <c:formatCode>_(* #,##0_);_(* \(#,##0\);_(* "-"??_);_(@_)</c:formatCode>
                <c:ptCount val="17"/>
                <c:pt idx="0">
                  <c:v>5194</c:v>
                </c:pt>
                <c:pt idx="1">
                  <c:v>7102</c:v>
                </c:pt>
                <c:pt idx="2">
                  <c:v>7460</c:v>
                </c:pt>
                <c:pt idx="3">
                  <c:v>7249</c:v>
                </c:pt>
                <c:pt idx="4">
                  <c:v>7390</c:v>
                </c:pt>
                <c:pt idx="5">
                  <c:v>7389</c:v>
                </c:pt>
                <c:pt idx="6">
                  <c:v>7262</c:v>
                </c:pt>
                <c:pt idx="7">
                  <c:v>6539</c:v>
                </c:pt>
                <c:pt idx="8">
                  <c:v>5763</c:v>
                </c:pt>
                <c:pt idx="9">
                  <c:v>5338</c:v>
                </c:pt>
                <c:pt idx="10">
                  <c:v>4830</c:v>
                </c:pt>
                <c:pt idx="11">
                  <c:v>4550</c:v>
                </c:pt>
                <c:pt idx="12">
                  <c:v>4232</c:v>
                </c:pt>
                <c:pt idx="13">
                  <c:v>3938</c:v>
                </c:pt>
                <c:pt idx="14">
                  <c:v>3768</c:v>
                </c:pt>
                <c:pt idx="15">
                  <c:v>3741</c:v>
                </c:pt>
                <c:pt idx="16">
                  <c:v>3676</c:v>
                </c:pt>
              </c:numCache>
            </c:numRef>
          </c:val>
          <c:smooth val="0"/>
        </c:ser>
        <c:ser>
          <c:idx val="14"/>
          <c:order val="14"/>
          <c:tx>
            <c:strRef>
              <c:f>'Total Afiliados &lt;50'!$A$26</c:f>
              <c:strCache>
                <c:ptCount val="1"/>
                <c:pt idx="0">
                  <c:v>SEGURO MEDICO SEMUNASED</c:v>
                </c:pt>
              </c:strCache>
            </c:strRef>
          </c:tx>
          <c:cat>
            <c:strRef>
              <c:f>'Total Afiliados &lt;50'!$B$4:$IL$4</c:f>
              <c:strCache>
                <c:ptCount val="17"/>
                <c:pt idx="0">
                  <c:v>Sep.07</c:v>
                </c:pt>
                <c:pt idx="1">
                  <c:v>Dic.07</c:v>
                </c:pt>
                <c:pt idx="2">
                  <c:v>Jun.08</c:v>
                </c:pt>
                <c:pt idx="3">
                  <c:v>Dic.08</c:v>
                </c:pt>
                <c:pt idx="4">
                  <c:v>Jun.09</c:v>
                </c:pt>
                <c:pt idx="5">
                  <c:v>Dic.09</c:v>
                </c:pt>
                <c:pt idx="6">
                  <c:v>Jun.10</c:v>
                </c:pt>
                <c:pt idx="7">
                  <c:v>dic.10</c:v>
                </c:pt>
                <c:pt idx="8">
                  <c:v>Jun.11</c:v>
                </c:pt>
                <c:pt idx="9">
                  <c:v>Dic.11</c:v>
                </c:pt>
                <c:pt idx="10">
                  <c:v>Jun.12</c:v>
                </c:pt>
                <c:pt idx="11">
                  <c:v>Dic.12</c:v>
                </c:pt>
                <c:pt idx="12">
                  <c:v>Jun.13</c:v>
                </c:pt>
                <c:pt idx="13">
                  <c:v>Dic.13</c:v>
                </c:pt>
                <c:pt idx="14">
                  <c:v>Mar.14</c:v>
                </c:pt>
                <c:pt idx="15">
                  <c:v>Abr.14</c:v>
                </c:pt>
                <c:pt idx="16">
                  <c:v>May.14</c:v>
                </c:pt>
              </c:strCache>
            </c:strRef>
          </c:cat>
          <c:val>
            <c:numRef>
              <c:f>'Total Afiliados &lt;50'!$B$26:$IL$26</c:f>
              <c:numCache>
                <c:formatCode>_(* #,##0_);_(* \(#,##0\);_(* "-"??_);_(@_)</c:formatCode>
                <c:ptCount val="17"/>
                <c:pt idx="0">
                  <c:v>5031</c:v>
                </c:pt>
                <c:pt idx="1">
                  <c:v>4952</c:v>
                </c:pt>
                <c:pt idx="2">
                  <c:v>5086</c:v>
                </c:pt>
                <c:pt idx="3">
                  <c:v>4964</c:v>
                </c:pt>
                <c:pt idx="4">
                  <c:v>4492</c:v>
                </c:pt>
                <c:pt idx="5">
                  <c:v>3291</c:v>
                </c:pt>
                <c:pt idx="6">
                  <c:v>2793</c:v>
                </c:pt>
                <c:pt idx="7">
                  <c:v>2322</c:v>
                </c:pt>
                <c:pt idx="8">
                  <c:v>2095</c:v>
                </c:pt>
                <c:pt idx="9">
                  <c:v>1983</c:v>
                </c:pt>
                <c:pt idx="10">
                  <c:v>1920</c:v>
                </c:pt>
                <c:pt idx="11">
                  <c:v>1943</c:v>
                </c:pt>
                <c:pt idx="12">
                  <c:v>2008</c:v>
                </c:pt>
                <c:pt idx="13">
                  <c:v>1976</c:v>
                </c:pt>
                <c:pt idx="14">
                  <c:v>2026</c:v>
                </c:pt>
                <c:pt idx="15">
                  <c:v>2042</c:v>
                </c:pt>
                <c:pt idx="16">
                  <c:v>2287</c:v>
                </c:pt>
              </c:numCache>
            </c:numRef>
          </c:val>
          <c:smooth val="0"/>
        </c:ser>
        <c:dLbls>
          <c:showLegendKey val="0"/>
          <c:showVal val="0"/>
          <c:showCatName val="0"/>
          <c:showSerName val="0"/>
          <c:showPercent val="0"/>
          <c:showBubbleSize val="0"/>
        </c:dLbls>
        <c:marker val="1"/>
        <c:smooth val="0"/>
        <c:axId val="273917176"/>
        <c:axId val="273917568"/>
      </c:lineChart>
      <c:catAx>
        <c:axId val="273917176"/>
        <c:scaling>
          <c:orientation val="minMax"/>
        </c:scaling>
        <c:delete val="0"/>
        <c:axPos val="b"/>
        <c:numFmt formatCode="General" sourceLinked="0"/>
        <c:majorTickMark val="none"/>
        <c:minorTickMark val="none"/>
        <c:tickLblPos val="nextTo"/>
        <c:crossAx val="273917568"/>
        <c:crosses val="autoZero"/>
        <c:auto val="1"/>
        <c:lblAlgn val="ctr"/>
        <c:lblOffset val="100"/>
        <c:noMultiLvlLbl val="0"/>
      </c:catAx>
      <c:valAx>
        <c:axId val="273917568"/>
        <c:scaling>
          <c:orientation val="minMax"/>
          <c:max val="80000"/>
        </c:scaling>
        <c:delete val="0"/>
        <c:axPos val="l"/>
        <c:numFmt formatCode="_(* #,##0_);_(* \(#,##0\);_(* &quot;-&quot;??_);_(@_)" sourceLinked="1"/>
        <c:majorTickMark val="none"/>
        <c:minorTickMark val="none"/>
        <c:tickLblPos val="nextTo"/>
        <c:crossAx val="273917176"/>
        <c:crosses val="autoZero"/>
        <c:crossBetween val="between"/>
      </c:valAx>
    </c:plotArea>
    <c:legend>
      <c:legendPos val="r"/>
      <c:layout>
        <c:manualLayout>
          <c:xMode val="edge"/>
          <c:yMode val="edge"/>
          <c:x val="0.12872762559169429"/>
          <c:y val="0.11207079085779757"/>
          <c:w val="0.73550377216924956"/>
          <c:h val="8.139762950683796E-2"/>
        </c:manualLayout>
      </c:layout>
      <c:overlay val="0"/>
      <c:txPr>
        <a:bodyPr/>
        <a:lstStyle/>
        <a:p>
          <a:pPr>
            <a:defRPr sz="105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50"/>
      <c:rotY val="0"/>
      <c:rAngAx val="0"/>
    </c:view3D>
    <c:floor>
      <c:thickness val="0"/>
    </c:floor>
    <c:sideWall>
      <c:thickness val="0"/>
    </c:sideWall>
    <c:backWall>
      <c:thickness val="0"/>
    </c:backWall>
    <c:plotArea>
      <c:layout>
        <c:manualLayout>
          <c:layoutTarget val="inner"/>
          <c:xMode val="edge"/>
          <c:yMode val="edge"/>
          <c:x val="0.13952257371957869"/>
          <c:y val="0.25668095672675839"/>
          <c:w val="0.63033996813852244"/>
          <c:h val="0.57537709971125595"/>
        </c:manualLayout>
      </c:layout>
      <c:pie3DChart>
        <c:varyColors val="1"/>
        <c:ser>
          <c:idx val="0"/>
          <c:order val="0"/>
          <c:explosion val="27"/>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1.7940498485322261E-2"/>
                  <c:y val="4.0322390519425553E-3"/>
                </c:manualLayout>
              </c:layout>
              <c:tx>
                <c:rich>
                  <a:bodyPr/>
                  <a:lstStyle/>
                  <a:p>
                    <a:r>
                      <a:rPr lang="en-US" sz="1600"/>
                      <a:t>Cuidado de la Salud</a:t>
                    </a:r>
                  </a:p>
                  <a:p>
                    <a:r>
                      <a:rPr lang="en-US" sz="1600"/>
                      <a:t>  5,835,947,674.07 </a:t>
                    </a:r>
                  </a:p>
                  <a:p>
                    <a:r>
                      <a:rPr lang="en-US" sz="1600"/>
                      <a:t> 87.5%</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5424590207567193E-2"/>
                  <c:y val="3.5611590680250042E-2"/>
                </c:manualLayout>
              </c:layout>
              <c:tx>
                <c:rich>
                  <a:bodyPr/>
                  <a:lstStyle/>
                  <a:p>
                    <a:r>
                      <a:rPr lang="en-US" sz="1600"/>
                      <a:t>Estancias Infantiles </a:t>
                    </a:r>
                  </a:p>
                  <a:p>
                    <a:r>
                      <a:rPr lang="en-US" sz="1600"/>
                      <a:t> 730,884,168.80 </a:t>
                    </a:r>
                  </a:p>
                  <a:p>
                    <a:r>
                      <a:rPr lang="en-US" sz="1600"/>
                      <a:t> 11%</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0.12994370639493141"/>
                  <c:y val="2.8813112060963552E-2"/>
                </c:manualLayout>
              </c:layout>
              <c:tx>
                <c:rich>
                  <a:bodyPr/>
                  <a:lstStyle/>
                  <a:p>
                    <a:r>
                      <a:rPr lang="en-US" sz="1600"/>
                      <a:t>Pensionados de Hacienda  106,629,635.80</a:t>
                    </a:r>
                  </a:p>
                  <a:p>
                    <a:r>
                      <a:rPr lang="en-US" sz="1600"/>
                      <a:t>1.6%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'IV.1.3.1 Por cuentas'!$A$5:$A$13</c:f>
              <c:strCache>
                <c:ptCount val="3"/>
                <c:pt idx="0">
                  <c:v>Cuidado de la Salud</c:v>
                </c:pt>
                <c:pt idx="1">
                  <c:v>Estancias Infantiles</c:v>
                </c:pt>
                <c:pt idx="2">
                  <c:v>Pensionados de Hacienda</c:v>
                </c:pt>
              </c:strCache>
            </c:strRef>
          </c:cat>
          <c:val>
            <c:numRef>
              <c:f>'IV.1.3.1 Por cuentas'!$B$5:$B$13</c:f>
              <c:numCache>
                <c:formatCode>_(* #,##0.00_);_(* \(#,##0.00\);_(* "-"??_);_(@_)</c:formatCode>
                <c:ptCount val="3"/>
                <c:pt idx="0">
                  <c:v>5835947674.0699997</c:v>
                </c:pt>
                <c:pt idx="1">
                  <c:v>730884168.79999995</c:v>
                </c:pt>
                <c:pt idx="2">
                  <c:v>106629635.8</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50"/>
      <c:rotY val="0"/>
      <c:rAngAx val="0"/>
      <c:perspective val="0"/>
    </c:view3D>
    <c:floor>
      <c:thickness val="0"/>
    </c:floor>
    <c:sideWall>
      <c:thickness val="0"/>
    </c:sideWall>
    <c:backWall>
      <c:thickness val="0"/>
    </c:backWall>
    <c:plotArea>
      <c:layout>
        <c:manualLayout>
          <c:layoutTarget val="inner"/>
          <c:xMode val="edge"/>
          <c:yMode val="edge"/>
          <c:x val="0.21066307807599721"/>
          <c:y val="0.41477001469954672"/>
          <c:w val="0.54186899241424746"/>
          <c:h val="0.49972413217417533"/>
        </c:manualLayout>
      </c:layout>
      <c:pie3DChart>
        <c:varyColors val="1"/>
        <c:ser>
          <c:idx val="0"/>
          <c:order val="0"/>
          <c:tx>
            <c:strRef>
              <c:f>'IV.1.3.2 Por entidad'!$B$4</c:f>
              <c:strCache>
                <c:ptCount val="1"/>
                <c:pt idx="0">
                  <c:v> Total Invertido</c:v>
                </c:pt>
              </c:strCache>
            </c:strRef>
          </c:tx>
          <c:explosion val="9"/>
          <c:dPt>
            <c:idx val="0"/>
            <c:bubble3D val="0"/>
          </c:dPt>
          <c:dPt>
            <c:idx val="2"/>
            <c:bubble3D val="0"/>
          </c:dPt>
          <c:dPt>
            <c:idx val="3"/>
            <c:bubble3D val="0"/>
            <c:spPr>
              <a:solidFill>
                <a:schemeClr val="accent5">
                  <a:lumMod val="50000"/>
                </a:schemeClr>
              </a:solidFill>
            </c:spPr>
          </c:dPt>
          <c:dLbls>
            <c:dLbl>
              <c:idx val="0"/>
              <c:layout>
                <c:manualLayout>
                  <c:x val="1.9817996925869767E-2"/>
                  <c:y val="3.3459113531777905E-2"/>
                </c:manualLayout>
              </c:layout>
              <c:tx>
                <c:rich>
                  <a:bodyPr/>
                  <a:lstStyle/>
                  <a:p>
                    <a:r>
                      <a:rPr lang="en-US" sz="1800"/>
                      <a:t>Certificados Financieros </a:t>
                    </a:r>
                  </a:p>
                  <a:p>
                    <a:r>
                      <a:rPr lang="en-US" sz="1800"/>
                      <a:t>3,432,033,300</a:t>
                    </a:r>
                  </a:p>
                  <a:p>
                    <a:r>
                      <a:rPr lang="en-US" sz="1800"/>
                      <a:t>58.8%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5.3269393604218923E-2"/>
                  <c:y val="7.0438852395390402E-3"/>
                </c:manualLayout>
              </c:layout>
              <c:tx>
                <c:rich>
                  <a:bodyPr/>
                  <a:lstStyle/>
                  <a:p>
                    <a:r>
                      <a:rPr lang="en-US" sz="1800"/>
                      <a:t>Títulos Desmaterializados del BC</a:t>
                    </a:r>
                  </a:p>
                  <a:p>
                    <a:r>
                      <a:rPr lang="en-US" sz="1800"/>
                      <a:t>2,003,760,000</a:t>
                    </a:r>
                  </a:p>
                  <a:p>
                    <a:r>
                      <a:rPr lang="en-US" sz="1800"/>
                      <a:t>34.3%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7.8328273564151937E-2"/>
                  <c:y val="-3.6981125482491405E-2"/>
                </c:manualLayout>
              </c:layout>
              <c:tx>
                <c:rich>
                  <a:bodyPr/>
                  <a:lstStyle/>
                  <a:p>
                    <a:r>
                      <a:rPr lang="en-US" sz="1800"/>
                      <a:t>Títulos Desmaterializados de Pacto de Recompra (REPO)  </a:t>
                    </a:r>
                  </a:p>
                  <a:p>
                    <a:r>
                      <a:rPr lang="en-US" sz="1800"/>
                      <a:t>400,154,374.07</a:t>
                    </a:r>
                  </a:p>
                  <a:p>
                    <a:r>
                      <a:rPr lang="en-US" sz="1800"/>
                      <a:t>6.9%</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800"/>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'IV.1.3.2 Por entidad'!$A$5:$A$8</c:f>
              <c:strCache>
                <c:ptCount val="3"/>
                <c:pt idx="0">
                  <c:v>Certificados Financieros</c:v>
                </c:pt>
                <c:pt idx="1">
                  <c:v>Títulos Desmaterializados del BC</c:v>
                </c:pt>
                <c:pt idx="2">
                  <c:v>Títulos Desmaterializados de Pacto de Recompra (REPO)</c:v>
                </c:pt>
              </c:strCache>
            </c:strRef>
          </c:cat>
          <c:val>
            <c:numRef>
              <c:f>'IV.1.3.2 Por entidad'!$B$5:$B$8</c:f>
              <c:numCache>
                <c:formatCode>_(* #,##0.00_);_(* \(#,##0.00\);_(* "-"??_);_(@_)</c:formatCode>
                <c:ptCount val="3"/>
                <c:pt idx="0">
                  <c:v>3432033300</c:v>
                </c:pt>
                <c:pt idx="1">
                  <c:v>2003760000</c:v>
                </c:pt>
                <c:pt idx="2">
                  <c:v>400154374.06999999</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(3)'!$E$2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(3)'!$E$3:$E$11</c:f>
              <c:numCache>
                <c:formatCode>_([$€-2]* #,##0_);_([$€-2]* \(#,##0\);_([$€-2]* "-"??_)</c:formatCode>
                <c:ptCount val="9"/>
              </c:numCache>
            </c:numRef>
          </c:val>
          <c:smooth val="0"/>
        </c:ser>
        <c:ser>
          <c:idx val="1"/>
          <c:order val="1"/>
          <c:tx>
            <c:strRef>
              <c:f>' SDSS Definiciones (3)'!$L$2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(3)'!$A$3:$A$11</c:f>
              <c:numCache>
                <c:formatCode>_([$€-2]* #,##0_);_([$€-2]* \(#,##0\);_([$€-2]* "-"??_)</c:formatCode>
                <c:ptCount val="9"/>
              </c:numCache>
            </c:numRef>
          </c:cat>
          <c:val>
            <c:numRef>
              <c:f>' SDSS Definiciones (3)'!$L$3:$L$11</c:f>
              <c:numCache>
                <c:formatCode>_([$€-2]* #,##0_);_([$€-2]* \(#,##0\);_([$€-2]* "-"??_)</c:formatCode>
                <c:ptCount val="9"/>
              </c:numCache>
            </c:numRef>
          </c:val>
          <c:smooth val="0"/>
        </c:ser>
        <c:dLbls>
          <c:showLegendKey val="0"/>
          <c:showVal val="0"/>
          <c:showCatName val="0"/>
          <c:showSerName val="0"/>
          <c:showPercent val="0"/>
          <c:showBubbleSize val="0"/>
        </c:dLbls>
        <c:marker val="1"/>
        <c:smooth val="0"/>
        <c:axId val="240553168"/>
        <c:axId val="240553560"/>
      </c:lineChart>
      <c:catAx>
        <c:axId val="240553168"/>
        <c:scaling>
          <c:orientation val="minMax"/>
        </c:scaling>
        <c:delete val="0"/>
        <c:axPos val="b"/>
        <c:numFmt formatCode="_([$€-2]* #,##0_);_([$€-2]* \(#,##0\);_([$€-2]* &quot;-&quot;??_)" sourceLinked="1"/>
        <c:majorTickMark val="none"/>
        <c:minorTickMark val="none"/>
        <c:tickLblPos val="nextTo"/>
        <c:crossAx val="240553560"/>
        <c:crosses val="autoZero"/>
        <c:auto val="1"/>
        <c:lblAlgn val="ctr"/>
        <c:lblOffset val="100"/>
        <c:noMultiLvlLbl val="0"/>
      </c:catAx>
      <c:valAx>
        <c:axId val="240553560"/>
        <c:scaling>
          <c:orientation val="minMax"/>
        </c:scaling>
        <c:delete val="0"/>
        <c:axPos val="l"/>
        <c:numFmt formatCode="_([$€-2]* #,##0_);_([$€-2]* \(#,##0\);_([$€-2]* &quot;-&quot;??_)" sourceLinked="1"/>
        <c:majorTickMark val="none"/>
        <c:minorTickMark val="none"/>
        <c:tickLblPos val="nextTo"/>
        <c:spPr>
          <a:ln w="9525">
            <a:noFill/>
          </a:ln>
        </c:spPr>
        <c:crossAx val="24055316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a:pP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30426410266556E-2"/>
          <c:y val="0.22093928516288486"/>
          <c:w val="0.95900816680783429"/>
          <c:h val="0.61568094444625954"/>
        </c:manualLayout>
      </c:layout>
      <c:bar3DChart>
        <c:barDir val="col"/>
        <c:grouping val="stacked"/>
        <c:varyColors val="0"/>
        <c:ser>
          <c:idx val="0"/>
          <c:order val="0"/>
          <c:invertIfNegative val="0"/>
          <c:dLbls>
            <c:dLbl>
              <c:idx val="0"/>
              <c:layout>
                <c:manualLayout>
                  <c:x val="5.3119804247576804E-3"/>
                  <c:y val="-5.3150812744120486E-2"/>
                </c:manualLayout>
              </c:layout>
              <c:spPr/>
              <c:txPr>
                <a:bodyPr rot="0" vert="horz"/>
                <a:lstStyle/>
                <a:p>
                  <a:pPr>
                    <a:defRPr lang="en-US" sz="1200"/>
                  </a:pPr>
                  <a:endParaRPr lang="es-ES"/>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9.2960441697775825E-3"/>
                  <c:y val="-5.0412421800353505E-2"/>
                </c:manualLayout>
              </c:layout>
              <c:spPr/>
              <c:txPr>
                <a:bodyPr rot="0" vert="horz"/>
                <a:lstStyle/>
                <a:p>
                  <a:pPr>
                    <a:defRPr lang="en-US" sz="1200"/>
                  </a:pPr>
                  <a:endParaRPr lang="es-ES"/>
                </a:p>
              </c:txPr>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0195051813742337"/>
                  <c:y val="5.0279369097345475E-3"/>
                </c:manualLayout>
              </c:layout>
              <c:tx>
                <c:rich>
                  <a:bodyPr/>
                  <a:lstStyle/>
                  <a:p>
                    <a:r>
                      <a:rPr lang="en-US" sz="1200"/>
                      <a:t>43.8%</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0.10078238228189609"/>
                  <c:y val="3.3517846941159946E-2"/>
                </c:manualLayout>
              </c:layout>
              <c:tx>
                <c:rich>
                  <a:bodyPr/>
                  <a:lstStyle/>
                  <a:p>
                    <a:r>
                      <a:rPr lang="en-US" sz="1200"/>
                      <a:t> 40.0%</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0.10078238228189609"/>
                  <c:y val="3.4197247305890681E-2"/>
                </c:manualLayout>
              </c:layout>
              <c:tx>
                <c:rich>
                  <a:bodyPr/>
                  <a:lstStyle/>
                  <a:p>
                    <a:r>
                      <a:rPr lang="en-US" sz="1200"/>
                      <a:t>42.7%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9.8605786826447508E-2"/>
                  <c:y val="-5.1394932854122173E-2"/>
                </c:manualLayout>
              </c:layout>
              <c:tx>
                <c:rich>
                  <a:bodyPr/>
                  <a:lstStyle/>
                  <a:p>
                    <a:pPr>
                      <a:defRPr lang="en-US" sz="1200" b="0"/>
                    </a:pPr>
                    <a:r>
                      <a:rPr lang="en-US" sz="1200" b="0"/>
                      <a:t>47.7%</a:t>
                    </a: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0.3612217518036378"/>
                  <c:y val="7.5672695724749883E-2"/>
                </c:manualLayout>
              </c:layout>
              <c:tx>
                <c:rich>
                  <a:bodyPr/>
                  <a:lstStyle/>
                  <a:p>
                    <a:pPr>
                      <a:defRPr lang="en-US" sz="1200" b="0"/>
                    </a:pPr>
                    <a:r>
                      <a:rPr lang="en-US" b="0"/>
                      <a:t> 49.6% </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608129163137636E-2"/>
                  <c:y val="-7.920793725899827E-3"/>
                </c:manualLayout>
              </c:layout>
              <c:tx>
                <c:rich>
                  <a:bodyPr/>
                  <a:lstStyle/>
                  <a:p>
                    <a:pPr>
                      <a:defRPr lang="en-US" sz="1200" b="1"/>
                    </a:pPr>
                    <a:r>
                      <a:rPr lang="en-US" b="1"/>
                      <a:t>44.6%</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1"/>
          <c:order val="1"/>
          <c:spPr>
            <a:solidFill>
              <a:srgbClr val="00B050"/>
            </a:solidFill>
          </c:spPr>
          <c:invertIfNegative val="0"/>
          <c:dLbls>
            <c:dLbl>
              <c:idx val="0"/>
              <c:tx>
                <c:rich>
                  <a:bodyPr/>
                  <a:lstStyle/>
                  <a:p>
                    <a:r>
                      <a:rPr lang="en-US"/>
                      <a:t> </a:t>
                    </a:r>
                  </a:p>
                </c:rich>
              </c:tx>
              <c:showLegendKey val="0"/>
              <c:showVal val="0"/>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0187062772531977"/>
                  <c:y val="-4.2544641260807405E-2"/>
                </c:manualLayout>
              </c:layout>
              <c:tx>
                <c:rich>
                  <a:bodyPr/>
                  <a:lstStyle/>
                  <a:p>
                    <a:r>
                      <a:rPr lang="en-US" sz="1200"/>
                      <a:t>56.2%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0.10030272610346018"/>
                  <c:y val="5.5445348186449653E-2"/>
                </c:manualLayout>
              </c:layout>
              <c:tx>
                <c:rich>
                  <a:bodyPr/>
                  <a:lstStyle/>
                  <a:p>
                    <a:r>
                      <a:rPr lang="en-US" sz="1200"/>
                      <a:t>60.0%</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0.10203040854952893"/>
                  <c:y val="5.0190182207360878E-2"/>
                </c:manualLayout>
              </c:layout>
              <c:tx>
                <c:rich>
                  <a:bodyPr/>
                  <a:lstStyle/>
                  <a:p>
                    <a:r>
                      <a:rPr lang="en-US" sz="1200"/>
                      <a:t>57.3%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0.10391787181980709"/>
                  <c:y val="-7.4981642884881974E-2"/>
                </c:manualLayout>
              </c:layout>
              <c:tx>
                <c:rich>
                  <a:bodyPr/>
                  <a:lstStyle/>
                  <a:p>
                    <a:pPr>
                      <a:defRPr lang="en-US" sz="1200" b="0"/>
                    </a:pPr>
                    <a:r>
                      <a:rPr lang="en-US" sz="1200" b="0"/>
                      <a:t>52.3%</a:t>
                    </a: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0.36120972315646482"/>
                  <c:y val="0.20823839488683271"/>
                </c:manualLayout>
              </c:layout>
              <c:tx>
                <c:rich>
                  <a:bodyPr/>
                  <a:lstStyle/>
                  <a:p>
                    <a:pPr>
                      <a:defRPr lang="en-US" sz="1200" b="0"/>
                    </a:pPr>
                    <a:r>
                      <a:rPr lang="en-US" b="0"/>
                      <a:t>50.4%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6.6401062416999654E-3"/>
                  <c:y val="2.6402645752999438E-3"/>
                </c:manualLayout>
              </c:layout>
              <c:tx>
                <c:rich>
                  <a:bodyPr/>
                  <a:lstStyle/>
                  <a:p>
                    <a:pPr>
                      <a:defRPr lang="en-US" sz="1200" b="1"/>
                    </a:pPr>
                    <a:r>
                      <a:rPr lang="en-US" b="1"/>
                      <a:t> 55.6%</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75"/>
        <c:shape val="cylinder"/>
        <c:axId val="273919136"/>
        <c:axId val="273919528"/>
        <c:axId val="0"/>
      </c:bar3DChart>
      <c:catAx>
        <c:axId val="273919136"/>
        <c:scaling>
          <c:orientation val="minMax"/>
        </c:scaling>
        <c:delete val="0"/>
        <c:axPos val="b"/>
        <c:numFmt formatCode="General" sourceLinked="1"/>
        <c:majorTickMark val="none"/>
        <c:minorTickMark val="none"/>
        <c:tickLblPos val="nextTo"/>
        <c:txPr>
          <a:bodyPr/>
          <a:lstStyle/>
          <a:p>
            <a:pPr>
              <a:defRPr lang="en-US" sz="1100"/>
            </a:pPr>
            <a:endParaRPr lang="es-ES"/>
          </a:p>
        </c:txPr>
        <c:crossAx val="273919528"/>
        <c:crosses val="autoZero"/>
        <c:auto val="1"/>
        <c:lblAlgn val="ctr"/>
        <c:lblOffset val="100"/>
        <c:noMultiLvlLbl val="0"/>
      </c:catAx>
      <c:valAx>
        <c:axId val="273919528"/>
        <c:scaling>
          <c:orientation val="minMax"/>
        </c:scaling>
        <c:delete val="1"/>
        <c:axPos val="l"/>
        <c:numFmt formatCode="General" sourceLinked="1"/>
        <c:majorTickMark val="out"/>
        <c:minorTickMark val="none"/>
        <c:tickLblPos val="nextTo"/>
        <c:crossAx val="273919136"/>
        <c:crosses val="autoZero"/>
        <c:crossBetween val="between"/>
      </c:valAx>
      <c:spPr>
        <a:noFill/>
        <a:ln w="25400">
          <a:noFill/>
        </a:ln>
      </c:spPr>
    </c:plotArea>
    <c:legend>
      <c:legendPos val="t"/>
      <c:layout>
        <c:manualLayout>
          <c:xMode val="edge"/>
          <c:yMode val="edge"/>
          <c:x val="0.28338556377847557"/>
          <c:y val="0.12784529736473524"/>
          <c:w val="0.49332712669433354"/>
          <c:h val="4.383743511881643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0703993633448878E-2"/>
          <c:y val="0.15136853246827139"/>
          <c:w val="0.83230636986703188"/>
          <c:h val="0.56874429345396504"/>
        </c:manualLayout>
      </c:layout>
      <c:barChart>
        <c:barDir val="col"/>
        <c:grouping val="clustered"/>
        <c:varyColors val="0"/>
        <c:ser>
          <c:idx val="3"/>
          <c:order val="1"/>
          <c:tx>
            <c:strRef>
              <c:f>'G1.RC'!$D$3</c:f>
              <c:strCache>
                <c:ptCount val="1"/>
                <c:pt idx="0">
                  <c:v>Total </c:v>
                </c:pt>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'G1.RC'!$D$4:$D$12</c:f>
              <c:numCache>
                <c:formatCode>#,##0</c:formatCode>
                <c:ptCount val="9"/>
                <c:pt idx="0">
                  <c:v>242953</c:v>
                </c:pt>
                <c:pt idx="1">
                  <c:v>25722</c:v>
                </c:pt>
                <c:pt idx="2">
                  <c:v>34247</c:v>
                </c:pt>
                <c:pt idx="3">
                  <c:v>35360</c:v>
                </c:pt>
                <c:pt idx="4">
                  <c:v>26685</c:v>
                </c:pt>
                <c:pt idx="5">
                  <c:v>19946</c:v>
                </c:pt>
                <c:pt idx="6">
                  <c:v>29572</c:v>
                </c:pt>
                <c:pt idx="7">
                  <c:v>22470</c:v>
                </c:pt>
                <c:pt idx="8">
                  <c:v>30184</c:v>
                </c:pt>
              </c:numCache>
            </c:numRef>
          </c:val>
        </c:ser>
        <c:dLbls>
          <c:showLegendKey val="0"/>
          <c:showVal val="0"/>
          <c:showCatName val="0"/>
          <c:showSerName val="0"/>
          <c:showPercent val="0"/>
          <c:showBubbleSize val="0"/>
        </c:dLbls>
        <c:gapWidth val="16"/>
        <c:overlap val="46"/>
        <c:axId val="273920312"/>
        <c:axId val="273920704"/>
      </c:barChart>
      <c:lineChart>
        <c:grouping val="stacked"/>
        <c:varyColors val="0"/>
        <c:ser>
          <c:idx val="2"/>
          <c:order val="0"/>
          <c:tx>
            <c:strRef>
              <c:f>'G1.RC'!$E$3</c:f>
              <c:strCache>
                <c:ptCount val="1"/>
                <c:pt idx="0">
                  <c:v>Relación Dependencia</c:v>
                </c:pt>
              </c:strCache>
            </c:strRef>
          </c:tx>
          <c:spPr>
            <a:ln w="9525"/>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0"/>
              <c:layout>
                <c:manualLayout>
                  <c:x val="-1.6546937620821378E-2"/>
                  <c:y val="3.232462249722978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'G1.RC'!$E$4:$E$12</c:f>
              <c:numCache>
                <c:formatCode>#,##0.0</c:formatCode>
                <c:ptCount val="9"/>
                <c:pt idx="0">
                  <c:v>1.1733759146941478</c:v>
                </c:pt>
                <c:pt idx="1">
                  <c:v>1.3158368596380661</c:v>
                </c:pt>
                <c:pt idx="2">
                  <c:v>1.1154487615047255</c:v>
                </c:pt>
                <c:pt idx="3">
                  <c:v>1.3693379790940767</c:v>
                </c:pt>
                <c:pt idx="4">
                  <c:v>1.2381112136207331</c:v>
                </c:pt>
                <c:pt idx="5">
                  <c:v>1.04218286065322</c:v>
                </c:pt>
                <c:pt idx="6">
                  <c:v>1.3056291907063777</c:v>
                </c:pt>
                <c:pt idx="7">
                  <c:v>1.1934791097227646</c:v>
                </c:pt>
                <c:pt idx="8">
                  <c:v>1.354813543454517</c:v>
                </c:pt>
              </c:numCache>
            </c:numRef>
          </c:val>
          <c:smooth val="0"/>
        </c:ser>
        <c:dLbls>
          <c:showLegendKey val="0"/>
          <c:showVal val="0"/>
          <c:showCatName val="0"/>
          <c:showSerName val="0"/>
          <c:showPercent val="0"/>
          <c:showBubbleSize val="0"/>
        </c:dLbls>
        <c:marker val="1"/>
        <c:smooth val="0"/>
        <c:axId val="273921488"/>
        <c:axId val="273921096"/>
      </c:lineChart>
      <c:catAx>
        <c:axId val="273920312"/>
        <c:scaling>
          <c:orientation val="minMax"/>
        </c:scaling>
        <c:delete val="0"/>
        <c:axPos val="b"/>
        <c:numFmt formatCode="General" sourceLinked="0"/>
        <c:majorTickMark val="out"/>
        <c:minorTickMark val="none"/>
        <c:tickLblPos val="nextTo"/>
        <c:txPr>
          <a:bodyPr/>
          <a:lstStyle/>
          <a:p>
            <a:pPr>
              <a:defRPr sz="1200"/>
            </a:pPr>
            <a:endParaRPr lang="es-ES"/>
          </a:p>
        </c:txPr>
        <c:crossAx val="273920704"/>
        <c:crosses val="autoZero"/>
        <c:auto val="1"/>
        <c:lblAlgn val="ctr"/>
        <c:lblOffset val="100"/>
        <c:noMultiLvlLbl val="0"/>
      </c:catAx>
      <c:valAx>
        <c:axId val="273920704"/>
        <c:scaling>
          <c:orientation val="minMax"/>
        </c:scaling>
        <c:delete val="0"/>
        <c:axPos val="l"/>
        <c:numFmt formatCode="#,##0" sourceLinked="1"/>
        <c:majorTickMark val="out"/>
        <c:minorTickMark val="none"/>
        <c:tickLblPos val="nextTo"/>
        <c:crossAx val="273920312"/>
        <c:crosses val="autoZero"/>
        <c:crossBetween val="between"/>
      </c:valAx>
      <c:valAx>
        <c:axId val="273921096"/>
        <c:scaling>
          <c:orientation val="minMax"/>
        </c:scaling>
        <c:delete val="0"/>
        <c:axPos val="r"/>
        <c:numFmt formatCode="#,##0.0" sourceLinked="1"/>
        <c:majorTickMark val="out"/>
        <c:minorTickMark val="none"/>
        <c:tickLblPos val="nextTo"/>
        <c:crossAx val="273921488"/>
        <c:crosses val="max"/>
        <c:crossBetween val="between"/>
      </c:valAx>
      <c:catAx>
        <c:axId val="273921488"/>
        <c:scaling>
          <c:orientation val="minMax"/>
        </c:scaling>
        <c:delete val="1"/>
        <c:axPos val="b"/>
        <c:numFmt formatCode="General" sourceLinked="1"/>
        <c:majorTickMark val="out"/>
        <c:minorTickMark val="none"/>
        <c:tickLblPos val="nextTo"/>
        <c:crossAx val="273921096"/>
        <c:crosses val="autoZero"/>
        <c:auto val="1"/>
        <c:lblAlgn val="ctr"/>
        <c:lblOffset val="100"/>
        <c:noMultiLvlLbl val="0"/>
      </c:catAx>
    </c:plotArea>
    <c:legend>
      <c:legendPos val="r"/>
      <c:layout>
        <c:manualLayout>
          <c:xMode val="edge"/>
          <c:yMode val="edge"/>
          <c:x val="0.30670454476253106"/>
          <c:y val="5.3361820414093639E-2"/>
          <c:w val="0.46591726498224839"/>
          <c:h val="8.519538622162933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03803947486767E-2"/>
          <c:y val="0.16852973119739342"/>
          <c:w val="0.86847787890953754"/>
          <c:h val="0.66045117205176929"/>
        </c:manualLayout>
      </c:layout>
      <c:barChart>
        <c:barDir val="col"/>
        <c:grouping val="clustered"/>
        <c:varyColors val="0"/>
        <c:ser>
          <c:idx val="1"/>
          <c:order val="1"/>
          <c:tx>
            <c:strRef>
              <c:f>'G2.RC'!$C$3</c:f>
              <c:strCache>
                <c:ptCount val="1"/>
                <c:pt idx="0">
                  <c:v>Dependiente</c:v>
                </c:pt>
              </c:strCache>
            </c:strRef>
          </c:tx>
          <c:spPr>
            <a:solidFill>
              <a:schemeClr val="accent5">
                <a:lumMod val="50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'G2.RC'!$A$4:$A$12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'G2.RC'!$C$4:$C$12</c:f>
              <c:numCache>
                <c:formatCode>#,##0</c:formatCode>
                <c:ptCount val="9"/>
                <c:pt idx="0">
                  <c:v>131167</c:v>
                </c:pt>
                <c:pt idx="1">
                  <c:v>14615</c:v>
                </c:pt>
                <c:pt idx="2">
                  <c:v>18058</c:v>
                </c:pt>
                <c:pt idx="3">
                  <c:v>20436</c:v>
                </c:pt>
                <c:pt idx="4">
                  <c:v>14762</c:v>
                </c:pt>
                <c:pt idx="5">
                  <c:v>10179</c:v>
                </c:pt>
                <c:pt idx="6">
                  <c:v>16746</c:v>
                </c:pt>
                <c:pt idx="7">
                  <c:v>12226</c:v>
                </c:pt>
                <c:pt idx="8">
                  <c:v>17366</c:v>
                </c:pt>
              </c:numCache>
            </c:numRef>
          </c:val>
        </c:ser>
        <c:ser>
          <c:idx val="0"/>
          <c:order val="2"/>
          <c:tx>
            <c:strRef>
              <c:f>'G2.RC'!$B$3</c:f>
              <c:strCache>
                <c:ptCount val="1"/>
                <c:pt idx="0">
                  <c:v>Titular</c:v>
                </c:pt>
              </c:strCache>
            </c:strRef>
          </c:tx>
          <c:invertIfNegative val="0"/>
          <c:dLbls>
            <c:dLbl>
              <c:idx val="0"/>
              <c:layout>
                <c:manualLayout>
                  <c:x val="1.175200217837038E-17"/>
                  <c:y val="0.218390804597701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50400435674076E-17"/>
                  <c:y val="5.45977011494252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08008713481521E-17"/>
                  <c:y val="6.896551724137919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7008008713481521E-17"/>
                  <c:y val="6.32183908045977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5.172413793103448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5.747126436781609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4016017426963041E-17"/>
                  <c:y val="6.32183908045977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819504625429499E-3"/>
                  <c:y val="5.4597701149425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5.45977011494252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'G2.RC'!$A$4:$A$12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'G2.RC'!$B$4:$B$12</c:f>
              <c:numCache>
                <c:formatCode>#,##0</c:formatCode>
                <c:ptCount val="9"/>
                <c:pt idx="0">
                  <c:v>111786</c:v>
                </c:pt>
                <c:pt idx="1">
                  <c:v>11107</c:v>
                </c:pt>
                <c:pt idx="2">
                  <c:v>16189</c:v>
                </c:pt>
                <c:pt idx="3">
                  <c:v>14924</c:v>
                </c:pt>
                <c:pt idx="4">
                  <c:v>11923</c:v>
                </c:pt>
                <c:pt idx="5">
                  <c:v>9767</c:v>
                </c:pt>
                <c:pt idx="6">
                  <c:v>12826</c:v>
                </c:pt>
                <c:pt idx="7">
                  <c:v>10244</c:v>
                </c:pt>
                <c:pt idx="8">
                  <c:v>12818</c:v>
                </c:pt>
              </c:numCache>
            </c:numRef>
          </c:val>
        </c:ser>
        <c:dLbls>
          <c:showLegendKey val="0"/>
          <c:showVal val="0"/>
          <c:showCatName val="0"/>
          <c:showSerName val="0"/>
          <c:showPercent val="0"/>
          <c:showBubbleSize val="0"/>
        </c:dLbls>
        <c:gapWidth val="54"/>
        <c:overlap val="60"/>
        <c:axId val="273922272"/>
        <c:axId val="273922664"/>
      </c:barChart>
      <c:lineChart>
        <c:grouping val="stacked"/>
        <c:varyColors val="0"/>
        <c:ser>
          <c:idx val="2"/>
          <c:order val="0"/>
          <c:tx>
            <c:strRef>
              <c:f>'G2.RC'!$E$3</c:f>
              <c:strCache>
                <c:ptCount val="1"/>
                <c:pt idx="0">
                  <c:v>Relación Dependencia</c:v>
                </c:pt>
              </c:strCache>
            </c:strRef>
          </c:tx>
          <c:spPr>
            <a:ln w="12700"/>
          </c:spPr>
          <c:marker>
            <c:symbol val="circle"/>
            <c:size val="9"/>
            <c:spPr>
              <a:gradFill>
                <a:gsLst>
                  <a:gs pos="0">
                    <a:srgbClr val="FFF200"/>
                  </a:gs>
                  <a:gs pos="45000">
                    <a:srgbClr val="FF7A00"/>
                  </a:gs>
                  <a:gs pos="70000">
                    <a:srgbClr val="FF0300"/>
                  </a:gs>
                  <a:gs pos="100000">
                    <a:srgbClr val="4D0808"/>
                  </a:gs>
                </a:gsLst>
                <a:lin ang="5400000" scaled="0"/>
              </a:gradFill>
            </c:spPr>
          </c:marker>
          <c:dLbls>
            <c:dLbl>
              <c:idx val="0"/>
              <c:layout>
                <c:manualLayout>
                  <c:x val="-1.6546937620821378E-2"/>
                  <c:y val="3.232462249722978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'G2.RC'!$A$4:$A$12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'G2.RC'!$E$4:$E$12</c:f>
              <c:numCache>
                <c:formatCode>#,##0.0</c:formatCode>
                <c:ptCount val="9"/>
                <c:pt idx="0">
                  <c:v>1.1733759146941478</c:v>
                </c:pt>
                <c:pt idx="1">
                  <c:v>1.3158368596380661</c:v>
                </c:pt>
                <c:pt idx="2">
                  <c:v>1.1154487615047255</c:v>
                </c:pt>
                <c:pt idx="3">
                  <c:v>1.3693379790940767</c:v>
                </c:pt>
                <c:pt idx="4">
                  <c:v>1.2381112136207331</c:v>
                </c:pt>
                <c:pt idx="5">
                  <c:v>1.04218286065322</c:v>
                </c:pt>
                <c:pt idx="6">
                  <c:v>1.3056291907063777</c:v>
                </c:pt>
                <c:pt idx="7">
                  <c:v>1.1934791097227646</c:v>
                </c:pt>
                <c:pt idx="8">
                  <c:v>1.354813543454517</c:v>
                </c:pt>
              </c:numCache>
            </c:numRef>
          </c:val>
          <c:smooth val="0"/>
        </c:ser>
        <c:dLbls>
          <c:showLegendKey val="0"/>
          <c:showVal val="0"/>
          <c:showCatName val="0"/>
          <c:showSerName val="0"/>
          <c:showPercent val="0"/>
          <c:showBubbleSize val="0"/>
        </c:dLbls>
        <c:marker val="1"/>
        <c:smooth val="0"/>
        <c:axId val="274087656"/>
        <c:axId val="274087264"/>
      </c:lineChart>
      <c:catAx>
        <c:axId val="273922272"/>
        <c:scaling>
          <c:orientation val="minMax"/>
        </c:scaling>
        <c:delete val="0"/>
        <c:axPos val="b"/>
        <c:numFmt formatCode="General" sourceLinked="0"/>
        <c:majorTickMark val="out"/>
        <c:minorTickMark val="none"/>
        <c:tickLblPos val="nextTo"/>
        <c:txPr>
          <a:bodyPr/>
          <a:lstStyle/>
          <a:p>
            <a:pPr>
              <a:defRPr sz="1100"/>
            </a:pPr>
            <a:endParaRPr lang="es-ES"/>
          </a:p>
        </c:txPr>
        <c:crossAx val="273922664"/>
        <c:crosses val="autoZero"/>
        <c:auto val="1"/>
        <c:lblAlgn val="ctr"/>
        <c:lblOffset val="100"/>
        <c:noMultiLvlLbl val="0"/>
      </c:catAx>
      <c:valAx>
        <c:axId val="273922664"/>
        <c:scaling>
          <c:orientation val="minMax"/>
        </c:scaling>
        <c:delete val="0"/>
        <c:axPos val="l"/>
        <c:numFmt formatCode="#,##0" sourceLinked="1"/>
        <c:majorTickMark val="out"/>
        <c:minorTickMark val="none"/>
        <c:tickLblPos val="nextTo"/>
        <c:crossAx val="273922272"/>
        <c:crosses val="autoZero"/>
        <c:crossBetween val="between"/>
      </c:valAx>
      <c:valAx>
        <c:axId val="274087264"/>
        <c:scaling>
          <c:orientation val="minMax"/>
        </c:scaling>
        <c:delete val="0"/>
        <c:axPos val="r"/>
        <c:numFmt formatCode="#,##0.0" sourceLinked="1"/>
        <c:majorTickMark val="out"/>
        <c:minorTickMark val="none"/>
        <c:tickLblPos val="nextTo"/>
        <c:crossAx val="274087656"/>
        <c:crosses val="max"/>
        <c:crossBetween val="between"/>
      </c:valAx>
      <c:catAx>
        <c:axId val="274087656"/>
        <c:scaling>
          <c:orientation val="minMax"/>
        </c:scaling>
        <c:delete val="1"/>
        <c:axPos val="b"/>
        <c:numFmt formatCode="General" sourceLinked="1"/>
        <c:majorTickMark val="out"/>
        <c:minorTickMark val="none"/>
        <c:tickLblPos val="nextTo"/>
        <c:crossAx val="274087264"/>
        <c:crosses val="autoZero"/>
        <c:auto val="1"/>
        <c:lblAlgn val="ctr"/>
        <c:lblOffset val="100"/>
        <c:noMultiLvlLbl val="0"/>
      </c:catAx>
    </c:plotArea>
    <c:legend>
      <c:legendPos val="r"/>
      <c:layout>
        <c:manualLayout>
          <c:xMode val="edge"/>
          <c:yMode val="edge"/>
          <c:x val="0.21696095466999335"/>
          <c:y val="5.9108969137478505E-2"/>
          <c:w val="0.6095070270045454"/>
          <c:h val="8.519538622162933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0792097315519179E-2"/>
          <c:y val="0.19482576956865627"/>
          <c:w val="0.91444874475436311"/>
          <c:h val="0.60164201448997878"/>
        </c:manualLayout>
      </c:layout>
      <c:barChart>
        <c:barDir val="col"/>
        <c:grouping val="clustered"/>
        <c:varyColors val="0"/>
        <c:ser>
          <c:idx val="0"/>
          <c:order val="0"/>
          <c:tx>
            <c:strRef>
              <c:f>'G4.RC'!$B$3</c:f>
              <c:strCache>
                <c:ptCount val="1"/>
                <c:pt idx="0">
                  <c:v>Titular Femenino</c:v>
                </c:pt>
              </c:strCache>
            </c:strRef>
          </c:tx>
          <c:invertIfNegative val="0"/>
          <c:dLbls>
            <c:spPr>
              <a:noFill/>
              <a:ln>
                <a:noFill/>
              </a:ln>
              <a:effectLst/>
            </c:spPr>
            <c:txPr>
              <a:bodyPr rot="-5400000" vert="horz"/>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'G4.RC'!$A$4:$A$12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'G4.RC'!$B$4:$B$12</c:f>
              <c:numCache>
                <c:formatCode>#,##0</c:formatCode>
                <c:ptCount val="9"/>
                <c:pt idx="0">
                  <c:v>58432</c:v>
                </c:pt>
                <c:pt idx="1">
                  <c:v>5882</c:v>
                </c:pt>
                <c:pt idx="2">
                  <c:v>8698</c:v>
                </c:pt>
                <c:pt idx="3">
                  <c:v>8039</c:v>
                </c:pt>
                <c:pt idx="4">
                  <c:v>5657</c:v>
                </c:pt>
                <c:pt idx="5">
                  <c:v>5401</c:v>
                </c:pt>
                <c:pt idx="6">
                  <c:v>6166</c:v>
                </c:pt>
                <c:pt idx="7">
                  <c:v>4886</c:v>
                </c:pt>
                <c:pt idx="8">
                  <c:v>6722</c:v>
                </c:pt>
              </c:numCache>
            </c:numRef>
          </c:val>
        </c:ser>
        <c:ser>
          <c:idx val="1"/>
          <c:order val="1"/>
          <c:tx>
            <c:strRef>
              <c:f>'G4.RC'!$C$3</c:f>
              <c:strCache>
                <c:ptCount val="1"/>
                <c:pt idx="0">
                  <c:v>Titular Masculino</c:v>
                </c:pt>
              </c:strCache>
            </c:strRef>
          </c:tx>
          <c:invertIfNegative val="0"/>
          <c:dLbls>
            <c:spPr>
              <a:noFill/>
              <a:ln>
                <a:noFill/>
              </a:ln>
              <a:effectLst/>
            </c:spPr>
            <c:txPr>
              <a:bodyPr rot="-5400000" vert="horz"/>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'G4.RC'!$A$4:$A$12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'G4.RC'!$C$4:$C$12</c:f>
              <c:numCache>
                <c:formatCode>#,##0</c:formatCode>
                <c:ptCount val="9"/>
                <c:pt idx="0">
                  <c:v>53354</c:v>
                </c:pt>
                <c:pt idx="1">
                  <c:v>5225</c:v>
                </c:pt>
                <c:pt idx="2">
                  <c:v>7491</c:v>
                </c:pt>
                <c:pt idx="3">
                  <c:v>6885</c:v>
                </c:pt>
                <c:pt idx="4">
                  <c:v>6266</c:v>
                </c:pt>
                <c:pt idx="5">
                  <c:v>4366</c:v>
                </c:pt>
                <c:pt idx="6">
                  <c:v>6660</c:v>
                </c:pt>
                <c:pt idx="7">
                  <c:v>5358</c:v>
                </c:pt>
                <c:pt idx="8">
                  <c:v>6096</c:v>
                </c:pt>
              </c:numCache>
            </c:numRef>
          </c:val>
        </c:ser>
        <c:ser>
          <c:idx val="2"/>
          <c:order val="2"/>
          <c:tx>
            <c:strRef>
              <c:f>'G4.RC'!$D$3</c:f>
              <c:strCache>
                <c:ptCount val="1"/>
                <c:pt idx="0">
                  <c:v>Dependiente Femenino</c:v>
                </c:pt>
              </c:strCache>
            </c:strRef>
          </c:tx>
          <c:invertIfNegative val="0"/>
          <c:dLbls>
            <c:spPr>
              <a:noFill/>
              <a:ln>
                <a:noFill/>
              </a:ln>
              <a:effectLst/>
            </c:spPr>
            <c:txPr>
              <a:bodyPr rot="-5400000" vert="horz"/>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'G4.RC'!$A$4:$A$12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'G4.RC'!$D$4:$D$12</c:f>
              <c:numCache>
                <c:formatCode>#,##0</c:formatCode>
                <c:ptCount val="9"/>
                <c:pt idx="0">
                  <c:v>70904</c:v>
                </c:pt>
                <c:pt idx="1">
                  <c:v>7727</c:v>
                </c:pt>
                <c:pt idx="2">
                  <c:v>9432</c:v>
                </c:pt>
                <c:pt idx="3">
                  <c:v>10429</c:v>
                </c:pt>
                <c:pt idx="4">
                  <c:v>8064</c:v>
                </c:pt>
                <c:pt idx="5">
                  <c:v>5363</c:v>
                </c:pt>
                <c:pt idx="6">
                  <c:v>8967</c:v>
                </c:pt>
                <c:pt idx="7">
                  <c:v>6625</c:v>
                </c:pt>
                <c:pt idx="8">
                  <c:v>9055</c:v>
                </c:pt>
              </c:numCache>
            </c:numRef>
          </c:val>
        </c:ser>
        <c:ser>
          <c:idx val="3"/>
          <c:order val="3"/>
          <c:tx>
            <c:strRef>
              <c:f>'G4.RC'!$E$3</c:f>
              <c:strCache>
                <c:ptCount val="1"/>
                <c:pt idx="0">
                  <c:v>Dependiente Masculino</c:v>
                </c:pt>
              </c:strCache>
            </c:strRef>
          </c:tx>
          <c:invertIfNegative val="0"/>
          <c:dLbls>
            <c:spPr>
              <a:noFill/>
              <a:ln>
                <a:noFill/>
              </a:ln>
              <a:effectLst/>
            </c:spPr>
            <c:txPr>
              <a:bodyPr rot="-5400000" vert="horz"/>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'G4.RC'!$A$4:$A$12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'G4.RC'!$E$4:$E$12</c:f>
              <c:numCache>
                <c:formatCode>#,##0.0</c:formatCode>
                <c:ptCount val="9"/>
                <c:pt idx="0">
                  <c:v>60263</c:v>
                </c:pt>
                <c:pt idx="1">
                  <c:v>6888</c:v>
                </c:pt>
                <c:pt idx="2">
                  <c:v>8626</c:v>
                </c:pt>
                <c:pt idx="3">
                  <c:v>10007</c:v>
                </c:pt>
                <c:pt idx="4">
                  <c:v>6698</c:v>
                </c:pt>
                <c:pt idx="5">
                  <c:v>4816</c:v>
                </c:pt>
                <c:pt idx="6">
                  <c:v>7779</c:v>
                </c:pt>
                <c:pt idx="7">
                  <c:v>5601</c:v>
                </c:pt>
                <c:pt idx="8">
                  <c:v>8311</c:v>
                </c:pt>
              </c:numCache>
            </c:numRef>
          </c:val>
        </c:ser>
        <c:dLbls>
          <c:showLegendKey val="0"/>
          <c:showVal val="0"/>
          <c:showCatName val="0"/>
          <c:showSerName val="0"/>
          <c:showPercent val="0"/>
          <c:showBubbleSize val="0"/>
        </c:dLbls>
        <c:gapWidth val="150"/>
        <c:axId val="274088440"/>
        <c:axId val="274088832"/>
      </c:barChart>
      <c:catAx>
        <c:axId val="274088440"/>
        <c:scaling>
          <c:orientation val="minMax"/>
        </c:scaling>
        <c:delete val="0"/>
        <c:axPos val="b"/>
        <c:numFmt formatCode="General" sourceLinked="0"/>
        <c:majorTickMark val="out"/>
        <c:minorTickMark val="none"/>
        <c:tickLblPos val="nextTo"/>
        <c:crossAx val="274088832"/>
        <c:crosses val="autoZero"/>
        <c:auto val="1"/>
        <c:lblAlgn val="ctr"/>
        <c:lblOffset val="100"/>
        <c:noMultiLvlLbl val="0"/>
      </c:catAx>
      <c:valAx>
        <c:axId val="274088832"/>
        <c:scaling>
          <c:orientation val="minMax"/>
        </c:scaling>
        <c:delete val="0"/>
        <c:axPos val="l"/>
        <c:numFmt formatCode="#,##0" sourceLinked="1"/>
        <c:majorTickMark val="out"/>
        <c:minorTickMark val="none"/>
        <c:tickLblPos val="nextTo"/>
        <c:crossAx val="274088440"/>
        <c:crosses val="autoZero"/>
        <c:crossBetween val="between"/>
      </c:valAx>
    </c:plotArea>
    <c:legend>
      <c:legendPos val="r"/>
      <c:layout>
        <c:manualLayout>
          <c:xMode val="edge"/>
          <c:yMode val="edge"/>
          <c:x val="0.19597868746706848"/>
          <c:y val="6.971993794065949E-2"/>
          <c:w val="0.69645408301448253"/>
          <c:h val="9.0800749686908877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97033143744438E-2"/>
          <c:y val="0.10043512226924525"/>
          <c:w val="0.89868694141535521"/>
          <c:h val="0.66524248708740097"/>
        </c:manualLayout>
      </c:layout>
      <c:lineChart>
        <c:grouping val="stacked"/>
        <c:varyColors val="0"/>
        <c:ser>
          <c:idx val="0"/>
          <c:order val="0"/>
          <c:tx>
            <c:strRef>
              <c:f>'G5.RC'!$A$13</c:f>
              <c:strCache>
                <c:ptCount val="1"/>
                <c:pt idx="0">
                  <c:v>Total </c:v>
                </c:pt>
              </c:strCache>
            </c:strRef>
          </c:tx>
          <c:spPr>
            <a:ln w="22225"/>
          </c:spPr>
          <c:marker>
            <c:symbol val="circle"/>
            <c:size val="10"/>
            <c:spPr>
              <a:solidFill>
                <a:schemeClr val="bg1"/>
              </a:solidFill>
              <a:ln>
                <a:solidFill>
                  <a:schemeClr val="tx1"/>
                </a:solidFill>
              </a:ln>
            </c:spPr>
          </c:marker>
          <c:dLbls>
            <c:spPr>
              <a:noFill/>
              <a:ln>
                <a:noFill/>
              </a:ln>
              <a:effectLst/>
            </c:spPr>
            <c:txPr>
              <a:bodyPr rot="-5400000" vert="horz"/>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'G5.RC'!$B$3:$T$3</c:f>
              <c:strCache>
                <c:ptCount val="19"/>
                <c:pt idx="0">
                  <c:v>0 a 1 </c:v>
                </c:pt>
                <c:pt idx="1">
                  <c:v>2 a 4 </c:v>
                </c:pt>
                <c:pt idx="2">
                  <c:v> 5 a 9 </c:v>
                </c:pt>
                <c:pt idx="3">
                  <c:v> 10 a 14</c:v>
                </c:pt>
                <c:pt idx="4">
                  <c:v>15 a 19</c:v>
                </c:pt>
                <c:pt idx="5">
                  <c:v>20 a 24</c:v>
                </c:pt>
                <c:pt idx="6">
                  <c:v>25 a 29</c:v>
                </c:pt>
                <c:pt idx="7">
                  <c:v>30 a 34 </c:v>
                </c:pt>
                <c:pt idx="8">
                  <c:v>35 a 39</c:v>
                </c:pt>
                <c:pt idx="9">
                  <c:v>40 a 44</c:v>
                </c:pt>
                <c:pt idx="10">
                  <c:v> 45 a 49 </c:v>
                </c:pt>
                <c:pt idx="11">
                  <c:v>50 a 54 </c:v>
                </c:pt>
                <c:pt idx="12">
                  <c:v> 55 a 59</c:v>
                </c:pt>
                <c:pt idx="13">
                  <c:v>60 a 64</c:v>
                </c:pt>
                <c:pt idx="14">
                  <c:v>65 a 69 </c:v>
                </c:pt>
                <c:pt idx="15">
                  <c:v> 70 a 74</c:v>
                </c:pt>
                <c:pt idx="16">
                  <c:v>75 a 79</c:v>
                </c:pt>
                <c:pt idx="17">
                  <c:v>80 a 84</c:v>
                </c:pt>
                <c:pt idx="18">
                  <c:v>85 o más</c:v>
                </c:pt>
              </c:strCache>
            </c:strRef>
          </c:cat>
          <c:val>
            <c:numRef>
              <c:f>'G5.RC'!$B$13:$T$13</c:f>
              <c:numCache>
                <c:formatCode>#,##0</c:formatCode>
                <c:ptCount val="19"/>
                <c:pt idx="0">
                  <c:v>7647</c:v>
                </c:pt>
                <c:pt idx="1">
                  <c:v>19465</c:v>
                </c:pt>
                <c:pt idx="2">
                  <c:v>35329</c:v>
                </c:pt>
                <c:pt idx="3">
                  <c:v>49492</c:v>
                </c:pt>
                <c:pt idx="4">
                  <c:v>39887</c:v>
                </c:pt>
                <c:pt idx="5">
                  <c:v>25356</c:v>
                </c:pt>
                <c:pt idx="6">
                  <c:v>25381</c:v>
                </c:pt>
                <c:pt idx="7">
                  <c:v>31172</c:v>
                </c:pt>
                <c:pt idx="8">
                  <c:v>33059</c:v>
                </c:pt>
                <c:pt idx="9">
                  <c:v>36317</c:v>
                </c:pt>
                <c:pt idx="10">
                  <c:v>38674</c:v>
                </c:pt>
                <c:pt idx="11">
                  <c:v>36238</c:v>
                </c:pt>
                <c:pt idx="12">
                  <c:v>30020</c:v>
                </c:pt>
                <c:pt idx="13">
                  <c:v>21636</c:v>
                </c:pt>
                <c:pt idx="14">
                  <c:v>14413</c:v>
                </c:pt>
                <c:pt idx="15">
                  <c:v>9903</c:v>
                </c:pt>
                <c:pt idx="16">
                  <c:v>6494</c:v>
                </c:pt>
                <c:pt idx="17">
                  <c:v>3909</c:v>
                </c:pt>
                <c:pt idx="18">
                  <c:v>2747</c:v>
                </c:pt>
              </c:numCache>
            </c:numRef>
          </c:val>
          <c:smooth val="0"/>
        </c:ser>
        <c:dLbls>
          <c:showLegendKey val="0"/>
          <c:showVal val="0"/>
          <c:showCatName val="0"/>
          <c:showSerName val="0"/>
          <c:showPercent val="0"/>
          <c:showBubbleSize val="0"/>
        </c:dLbls>
        <c:marker val="1"/>
        <c:smooth val="0"/>
        <c:axId val="274089616"/>
        <c:axId val="274090008"/>
      </c:lineChart>
      <c:catAx>
        <c:axId val="274089616"/>
        <c:scaling>
          <c:orientation val="minMax"/>
        </c:scaling>
        <c:delete val="0"/>
        <c:axPos val="b"/>
        <c:numFmt formatCode="General" sourceLinked="0"/>
        <c:majorTickMark val="out"/>
        <c:minorTickMark val="none"/>
        <c:tickLblPos val="nextTo"/>
        <c:txPr>
          <a:bodyPr rot="-2700000" vert="horz"/>
          <a:lstStyle/>
          <a:p>
            <a:pPr>
              <a:defRPr/>
            </a:pPr>
            <a:endParaRPr lang="es-ES"/>
          </a:p>
        </c:txPr>
        <c:crossAx val="274090008"/>
        <c:crosses val="autoZero"/>
        <c:auto val="1"/>
        <c:lblAlgn val="ctr"/>
        <c:lblOffset val="100"/>
        <c:noMultiLvlLbl val="0"/>
      </c:catAx>
      <c:valAx>
        <c:axId val="274090008"/>
        <c:scaling>
          <c:orientation val="minMax"/>
        </c:scaling>
        <c:delete val="0"/>
        <c:axPos val="l"/>
        <c:numFmt formatCode="#,##0" sourceLinked="1"/>
        <c:majorTickMark val="out"/>
        <c:minorTickMark val="none"/>
        <c:tickLblPos val="nextTo"/>
        <c:crossAx val="274089616"/>
        <c:crosses val="autoZero"/>
        <c:crossBetween val="between"/>
      </c:valAx>
    </c:plotArea>
    <c:plotVisOnly val="1"/>
    <c:dispBlanksAs val="zero"/>
    <c:showDLblsOverMax val="0"/>
  </c:chart>
  <c:spPr>
    <a:ln>
      <a:noFill/>
    </a:ln>
  </c:spPr>
  <c:printSettings>
    <c:headerFooter/>
    <c:pageMargins b="0.75" l="0.7" r="0.7" t="0.75" header="0.3" footer="0.3"/>
    <c:pageSetup orientation="portrait"/>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0.22226308184137697"/>
          <c:y val="2.6911398992016746E-2"/>
          <c:w val="0.73128633276336052"/>
          <c:h val="0.84342684025227055"/>
        </c:manualLayout>
      </c:layout>
      <c:barChart>
        <c:barDir val="bar"/>
        <c:grouping val="clustered"/>
        <c:varyColors val="0"/>
        <c:ser>
          <c:idx val="0"/>
          <c:order val="0"/>
          <c:tx>
            <c:strRef>
              <c:f>'G6.RC'!$D$3</c:f>
              <c:strCache>
                <c:ptCount val="1"/>
                <c:pt idx="0">
                  <c:v>Total general</c:v>
                </c:pt>
              </c:strCache>
            </c:strRef>
          </c:tx>
          <c:invertIfNegative val="0"/>
          <c:dLbls>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'G6.RC'!$A$4:$A$35</c:f>
              <c:strCache>
                <c:ptCount val="32"/>
                <c:pt idx="0">
                  <c:v>DISTRITO NACIONAL</c:v>
                </c:pt>
                <c:pt idx="1">
                  <c:v>SANTO DOMINGO</c:v>
                </c:pt>
                <c:pt idx="2">
                  <c:v>DUARTE</c:v>
                </c:pt>
                <c:pt idx="3">
                  <c:v>SANTIAGO DE LOS CABALLEROS</c:v>
                </c:pt>
                <c:pt idx="4">
                  <c:v>SAN JUAN DE LA MAGUANA</c:v>
                </c:pt>
                <c:pt idx="5">
                  <c:v>LA VEGA</c:v>
                </c:pt>
                <c:pt idx="6">
                  <c:v>SAN CRISTOBAL</c:v>
                </c:pt>
                <c:pt idx="7">
                  <c:v>BARAHONA</c:v>
                </c:pt>
                <c:pt idx="8">
                  <c:v>VALVERDE</c:v>
                </c:pt>
                <c:pt idx="9">
                  <c:v>SAN PEDRO DE MACORIS</c:v>
                </c:pt>
                <c:pt idx="10">
                  <c:v>MONTE PLATA</c:v>
                </c:pt>
                <c:pt idx="11">
                  <c:v>ESPAILLAT</c:v>
                </c:pt>
                <c:pt idx="12">
                  <c:v>AZUA</c:v>
                </c:pt>
                <c:pt idx="13">
                  <c:v>SANCHEZ RAMIREZ</c:v>
                </c:pt>
                <c:pt idx="14">
                  <c:v>PUERTO PLATA</c:v>
                </c:pt>
                <c:pt idx="15">
                  <c:v>MONSEÑOR NOUEL</c:v>
                </c:pt>
                <c:pt idx="16">
                  <c:v>HERMANA MIRABAL</c:v>
                </c:pt>
                <c:pt idx="17">
                  <c:v>PERAVIA</c:v>
                </c:pt>
                <c:pt idx="18">
                  <c:v>MONTECRISTI</c:v>
                </c:pt>
                <c:pt idx="19">
                  <c:v>BAHORUCO</c:v>
                </c:pt>
                <c:pt idx="20">
                  <c:v>INDEPENDENCIA</c:v>
                </c:pt>
                <c:pt idx="21">
                  <c:v>MARIA TRINIDAD SANCHEZ</c:v>
                </c:pt>
                <c:pt idx="22">
                  <c:v>DAJABON</c:v>
                </c:pt>
                <c:pt idx="23">
                  <c:v>ELIAS PIÑA</c:v>
                </c:pt>
                <c:pt idx="24">
                  <c:v>SANTIAGO RODRIGUEZ</c:v>
                </c:pt>
                <c:pt idx="25">
                  <c:v>HATO MAYOR DEL REY</c:v>
                </c:pt>
                <c:pt idx="26">
                  <c:v>EL SEYBO</c:v>
                </c:pt>
                <c:pt idx="27">
                  <c:v>LA ROMANA</c:v>
                </c:pt>
                <c:pt idx="28">
                  <c:v>SAN JOSE DE OCOA</c:v>
                </c:pt>
                <c:pt idx="29">
                  <c:v>LA ALTAGRACIA</c:v>
                </c:pt>
                <c:pt idx="30">
                  <c:v>SAMANA</c:v>
                </c:pt>
                <c:pt idx="31">
                  <c:v>PEDERNALES</c:v>
                </c:pt>
              </c:strCache>
            </c:strRef>
          </c:cat>
          <c:val>
            <c:numRef>
              <c:f>'G6.RC'!$D$4:$D$35</c:f>
              <c:numCache>
                <c:formatCode>#,##0</c:formatCode>
                <c:ptCount val="32"/>
                <c:pt idx="0">
                  <c:v>159316</c:v>
                </c:pt>
                <c:pt idx="1">
                  <c:v>74932</c:v>
                </c:pt>
                <c:pt idx="2">
                  <c:v>26420</c:v>
                </c:pt>
                <c:pt idx="3">
                  <c:v>22807</c:v>
                </c:pt>
                <c:pt idx="4">
                  <c:v>20415</c:v>
                </c:pt>
                <c:pt idx="5">
                  <c:v>20138</c:v>
                </c:pt>
                <c:pt idx="6">
                  <c:v>19768</c:v>
                </c:pt>
                <c:pt idx="7">
                  <c:v>17956</c:v>
                </c:pt>
                <c:pt idx="8">
                  <c:v>13049</c:v>
                </c:pt>
                <c:pt idx="9">
                  <c:v>11714</c:v>
                </c:pt>
                <c:pt idx="10">
                  <c:v>8705</c:v>
                </c:pt>
                <c:pt idx="11">
                  <c:v>7009</c:v>
                </c:pt>
                <c:pt idx="12">
                  <c:v>6792</c:v>
                </c:pt>
                <c:pt idx="13">
                  <c:v>5829</c:v>
                </c:pt>
                <c:pt idx="14">
                  <c:v>4431</c:v>
                </c:pt>
                <c:pt idx="15">
                  <c:v>4217</c:v>
                </c:pt>
                <c:pt idx="16">
                  <c:v>4197</c:v>
                </c:pt>
                <c:pt idx="17">
                  <c:v>4122</c:v>
                </c:pt>
                <c:pt idx="18">
                  <c:v>4013</c:v>
                </c:pt>
                <c:pt idx="19">
                  <c:v>3709</c:v>
                </c:pt>
                <c:pt idx="20">
                  <c:v>3572</c:v>
                </c:pt>
                <c:pt idx="21">
                  <c:v>3160</c:v>
                </c:pt>
                <c:pt idx="22">
                  <c:v>3132</c:v>
                </c:pt>
                <c:pt idx="23">
                  <c:v>2365</c:v>
                </c:pt>
                <c:pt idx="24">
                  <c:v>2276</c:v>
                </c:pt>
                <c:pt idx="25">
                  <c:v>2205</c:v>
                </c:pt>
                <c:pt idx="26">
                  <c:v>2155</c:v>
                </c:pt>
                <c:pt idx="27">
                  <c:v>2130</c:v>
                </c:pt>
                <c:pt idx="28">
                  <c:v>1832</c:v>
                </c:pt>
                <c:pt idx="29">
                  <c:v>1742</c:v>
                </c:pt>
                <c:pt idx="30">
                  <c:v>1583</c:v>
                </c:pt>
                <c:pt idx="31">
                  <c:v>1448</c:v>
                </c:pt>
              </c:numCache>
            </c:numRef>
          </c:val>
        </c:ser>
        <c:dLbls>
          <c:showLegendKey val="0"/>
          <c:showVal val="0"/>
          <c:showCatName val="0"/>
          <c:showSerName val="0"/>
          <c:showPercent val="0"/>
          <c:showBubbleSize val="0"/>
        </c:dLbls>
        <c:gapWidth val="27"/>
        <c:axId val="274091184"/>
        <c:axId val="274091576"/>
      </c:barChart>
      <c:catAx>
        <c:axId val="274091184"/>
        <c:scaling>
          <c:orientation val="minMax"/>
        </c:scaling>
        <c:delete val="0"/>
        <c:axPos val="l"/>
        <c:numFmt formatCode="General" sourceLinked="0"/>
        <c:majorTickMark val="out"/>
        <c:minorTickMark val="none"/>
        <c:tickLblPos val="nextTo"/>
        <c:txPr>
          <a:bodyPr/>
          <a:lstStyle/>
          <a:p>
            <a:pPr>
              <a:defRPr sz="900"/>
            </a:pPr>
            <a:endParaRPr lang="es-ES"/>
          </a:p>
        </c:txPr>
        <c:crossAx val="274091576"/>
        <c:crosses val="autoZero"/>
        <c:auto val="1"/>
        <c:lblAlgn val="ctr"/>
        <c:lblOffset val="100"/>
        <c:noMultiLvlLbl val="0"/>
      </c:catAx>
      <c:valAx>
        <c:axId val="274091576"/>
        <c:scaling>
          <c:orientation val="minMax"/>
        </c:scaling>
        <c:delete val="0"/>
        <c:axPos val="b"/>
        <c:numFmt formatCode="#,##0" sourceLinked="1"/>
        <c:majorTickMark val="out"/>
        <c:minorTickMark val="none"/>
        <c:tickLblPos val="nextTo"/>
        <c:crossAx val="274091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3.8908628418425316E-2"/>
          <c:y val="8.9563080086654742E-2"/>
          <c:w val="0.9294868257231772"/>
          <c:h val="0.77420507632110436"/>
        </c:manualLayout>
      </c:layout>
      <c:barChart>
        <c:barDir val="bar"/>
        <c:grouping val="clustered"/>
        <c:varyColors val="0"/>
        <c:ser>
          <c:idx val="1"/>
          <c:order val="0"/>
          <c:tx>
            <c:strRef>
              <c:f>'G7.RC'!$R$4</c:f>
              <c:strCache>
                <c:ptCount val="1"/>
                <c:pt idx="0">
                  <c:v>Masculino</c:v>
                </c:pt>
              </c:strCache>
            </c:strRef>
          </c:tx>
          <c:spPr>
            <a:solidFill>
              <a:schemeClr val="accent1">
                <a:lumMod val="75000"/>
              </a:schemeClr>
            </a:solidFill>
          </c:spPr>
          <c:invertIfNegative val="0"/>
          <c:dLbls>
            <c:dLbl>
              <c:idx val="17"/>
              <c:layout>
                <c:manualLayout>
                  <c:x val="1.2634708878399981E-2"/>
                  <c:y val="-1.8789593263192837E-17"/>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1.8952063317599969E-2"/>
                  <c:y val="-1.878959326319283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'G7.RC'!$P$5:$P$23</c:f>
              <c:strCache>
                <c:ptCount val="19"/>
                <c:pt idx="0">
                  <c:v> 0-1</c:v>
                </c:pt>
                <c:pt idx="1">
                  <c:v> 2-4 </c:v>
                </c:pt>
                <c:pt idx="2">
                  <c:v>5-9</c:v>
                </c:pt>
                <c:pt idx="3">
                  <c:v>10-14</c:v>
                </c:pt>
                <c:pt idx="4">
                  <c:v>15-19</c:v>
                </c:pt>
                <c:pt idx="5">
                  <c:v>20-24</c:v>
                </c:pt>
                <c:pt idx="6">
                  <c:v>25-29</c:v>
                </c:pt>
                <c:pt idx="7">
                  <c:v> 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'G7.RC'!$R$5:$R$23</c:f>
              <c:numCache>
                <c:formatCode>General</c:formatCode>
                <c:ptCount val="19"/>
                <c:pt idx="0">
                  <c:v>3902</c:v>
                </c:pt>
                <c:pt idx="1">
                  <c:v>9871</c:v>
                </c:pt>
                <c:pt idx="2">
                  <c:v>17876</c:v>
                </c:pt>
                <c:pt idx="3">
                  <c:v>25025</c:v>
                </c:pt>
                <c:pt idx="4">
                  <c:v>19715</c:v>
                </c:pt>
                <c:pt idx="5">
                  <c:v>11489</c:v>
                </c:pt>
                <c:pt idx="6">
                  <c:v>10960</c:v>
                </c:pt>
                <c:pt idx="7">
                  <c:v>12823</c:v>
                </c:pt>
                <c:pt idx="8">
                  <c:v>13763</c:v>
                </c:pt>
                <c:pt idx="9">
                  <c:v>15486</c:v>
                </c:pt>
                <c:pt idx="10">
                  <c:v>17032</c:v>
                </c:pt>
                <c:pt idx="11">
                  <c:v>17193</c:v>
                </c:pt>
                <c:pt idx="12">
                  <c:v>15085</c:v>
                </c:pt>
                <c:pt idx="13">
                  <c:v>11240</c:v>
                </c:pt>
                <c:pt idx="14">
                  <c:v>7603</c:v>
                </c:pt>
                <c:pt idx="15">
                  <c:v>5164</c:v>
                </c:pt>
                <c:pt idx="16">
                  <c:v>3221</c:v>
                </c:pt>
                <c:pt idx="17">
                  <c:v>1909</c:v>
                </c:pt>
                <c:pt idx="18">
                  <c:v>1332</c:v>
                </c:pt>
              </c:numCache>
            </c:numRef>
          </c:val>
        </c:ser>
        <c:ser>
          <c:idx val="0"/>
          <c:order val="1"/>
          <c:tx>
            <c:strRef>
              <c:f>'G7.RC'!$Q$4</c:f>
              <c:strCache>
                <c:ptCount val="1"/>
                <c:pt idx="0">
                  <c:v>Femenino</c:v>
                </c:pt>
              </c:strCache>
            </c:strRef>
          </c:tx>
          <c:spPr>
            <a:solidFill>
              <a:srgbClr val="FF3399"/>
            </a:solidFill>
          </c:spPr>
          <c:invertIfNegative val="0"/>
          <c:dLbls>
            <c:dLbl>
              <c:idx val="17"/>
              <c:layout>
                <c:manualLayout>
                  <c:x val="1.2606600220287931E-2"/>
                  <c:y val="0"/>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1.2606600220287931E-2"/>
                  <c:y val="-1.5884967829250723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'G7.RC'!$P$5:$P$23</c:f>
              <c:strCache>
                <c:ptCount val="19"/>
                <c:pt idx="0">
                  <c:v> 0-1</c:v>
                </c:pt>
                <c:pt idx="1">
                  <c:v> 2-4 </c:v>
                </c:pt>
                <c:pt idx="2">
                  <c:v>5-9</c:v>
                </c:pt>
                <c:pt idx="3">
                  <c:v>10-14</c:v>
                </c:pt>
                <c:pt idx="4">
                  <c:v>15-19</c:v>
                </c:pt>
                <c:pt idx="5">
                  <c:v>20-24</c:v>
                </c:pt>
                <c:pt idx="6">
                  <c:v>25-29</c:v>
                </c:pt>
                <c:pt idx="7">
                  <c:v> 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'G7.RC'!$Q$5:$Q$23</c:f>
              <c:numCache>
                <c:formatCode>General</c:formatCode>
                <c:ptCount val="19"/>
                <c:pt idx="0">
                  <c:v>-3745</c:v>
                </c:pt>
                <c:pt idx="1">
                  <c:v>-9594</c:v>
                </c:pt>
                <c:pt idx="2">
                  <c:v>-17453</c:v>
                </c:pt>
                <c:pt idx="3">
                  <c:v>-24467</c:v>
                </c:pt>
                <c:pt idx="4">
                  <c:v>-20172</c:v>
                </c:pt>
                <c:pt idx="5">
                  <c:v>-13867</c:v>
                </c:pt>
                <c:pt idx="6">
                  <c:v>-14421</c:v>
                </c:pt>
                <c:pt idx="7">
                  <c:v>-18349</c:v>
                </c:pt>
                <c:pt idx="8">
                  <c:v>-19296</c:v>
                </c:pt>
                <c:pt idx="9">
                  <c:v>-20831</c:v>
                </c:pt>
                <c:pt idx="10">
                  <c:v>-21642</c:v>
                </c:pt>
                <c:pt idx="11">
                  <c:v>-19045</c:v>
                </c:pt>
                <c:pt idx="12">
                  <c:v>-14935</c:v>
                </c:pt>
                <c:pt idx="13">
                  <c:v>-10396</c:v>
                </c:pt>
                <c:pt idx="14">
                  <c:v>-6810</c:v>
                </c:pt>
                <c:pt idx="15">
                  <c:v>-4739</c:v>
                </c:pt>
                <c:pt idx="16">
                  <c:v>-3273</c:v>
                </c:pt>
                <c:pt idx="17">
                  <c:v>-2000</c:v>
                </c:pt>
                <c:pt idx="18">
                  <c:v>-1414</c:v>
                </c:pt>
              </c:numCache>
            </c:numRef>
          </c:val>
        </c:ser>
        <c:dLbls>
          <c:showLegendKey val="0"/>
          <c:showVal val="0"/>
          <c:showCatName val="0"/>
          <c:showSerName val="0"/>
          <c:showPercent val="0"/>
          <c:showBubbleSize val="0"/>
        </c:dLbls>
        <c:gapWidth val="0"/>
        <c:overlap val="95"/>
        <c:axId val="274091968"/>
        <c:axId val="274092360"/>
      </c:barChart>
      <c:catAx>
        <c:axId val="274091968"/>
        <c:scaling>
          <c:orientation val="minMax"/>
        </c:scaling>
        <c:delete val="0"/>
        <c:axPos val="l"/>
        <c:numFmt formatCode="General" sourceLinked="0"/>
        <c:majorTickMark val="out"/>
        <c:minorTickMark val="none"/>
        <c:tickLblPos val="nextTo"/>
        <c:crossAx val="274092360"/>
        <c:crosses val="autoZero"/>
        <c:auto val="1"/>
        <c:lblAlgn val="ctr"/>
        <c:lblOffset val="100"/>
        <c:noMultiLvlLbl val="0"/>
      </c:catAx>
      <c:valAx>
        <c:axId val="274092360"/>
        <c:scaling>
          <c:orientation val="minMax"/>
        </c:scaling>
        <c:delete val="0"/>
        <c:axPos val="b"/>
        <c:numFmt formatCode="General" sourceLinked="1"/>
        <c:majorTickMark val="out"/>
        <c:minorTickMark val="none"/>
        <c:tickLblPos val="nextTo"/>
        <c:txPr>
          <a:bodyPr/>
          <a:lstStyle/>
          <a:p>
            <a:pPr>
              <a:defRPr sz="1100"/>
            </a:pPr>
            <a:endParaRPr lang="es-ES"/>
          </a:p>
        </c:txPr>
        <c:crossAx val="274091968"/>
        <c:crosses val="autoZero"/>
        <c:crossBetween val="between"/>
      </c:valAx>
    </c:plotArea>
    <c:legend>
      <c:legendPos val="r"/>
      <c:layout>
        <c:manualLayout>
          <c:xMode val="edge"/>
          <c:yMode val="edge"/>
          <c:x val="0.18383232724356452"/>
          <c:y val="1.3656005636828592E-2"/>
          <c:w val="0.79300079727868467"/>
          <c:h val="5.78870881157906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Seguro Familiar de Salud del Régimen Contributivo</a:t>
            </a:r>
          </a:p>
          <a:p>
            <a:pPr>
              <a:defRPr/>
            </a:pPr>
            <a:r>
              <a:rPr lang="es-DO"/>
              <a:t>Comparación del Gasto en Salud del SFS-RC Vs. PIB</a:t>
            </a:r>
          </a:p>
        </c:rich>
      </c:tx>
      <c:layout>
        <c:manualLayout>
          <c:xMode val="edge"/>
          <c:yMode val="edge"/>
          <c:x val="0.33002973309936201"/>
          <c:y val="2.4747476223702151E-2"/>
        </c:manualLayout>
      </c:layout>
      <c:overlay val="1"/>
    </c:title>
    <c:autoTitleDeleted val="0"/>
    <c:plotArea>
      <c:layout>
        <c:manualLayout>
          <c:layoutTarget val="inner"/>
          <c:xMode val="edge"/>
          <c:yMode val="edge"/>
          <c:x val="4.1759654506726397E-2"/>
          <c:y val="0.20185074376744275"/>
          <c:w val="0.89522831970511085"/>
          <c:h val="0.64301570685292131"/>
        </c:manualLayout>
      </c:layout>
      <c:barChart>
        <c:barDir val="col"/>
        <c:grouping val="clustered"/>
        <c:varyColors val="0"/>
        <c:ser>
          <c:idx val="0"/>
          <c:order val="1"/>
          <c:tx>
            <c:strRef>
              <c:f>'IV.1.2.6 Gast.Salud'!$D$3</c:f>
              <c:strCache>
                <c:ptCount val="1"/>
                <c:pt idx="0">
                  <c:v>PIB Corriente</c:v>
                </c:pt>
              </c:strCache>
            </c:strRef>
          </c:tx>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'IV.1.2.6 Gast.Salud'!$A$4:$A$11</c:f>
              <c:strCache>
                <c:ptCount val="7"/>
                <c:pt idx="0">
                  <c:v>2007</c:v>
                </c:pt>
                <c:pt idx="1">
                  <c:v>2008</c:v>
                </c:pt>
                <c:pt idx="2">
                  <c:v>2009</c:v>
                </c:pt>
                <c:pt idx="3">
                  <c:v>2010</c:v>
                </c:pt>
                <c:pt idx="4">
                  <c:v>2011</c:v>
                </c:pt>
                <c:pt idx="5">
                  <c:v>2012</c:v>
                </c:pt>
                <c:pt idx="6">
                  <c:v>2013</c:v>
                </c:pt>
              </c:strCache>
            </c:strRef>
          </c:cat>
          <c:val>
            <c:numRef>
              <c:f>'IV.1.2.6 Gast.Salud'!$D$4:$D$11</c:f>
              <c:numCache>
                <c:formatCode>#,##0.00</c:formatCode>
                <c:ptCount val="7"/>
                <c:pt idx="0">
                  <c:v>1364210300000</c:v>
                </c:pt>
                <c:pt idx="1">
                  <c:v>1576162800000</c:v>
                </c:pt>
                <c:pt idx="2">
                  <c:v>1678762600000</c:v>
                </c:pt>
                <c:pt idx="3">
                  <c:v>1901896700000</c:v>
                </c:pt>
                <c:pt idx="4">
                  <c:v>2119301800000</c:v>
                </c:pt>
                <c:pt idx="5">
                  <c:v>2316783700000</c:v>
                </c:pt>
                <c:pt idx="6">
                  <c:v>2534067800000</c:v>
                </c:pt>
              </c:numCache>
            </c:numRef>
          </c:val>
        </c:ser>
        <c:dLbls>
          <c:showLegendKey val="0"/>
          <c:showVal val="0"/>
          <c:showCatName val="0"/>
          <c:showSerName val="0"/>
          <c:showPercent val="0"/>
          <c:showBubbleSize val="0"/>
        </c:dLbls>
        <c:gapWidth val="57"/>
        <c:axId val="274093144"/>
        <c:axId val="274093536"/>
      </c:barChart>
      <c:lineChart>
        <c:grouping val="standard"/>
        <c:varyColors val="0"/>
        <c:ser>
          <c:idx val="2"/>
          <c:order val="0"/>
          <c:tx>
            <c:strRef>
              <c:f>'IV.1.2.6 Gast.Salud'!$F$3</c:f>
              <c:strCache>
                <c:ptCount val="1"/>
                <c:pt idx="0">
                  <c:v>% Gasto Salud (SDSS) / PIB</c:v>
                </c:pt>
              </c:strCache>
            </c:strRef>
          </c:tx>
          <c:marker>
            <c:symbol val="circle"/>
            <c:size val="13"/>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'IV.1.2.6 Gast.Salud'!$A$4:$A$11</c:f>
              <c:strCache>
                <c:ptCount val="7"/>
                <c:pt idx="0">
                  <c:v>2007</c:v>
                </c:pt>
                <c:pt idx="1">
                  <c:v>2008</c:v>
                </c:pt>
                <c:pt idx="2">
                  <c:v>2009</c:v>
                </c:pt>
                <c:pt idx="3">
                  <c:v>2010</c:v>
                </c:pt>
                <c:pt idx="4">
                  <c:v>2011</c:v>
                </c:pt>
                <c:pt idx="5">
                  <c:v>2012</c:v>
                </c:pt>
                <c:pt idx="6">
                  <c:v>2013</c:v>
                </c:pt>
              </c:strCache>
            </c:strRef>
          </c:cat>
          <c:val>
            <c:numRef>
              <c:f>'IV.1.2.6 Gast.Salud'!$F$4:$F$11</c:f>
              <c:numCache>
                <c:formatCode>0.00%</c:formatCode>
                <c:ptCount val="7"/>
                <c:pt idx="0">
                  <c:v>1.4896395211207538E-3</c:v>
                </c:pt>
                <c:pt idx="1">
                  <c:v>6.2615807935576199E-3</c:v>
                </c:pt>
                <c:pt idx="2">
                  <c:v>8.0625988218941732E-3</c:v>
                </c:pt>
                <c:pt idx="3">
                  <c:v>9.715268907980126E-3</c:v>
                </c:pt>
                <c:pt idx="4">
                  <c:v>9.4666785888163733E-3</c:v>
                </c:pt>
                <c:pt idx="5">
                  <c:v>9.5890534590561908E-3</c:v>
                </c:pt>
                <c:pt idx="6">
                  <c:v>9.6965914881756519E-3</c:v>
                </c:pt>
              </c:numCache>
            </c:numRef>
          </c:val>
          <c:smooth val="0"/>
        </c:ser>
        <c:dLbls>
          <c:showLegendKey val="0"/>
          <c:showVal val="0"/>
          <c:showCatName val="0"/>
          <c:showSerName val="0"/>
          <c:showPercent val="0"/>
          <c:showBubbleSize val="0"/>
        </c:dLbls>
        <c:marker val="1"/>
        <c:smooth val="0"/>
        <c:axId val="274094320"/>
        <c:axId val="274093928"/>
      </c:lineChart>
      <c:catAx>
        <c:axId val="274093144"/>
        <c:scaling>
          <c:orientation val="minMax"/>
        </c:scaling>
        <c:delete val="0"/>
        <c:axPos val="b"/>
        <c:numFmt formatCode="General" sourceLinked="1"/>
        <c:majorTickMark val="out"/>
        <c:minorTickMark val="none"/>
        <c:tickLblPos val="nextTo"/>
        <c:txPr>
          <a:bodyPr/>
          <a:lstStyle/>
          <a:p>
            <a:pPr>
              <a:defRPr sz="1400"/>
            </a:pPr>
            <a:endParaRPr lang="es-ES"/>
          </a:p>
        </c:txPr>
        <c:crossAx val="274093536"/>
        <c:crosses val="autoZero"/>
        <c:auto val="1"/>
        <c:lblAlgn val="ctr"/>
        <c:lblOffset val="100"/>
        <c:noMultiLvlLbl val="0"/>
      </c:catAx>
      <c:valAx>
        <c:axId val="274093536"/>
        <c:scaling>
          <c:orientation val="minMax"/>
        </c:scaling>
        <c:delete val="0"/>
        <c:axPos val="l"/>
        <c:numFmt formatCode="#,##0.00" sourceLinked="1"/>
        <c:majorTickMark val="out"/>
        <c:minorTickMark val="none"/>
        <c:tickLblPos val="nextTo"/>
        <c:spPr>
          <a:ln>
            <a:solidFill>
              <a:schemeClr val="bg1"/>
            </a:solidFill>
          </a:ln>
        </c:spPr>
        <c:txPr>
          <a:bodyPr/>
          <a:lstStyle/>
          <a:p>
            <a:pPr>
              <a:defRPr sz="500">
                <a:solidFill>
                  <a:schemeClr val="bg1"/>
                </a:solidFill>
              </a:defRPr>
            </a:pPr>
            <a:endParaRPr lang="es-ES"/>
          </a:p>
        </c:txPr>
        <c:crossAx val="274093144"/>
        <c:crosses val="autoZero"/>
        <c:crossBetween val="between"/>
        <c:dispUnits>
          <c:builtInUnit val="millions"/>
          <c:dispUnitsLbl>
            <c:layout>
              <c:manualLayout>
                <c:xMode val="edge"/>
                <c:yMode val="edge"/>
                <c:x val="3.0841689177472783E-3"/>
                <c:y val="0.43787693900515645"/>
              </c:manualLayout>
            </c:layout>
            <c:txPr>
              <a:bodyPr/>
              <a:lstStyle/>
              <a:p>
                <a:pPr>
                  <a:defRPr sz="1800" b="1"/>
                </a:pPr>
                <a:endParaRPr lang="es-ES"/>
              </a:p>
            </c:txPr>
          </c:dispUnitsLbl>
        </c:dispUnits>
      </c:valAx>
      <c:valAx>
        <c:axId val="274093928"/>
        <c:scaling>
          <c:orientation val="minMax"/>
          <c:max val="1"/>
        </c:scaling>
        <c:delete val="0"/>
        <c:axPos val="r"/>
        <c:numFmt formatCode="0.00%" sourceLinked="1"/>
        <c:majorTickMark val="out"/>
        <c:minorTickMark val="none"/>
        <c:tickLblPos val="nextTo"/>
        <c:crossAx val="274094320"/>
        <c:crosses val="max"/>
        <c:crossBetween val="between"/>
      </c:valAx>
      <c:catAx>
        <c:axId val="274094320"/>
        <c:scaling>
          <c:orientation val="minMax"/>
        </c:scaling>
        <c:delete val="1"/>
        <c:axPos val="b"/>
        <c:numFmt formatCode="General" sourceLinked="1"/>
        <c:majorTickMark val="out"/>
        <c:minorTickMark val="none"/>
        <c:tickLblPos val="nextTo"/>
        <c:crossAx val="274093928"/>
        <c:crosses val="autoZero"/>
        <c:auto val="1"/>
        <c:lblAlgn val="ctr"/>
        <c:lblOffset val="100"/>
        <c:noMultiLvlLbl val="0"/>
      </c:catAx>
    </c:plotArea>
    <c:legend>
      <c:legendPos val="r"/>
      <c:layout>
        <c:manualLayout>
          <c:xMode val="edge"/>
          <c:yMode val="edge"/>
          <c:x val="0.19899450067002841"/>
          <c:y val="0.12193365477214994"/>
          <c:w val="0.58803812234741926"/>
          <c:h val="4.768092625154655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Familiar de Salud (SFS) del Régimen Subsidiado (RS)</a:t>
            </a:r>
          </a:p>
          <a:p>
            <a:pPr>
              <a:defRPr sz="1600"/>
            </a:pPr>
            <a:r>
              <a:rPr lang="es-DO" sz="1600"/>
              <a:t>Afiliación  y Número de Cápitas Pagadas por Afiliados al  SFS del  RS</a:t>
            </a:r>
          </a:p>
        </c:rich>
      </c:tx>
      <c:overlay val="1"/>
    </c:title>
    <c:autoTitleDeleted val="0"/>
    <c:plotArea>
      <c:layout>
        <c:manualLayout>
          <c:layoutTarget val="inner"/>
          <c:xMode val="edge"/>
          <c:yMode val="edge"/>
          <c:x val="6.6271707621487569E-2"/>
          <c:y val="0.28789004279926989"/>
          <c:w val="0.86449816531313306"/>
          <c:h val="0.6000599085770153"/>
        </c:manualLayout>
      </c:layout>
      <c:barChart>
        <c:barDir val="col"/>
        <c:grouping val="clustered"/>
        <c:varyColors val="0"/>
        <c:ser>
          <c:idx val="0"/>
          <c:order val="0"/>
          <c:tx>
            <c:strRef>
              <c:f>'IV.2.1.1 fil anual SFS RS '!$D$3</c:f>
              <c:strCache>
                <c:ptCount val="1"/>
                <c:pt idx="0">
                  <c:v>Afiliados Totales</c:v>
                </c:pt>
              </c:strCache>
            </c:strRef>
          </c:tx>
          <c:spPr>
            <a:solidFill>
              <a:schemeClr val="accent5">
                <a:lumMod val="50000"/>
              </a:schemeClr>
            </a:solidFill>
          </c:spPr>
          <c:invertIfNegative val="0"/>
          <c:dLbls>
            <c:dLbl>
              <c:idx val="0"/>
              <c:layout>
                <c:manualLayout>
                  <c:x val="0"/>
                  <c:y val="1.790820483843838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1.0210209727355242E-3"/>
                  <c:y val="1.279157488459884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62829294922349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5.884124446915468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0420419454710483E-3"/>
                  <c:y val="6.395787442299422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5.884124446915468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4874006383027454E-17"/>
                  <c:y val="6.395787442299422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907450437683375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0"/>
                  <c:y val="5.884124446915468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57874422994263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6.1399559446074496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'IV.2.1.1 fil anual SFS RS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'IV.2.1.1 fil anual SFS RS '!$D$4:$D$15</c:f>
              <c:numCache>
                <c:formatCode>_(* #,##0_);_(* \(#,##0\);_(* "-"??_);_(@_)</c:formatCode>
                <c:ptCount val="10"/>
                <c:pt idx="0">
                  <c:v>253374</c:v>
                </c:pt>
                <c:pt idx="1">
                  <c:v>514040</c:v>
                </c:pt>
                <c:pt idx="2">
                  <c:v>972427</c:v>
                </c:pt>
                <c:pt idx="3">
                  <c:v>1242681</c:v>
                </c:pt>
                <c:pt idx="4">
                  <c:v>1411152</c:v>
                </c:pt>
                <c:pt idx="5">
                  <c:v>2023360</c:v>
                </c:pt>
                <c:pt idx="6">
                  <c:v>2017423</c:v>
                </c:pt>
                <c:pt idx="7">
                  <c:v>2335292</c:v>
                </c:pt>
                <c:pt idx="8">
                  <c:v>2751753</c:v>
                </c:pt>
                <c:pt idx="9">
                  <c:v>3015646</c:v>
                </c:pt>
              </c:numCache>
            </c:numRef>
          </c:val>
        </c:ser>
        <c:ser>
          <c:idx val="1"/>
          <c:order val="1"/>
          <c:tx>
            <c:strRef>
              <c:f>'IV.2.1.1 fil anual SFS RS '!$I$3</c:f>
              <c:strCache>
                <c:ptCount val="1"/>
                <c:pt idx="0">
                  <c:v>No. de Cápitas Pagadas Total     </c:v>
                </c:pt>
              </c:strCache>
            </c:strRef>
          </c:tx>
          <c:spPr>
            <a:solidFill>
              <a:schemeClr val="accent3">
                <a:lumMod val="50000"/>
              </a:schemeClr>
            </a:solidFill>
          </c:spPr>
          <c:invertIfNegative val="0"/>
          <c:dLbls>
            <c:dLbl>
              <c:idx val="0"/>
              <c:layout>
                <c:manualLayout>
                  <c:x val="3.0630629182065725E-3"/>
                  <c:y val="2.302483479227782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790820483843828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62829294922349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907450437683375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6.139955944607444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5.62829294922349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2.0420419454711233E-3"/>
                  <c:y val="5.628292949223490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2.0524129459028465E-3"/>
                  <c:y val="5.882976226807716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0"/>
                  <c:y val="6.395787442299422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5.8841244469154681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1.0210209727355242E-3"/>
                  <c:y val="5.116629953839537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'IV.2.1.1 fil anual SFS RS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'IV.2.1.1 fil anual SFS RS '!$I$4:$I$15</c:f>
              <c:numCache>
                <c:formatCode>_(* #,##0_);_(* \(#,##0\);_(* "-"??_);_(@_)</c:formatCode>
                <c:ptCount val="10"/>
                <c:pt idx="0">
                  <c:v>266531</c:v>
                </c:pt>
                <c:pt idx="1">
                  <c:v>513416</c:v>
                </c:pt>
                <c:pt idx="2">
                  <c:v>1081936</c:v>
                </c:pt>
                <c:pt idx="3">
                  <c:v>1224643</c:v>
                </c:pt>
                <c:pt idx="4">
                  <c:v>1346166</c:v>
                </c:pt>
                <c:pt idx="5">
                  <c:v>1847833</c:v>
                </c:pt>
                <c:pt idx="6">
                  <c:v>1996335</c:v>
                </c:pt>
                <c:pt idx="7">
                  <c:v>2294356</c:v>
                </c:pt>
                <c:pt idx="8">
                  <c:v>2646899</c:v>
                </c:pt>
                <c:pt idx="9">
                  <c:v>3015646</c:v>
                </c:pt>
              </c:numCache>
            </c:numRef>
          </c:val>
        </c:ser>
        <c:dLbls>
          <c:showLegendKey val="0"/>
          <c:showVal val="0"/>
          <c:showCatName val="0"/>
          <c:showSerName val="0"/>
          <c:showPercent val="0"/>
          <c:showBubbleSize val="0"/>
        </c:dLbls>
        <c:gapWidth val="13"/>
        <c:overlap val="-8"/>
        <c:axId val="276404832"/>
        <c:axId val="276405224"/>
      </c:barChart>
      <c:lineChart>
        <c:grouping val="standard"/>
        <c:varyColors val="0"/>
        <c:ser>
          <c:idx val="2"/>
          <c:order val="2"/>
          <c:tx>
            <c:strRef>
              <c:f>'IV.2.1.1 fil anual SFS RS '!$L$3</c:f>
              <c:strCache>
                <c:ptCount val="1"/>
                <c:pt idx="0">
                  <c:v>% No. de Cápitas Pagadas / Afiliación Total </c:v>
                </c:pt>
              </c:strCache>
            </c:strRef>
          </c:tx>
          <c:spPr>
            <a:ln w="25400">
              <a:solidFill>
                <a:schemeClr val="accent6">
                  <a:lumMod val="75000"/>
                </a:schemeClr>
              </a:solidFill>
              <a:prstDash val="solid"/>
            </a:ln>
          </c:spPr>
          <c:marker>
            <c:symbol val="circle"/>
            <c:size val="6"/>
            <c:spPr>
              <a:solidFill>
                <a:schemeClr val="accent6">
                  <a:lumMod val="75000"/>
                </a:schemeClr>
              </a:solidFill>
              <a:ln>
                <a:solidFill>
                  <a:srgbClr val="00B050"/>
                </a:solidFill>
                <a:prstDash val="solid"/>
              </a:ln>
            </c:spPr>
          </c:marker>
          <c:dLbls>
            <c:dLbl>
              <c:idx val="0"/>
              <c:layout>
                <c:manualLayout>
                  <c:x val="-3.0353436228475569E-2"/>
                  <c:y val="-2.415391980233496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5106522673731299E-2"/>
                  <c:y val="-2.415391980233496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8296646115015815E-2"/>
                  <c:y val="-2.16954957218581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5106522673731299E-2"/>
                  <c:y val="-2.66123438828117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8296646115015815E-2"/>
                  <c:y val="-2.16954957218581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7616044661226045E-2"/>
                  <c:y val="-2.76001897584810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230998826148209E-3"/>
                  <c:y val="-8.45642847113519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4.4943509582614964E-3"/>
                  <c:y val="-9.9914193444379157E-2"/>
                </c:manualLayout>
              </c:layout>
              <c:spPr/>
              <c:txPr>
                <a:bodyPr/>
                <a:lstStyle/>
                <a:p>
                  <a:pPr>
                    <a:defRPr sz="12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1867476903450592E-2"/>
                  <c:y val="3.123520659698646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'IV.2.1.1 fil anual SFS RS '!$A$4:$A$15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'IV.2.1.1 fil anual SFS RS '!$L$4:$L$15</c:f>
              <c:numCache>
                <c:formatCode>0.0%</c:formatCode>
                <c:ptCount val="10"/>
                <c:pt idx="0">
                  <c:v>1.0519271906351875</c:v>
                </c:pt>
                <c:pt idx="1">
                  <c:v>0.998786086685861</c:v>
                </c:pt>
                <c:pt idx="2">
                  <c:v>1.1126141088225645</c:v>
                </c:pt>
                <c:pt idx="3">
                  <c:v>0.98548460948545924</c:v>
                </c:pt>
                <c:pt idx="4">
                  <c:v>0.95394826354637918</c:v>
                </c:pt>
                <c:pt idx="5">
                  <c:v>0.91324974300173967</c:v>
                </c:pt>
                <c:pt idx="6">
                  <c:v>0.98954706078001486</c:v>
                </c:pt>
                <c:pt idx="7">
                  <c:v>0.98247071458301571</c:v>
                </c:pt>
                <c:pt idx="8">
                  <c:v>0.9618955625741118</c:v>
                </c:pt>
                <c:pt idx="9">
                  <c:v>1</c:v>
                </c:pt>
              </c:numCache>
            </c:numRef>
          </c:val>
          <c:smooth val="0"/>
        </c:ser>
        <c:dLbls>
          <c:showLegendKey val="0"/>
          <c:showVal val="0"/>
          <c:showCatName val="0"/>
          <c:showSerName val="0"/>
          <c:showPercent val="0"/>
          <c:showBubbleSize val="0"/>
        </c:dLbls>
        <c:marker val="1"/>
        <c:smooth val="0"/>
        <c:axId val="276406008"/>
        <c:axId val="276405616"/>
      </c:lineChart>
      <c:catAx>
        <c:axId val="276404832"/>
        <c:scaling>
          <c:orientation val="minMax"/>
        </c:scaling>
        <c:delete val="0"/>
        <c:axPos val="b"/>
        <c:numFmt formatCode="General" sourceLinked="1"/>
        <c:majorTickMark val="none"/>
        <c:minorTickMark val="none"/>
        <c:tickLblPos val="nextTo"/>
        <c:txPr>
          <a:bodyPr/>
          <a:lstStyle/>
          <a:p>
            <a:pPr>
              <a:defRPr sz="1100"/>
            </a:pPr>
            <a:endParaRPr lang="es-ES"/>
          </a:p>
        </c:txPr>
        <c:crossAx val="276405224"/>
        <c:crosses val="autoZero"/>
        <c:auto val="1"/>
        <c:lblAlgn val="ctr"/>
        <c:lblOffset val="100"/>
        <c:noMultiLvlLbl val="0"/>
      </c:catAx>
      <c:valAx>
        <c:axId val="276405224"/>
        <c:scaling>
          <c:orientation val="minMax"/>
        </c:scaling>
        <c:delete val="0"/>
        <c:axPos val="l"/>
        <c:numFmt formatCode="_(* #,##0_);_(* \(#,##0\);_(* &quot;-&quot;??_);_(@_)" sourceLinked="1"/>
        <c:majorTickMark val="none"/>
        <c:minorTickMark val="none"/>
        <c:tickLblPos val="nextTo"/>
        <c:crossAx val="276404832"/>
        <c:crosses val="autoZero"/>
        <c:crossBetween val="between"/>
        <c:dispUnits>
          <c:builtInUnit val="thousands"/>
          <c:dispUnitsLbl>
            <c:layout>
              <c:manualLayout>
                <c:xMode val="edge"/>
                <c:yMode val="edge"/>
                <c:x val="1.3924534887354073E-2"/>
                <c:y val="0.50857780680334375"/>
              </c:manualLayout>
            </c:layout>
            <c:txPr>
              <a:bodyPr/>
              <a:lstStyle/>
              <a:p>
                <a:pPr>
                  <a:defRPr sz="1200" b="1"/>
                </a:pPr>
                <a:endParaRPr lang="es-ES"/>
              </a:p>
            </c:txPr>
          </c:dispUnitsLbl>
        </c:dispUnits>
      </c:valAx>
      <c:valAx>
        <c:axId val="276405616"/>
        <c:scaling>
          <c:orientation val="minMax"/>
        </c:scaling>
        <c:delete val="0"/>
        <c:axPos val="r"/>
        <c:numFmt formatCode="0.0%" sourceLinked="1"/>
        <c:majorTickMark val="out"/>
        <c:minorTickMark val="none"/>
        <c:tickLblPos val="nextTo"/>
        <c:crossAx val="276406008"/>
        <c:crosses val="max"/>
        <c:crossBetween val="between"/>
        <c:majorUnit val="0.2"/>
      </c:valAx>
      <c:catAx>
        <c:axId val="276406008"/>
        <c:scaling>
          <c:orientation val="minMax"/>
        </c:scaling>
        <c:delete val="1"/>
        <c:axPos val="b"/>
        <c:numFmt formatCode="General" sourceLinked="1"/>
        <c:majorTickMark val="out"/>
        <c:minorTickMark val="none"/>
        <c:tickLblPos val="nextTo"/>
        <c:crossAx val="276405616"/>
        <c:crosses val="autoZero"/>
        <c:auto val="1"/>
        <c:lblAlgn val="ctr"/>
        <c:lblOffset val="100"/>
        <c:noMultiLvlLbl val="0"/>
      </c:catAx>
    </c:plotArea>
    <c:legend>
      <c:legendPos val="t"/>
      <c:layout>
        <c:manualLayout>
          <c:xMode val="edge"/>
          <c:yMode val="edge"/>
          <c:x val="0.12957068023885512"/>
          <c:y val="0.15047016792082915"/>
          <c:w val="0.74893707188414882"/>
          <c:h val="5.980533442810390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Familiar de Salud (SFS) del Régimen Subsidiado (RS)</a:t>
            </a:r>
          </a:p>
          <a:p>
            <a:pPr>
              <a:defRPr sz="1400"/>
            </a:pPr>
            <a:r>
              <a:rPr lang="es-DO" sz="1400"/>
              <a:t>Afiliación  Mensual  y No. de Cápitas Pagadas por Afiliados al  SFS del  RS</a:t>
            </a:r>
          </a:p>
        </c:rich>
      </c:tx>
      <c:overlay val="1"/>
    </c:title>
    <c:autoTitleDeleted val="0"/>
    <c:plotArea>
      <c:layout>
        <c:manualLayout>
          <c:layoutTarget val="inner"/>
          <c:xMode val="edge"/>
          <c:yMode val="edge"/>
          <c:x val="6.0869671058416251E-2"/>
          <c:y val="0.2643966803485136"/>
          <c:w val="0.84788337278933468"/>
          <c:h val="0.5142236302032358"/>
        </c:manualLayout>
      </c:layout>
      <c:barChart>
        <c:barDir val="col"/>
        <c:grouping val="clustered"/>
        <c:varyColors val="0"/>
        <c:ser>
          <c:idx val="0"/>
          <c:order val="0"/>
          <c:tx>
            <c:strRef>
              <c:f>'IV.2.1.2 Afil. RS mensual'!$D$3</c:f>
              <c:strCache>
                <c:ptCount val="1"/>
                <c:pt idx="0">
                  <c:v>Afiliados Totales</c:v>
                </c:pt>
              </c:strCache>
            </c:strRef>
          </c:tx>
          <c:invertIfNegative val="0"/>
          <c:dLbls>
            <c:dLbl>
              <c:idx val="12"/>
              <c:spPr/>
              <c:txPr>
                <a:bodyPr/>
                <a:lstStyle/>
                <a:p>
                  <a:pPr>
                    <a:defRPr sz="1051" b="0"/>
                  </a:pPr>
                  <a:endParaRPr lang="es-ES"/>
                </a:p>
              </c:txPr>
              <c:dLblPos val="ctr"/>
              <c:showLegendKey val="0"/>
              <c:showVal val="1"/>
              <c:showCatName val="0"/>
              <c:showSerName val="0"/>
              <c:showPercent val="0"/>
              <c:showBubbleSize val="0"/>
            </c:dLbl>
            <c:spPr>
              <a:noFill/>
              <a:ln>
                <a:noFill/>
              </a:ln>
              <a:effectLst/>
            </c:spPr>
            <c:txPr>
              <a:bodyPr/>
              <a:lstStyle/>
              <a:p>
                <a:pPr>
                  <a:defRPr sz="105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'IV.2.1.2 Afil. RS mensual'!$A$5:$A$41</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'IV.2.1.2 Afil. RS mensual'!$D$4:$D$41</c:f>
              <c:numCache>
                <c:formatCode>_(* #,##0_);_(* \(#,##0\);_(* "-"??_);_(@_)</c:formatCode>
                <c:ptCount val="13"/>
                <c:pt idx="0">
                  <c:v>2751753</c:v>
                </c:pt>
                <c:pt idx="1">
                  <c:v>2741484</c:v>
                </c:pt>
                <c:pt idx="2">
                  <c:v>2751541</c:v>
                </c:pt>
                <c:pt idx="3">
                  <c:v>2745683</c:v>
                </c:pt>
                <c:pt idx="4">
                  <c:v>2750900</c:v>
                </c:pt>
                <c:pt idx="5">
                  <c:v>2758167</c:v>
                </c:pt>
                <c:pt idx="6">
                  <c:v>2754819</c:v>
                </c:pt>
                <c:pt idx="7">
                  <c:v>2751045</c:v>
                </c:pt>
                <c:pt idx="8">
                  <c:v>2748393</c:v>
                </c:pt>
                <c:pt idx="9">
                  <c:v>2751945</c:v>
                </c:pt>
                <c:pt idx="10">
                  <c:v>2838755</c:v>
                </c:pt>
                <c:pt idx="11">
                  <c:v>2832009</c:v>
                </c:pt>
                <c:pt idx="12">
                  <c:v>3015646</c:v>
                </c:pt>
              </c:numCache>
            </c:numRef>
          </c:val>
        </c:ser>
        <c:ser>
          <c:idx val="1"/>
          <c:order val="1"/>
          <c:tx>
            <c:strRef>
              <c:f>'IV.2.1.2 Afil. RS mensual'!$I$3</c:f>
              <c:strCache>
                <c:ptCount val="1"/>
                <c:pt idx="0">
                  <c:v>No. de Cápitas Pagadas Total     </c:v>
                </c:pt>
              </c:strCache>
            </c:strRef>
          </c:tx>
          <c:spPr>
            <a:solidFill>
              <a:schemeClr val="accent3">
                <a:lumMod val="75000"/>
              </a:schemeClr>
            </a:solidFill>
          </c:spPr>
          <c:invertIfNegative val="0"/>
          <c:dLbls>
            <c:dLbl>
              <c:idx val="1"/>
              <c:layout>
                <c:manualLayout>
                  <c:x val="0"/>
                  <c:y val="0.2065838511042306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2979292400639438E-3"/>
                  <c:y val="0.2231755781601387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2979292400639017E-3"/>
                  <c:y val="0.214567037961531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2160144350775718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2131163071093312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3.4468938600959158E-3"/>
                  <c:y val="0.226281786827019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2192923311566813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2.2979292400640283E-3"/>
                  <c:y val="0.2176360199079611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4.5958584801279725E-3"/>
                  <c:y val="0.24046627856421535"/>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2250416369755789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2"/>
              <c:layout>
                <c:manualLayout>
                  <c:x val="-1.6851286426303483E-16"/>
                  <c:y val="0.27091940276116699"/>
                </c:manualLayout>
              </c:layout>
              <c:spPr/>
              <c:txPr>
                <a:bodyPr/>
                <a:lstStyle/>
                <a:p>
                  <a:pPr>
                    <a:defRPr sz="1050" b="1"/>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'IV.2.1.2 Afil. RS mensual'!$A$5:$A$41</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'IV.2.1.2 Afil. RS mensual'!$I$4:$I$41</c:f>
              <c:numCache>
                <c:formatCode>_(* #,##0_);_(* \(#,##0\);_(* "-"??_);_(@_)</c:formatCode>
                <c:ptCount val="13"/>
                <c:pt idx="0">
                  <c:v>2646899</c:v>
                </c:pt>
                <c:pt idx="1">
                  <c:v>2751753</c:v>
                </c:pt>
                <c:pt idx="2">
                  <c:v>2741484</c:v>
                </c:pt>
                <c:pt idx="3">
                  <c:v>2751541</c:v>
                </c:pt>
                <c:pt idx="4">
                  <c:v>2745683</c:v>
                </c:pt>
                <c:pt idx="5">
                  <c:v>2750900</c:v>
                </c:pt>
                <c:pt idx="6">
                  <c:v>2758167</c:v>
                </c:pt>
                <c:pt idx="7">
                  <c:v>2754819</c:v>
                </c:pt>
                <c:pt idx="8">
                  <c:v>2751045</c:v>
                </c:pt>
                <c:pt idx="9">
                  <c:v>2748393</c:v>
                </c:pt>
                <c:pt idx="10">
                  <c:v>2751945</c:v>
                </c:pt>
                <c:pt idx="11">
                  <c:v>2848259</c:v>
                </c:pt>
                <c:pt idx="12">
                  <c:v>3015646</c:v>
                </c:pt>
              </c:numCache>
            </c:numRef>
          </c:val>
        </c:ser>
        <c:dLbls>
          <c:showLegendKey val="0"/>
          <c:showVal val="0"/>
          <c:showCatName val="0"/>
          <c:showSerName val="0"/>
          <c:showPercent val="0"/>
          <c:showBubbleSize val="0"/>
        </c:dLbls>
        <c:gapWidth val="17"/>
        <c:overlap val="-6"/>
        <c:axId val="276406792"/>
        <c:axId val="276407184"/>
      </c:barChart>
      <c:lineChart>
        <c:grouping val="standard"/>
        <c:varyColors val="0"/>
        <c:ser>
          <c:idx val="2"/>
          <c:order val="2"/>
          <c:tx>
            <c:strRef>
              <c:f>'IV.2.1.2 Afil. RS mensual'!$L$3</c:f>
              <c:strCache>
                <c:ptCount val="1"/>
                <c:pt idx="0">
                  <c:v>% No. de Cápitas Pagadas / Afiliación </c:v>
                </c:pt>
              </c:strCache>
            </c:strRef>
          </c:tx>
          <c:spPr>
            <a:ln w="31750">
              <a:solidFill>
                <a:schemeClr val="accent6">
                  <a:lumMod val="75000"/>
                </a:schemeClr>
              </a:solidFill>
              <a:prstDash val="solid"/>
            </a:ln>
          </c:spPr>
          <c:marker>
            <c:symbol val="circle"/>
            <c:size val="5"/>
            <c:spPr>
              <a:solidFill>
                <a:schemeClr val="accent6">
                  <a:lumMod val="75000"/>
                </a:schemeClr>
              </a:solidFill>
              <a:ln>
                <a:prstDash val="solid"/>
              </a:ln>
            </c:spPr>
          </c:marker>
          <c:dLbls>
            <c:dLbl>
              <c:idx val="12"/>
              <c:spPr/>
              <c:txPr>
                <a:bodyPr/>
                <a:lstStyle/>
                <a:p>
                  <a:pPr>
                    <a:defRPr sz="1050" b="1"/>
                  </a:pPr>
                  <a:endParaRPr lang="es-ES"/>
                </a:p>
              </c:txPr>
              <c:dLblPos val="t"/>
              <c:showLegendKey val="0"/>
              <c:showVal val="1"/>
              <c:showCatName val="0"/>
              <c:showSerName val="0"/>
              <c:showPercent val="0"/>
              <c:showBubbleSize val="0"/>
            </c:dLbl>
            <c:spPr>
              <a:noFill/>
              <a:ln>
                <a:noFill/>
              </a:ln>
              <a:effectLst/>
            </c:spPr>
            <c:txPr>
              <a:bodyPr/>
              <a:lstStyle/>
              <a:p>
                <a:pPr>
                  <a:defRPr sz="105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'IV.2.1.2 Afil. RS mensual'!$A$4:$A$41</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'IV.2.1.2 Afil. RS mensual'!$L$4:$L$41</c:f>
              <c:numCache>
                <c:formatCode>0.0%</c:formatCode>
                <c:ptCount val="13"/>
                <c:pt idx="0">
                  <c:v>0.9618955625741118</c:v>
                </c:pt>
                <c:pt idx="1">
                  <c:v>1.0037457814818544</c:v>
                </c:pt>
                <c:pt idx="2">
                  <c:v>0.99634495724395888</c:v>
                </c:pt>
                <c:pt idx="3">
                  <c:v>1.0021335310740533</c:v>
                </c:pt>
                <c:pt idx="4">
                  <c:v>0.99810352975389871</c:v>
                </c:pt>
                <c:pt idx="5">
                  <c:v>0.99736527918722828</c:v>
                </c:pt>
                <c:pt idx="6">
                  <c:v>1.0012153248543734</c:v>
                </c:pt>
                <c:pt idx="7">
                  <c:v>1.0013718423362759</c:v>
                </c:pt>
                <c:pt idx="8">
                  <c:v>1.0009649275049093</c:v>
                </c:pt>
                <c:pt idx="9">
                  <c:v>0.99870927652987251</c:v>
                </c:pt>
                <c:pt idx="10">
                  <c:v>0.96941969278785944</c:v>
                </c:pt>
                <c:pt idx="11">
                  <c:v>1.005737976115189</c:v>
                </c:pt>
                <c:pt idx="12">
                  <c:v>1</c:v>
                </c:pt>
              </c:numCache>
            </c:numRef>
          </c:val>
          <c:smooth val="0"/>
        </c:ser>
        <c:dLbls>
          <c:showLegendKey val="0"/>
          <c:showVal val="0"/>
          <c:showCatName val="0"/>
          <c:showSerName val="0"/>
          <c:showPercent val="0"/>
          <c:showBubbleSize val="0"/>
        </c:dLbls>
        <c:marker val="1"/>
        <c:smooth val="0"/>
        <c:axId val="276407968"/>
        <c:axId val="276407576"/>
      </c:lineChart>
      <c:catAx>
        <c:axId val="276406792"/>
        <c:scaling>
          <c:orientation val="minMax"/>
        </c:scaling>
        <c:delete val="0"/>
        <c:axPos val="b"/>
        <c:numFmt formatCode="mmm\-yy" sourceLinked="0"/>
        <c:majorTickMark val="none"/>
        <c:minorTickMark val="none"/>
        <c:tickLblPos val="nextTo"/>
        <c:crossAx val="276407184"/>
        <c:crosses val="autoZero"/>
        <c:auto val="1"/>
        <c:lblAlgn val="ctr"/>
        <c:lblOffset val="100"/>
        <c:noMultiLvlLbl val="1"/>
      </c:catAx>
      <c:valAx>
        <c:axId val="276407184"/>
        <c:scaling>
          <c:orientation val="minMax"/>
        </c:scaling>
        <c:delete val="0"/>
        <c:axPos val="l"/>
        <c:numFmt formatCode="_(* #,##0_);_(* \(#,##0\);_(* &quot;-&quot;??_);_(@_)" sourceLinked="1"/>
        <c:majorTickMark val="none"/>
        <c:minorTickMark val="none"/>
        <c:tickLblPos val="nextTo"/>
        <c:crossAx val="276406792"/>
        <c:crosses val="autoZero"/>
        <c:crossBetween val="between"/>
        <c:dispUnits>
          <c:builtInUnit val="thousands"/>
          <c:dispUnitsLbl>
            <c:layout>
              <c:manualLayout>
                <c:xMode val="edge"/>
                <c:yMode val="edge"/>
                <c:x val="6.918921697834843E-4"/>
                <c:y val="0.48148727478150738"/>
              </c:manualLayout>
            </c:layout>
          </c:dispUnitsLbl>
        </c:dispUnits>
      </c:valAx>
      <c:valAx>
        <c:axId val="276407576"/>
        <c:scaling>
          <c:orientation val="minMax"/>
        </c:scaling>
        <c:delete val="0"/>
        <c:axPos val="r"/>
        <c:numFmt formatCode="0.0%" sourceLinked="1"/>
        <c:majorTickMark val="out"/>
        <c:minorTickMark val="none"/>
        <c:tickLblPos val="nextTo"/>
        <c:crossAx val="276407968"/>
        <c:crosses val="max"/>
        <c:crossBetween val="between"/>
      </c:valAx>
      <c:catAx>
        <c:axId val="276407968"/>
        <c:scaling>
          <c:orientation val="minMax"/>
        </c:scaling>
        <c:delete val="1"/>
        <c:axPos val="b"/>
        <c:numFmt formatCode="General" sourceLinked="1"/>
        <c:majorTickMark val="out"/>
        <c:minorTickMark val="none"/>
        <c:tickLblPos val="nextTo"/>
        <c:crossAx val="276407576"/>
        <c:crosses val="autoZero"/>
        <c:auto val="1"/>
        <c:lblAlgn val="ctr"/>
        <c:lblOffset val="100"/>
        <c:noMultiLvlLbl val="0"/>
      </c:catAx>
    </c:plotArea>
    <c:legend>
      <c:legendPos val="t"/>
      <c:layout>
        <c:manualLayout>
          <c:xMode val="edge"/>
          <c:yMode val="edge"/>
          <c:x val="0.13587270490451198"/>
          <c:y val="0.11098323439356694"/>
          <c:w val="0.75469641294838141"/>
          <c:h val="5.529358126008897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SDSS Definiciones (4)'!$I$2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(4)'!$I$3:$I$11</c:f>
              <c:numCache>
                <c:formatCode>_([$€-2]* #,##0_);_([$€-2]* \(#,##0\);_([$€-2]* "-"??_)</c:formatCode>
                <c:ptCount val="9"/>
              </c:numCache>
            </c:numRef>
          </c:val>
        </c:ser>
        <c:ser>
          <c:idx val="1"/>
          <c:order val="1"/>
          <c:tx>
            <c:strRef>
              <c:f>' SDSS Definiciones (4)'!$J$2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(4)'!$J$3:$J$11</c:f>
              <c:numCache>
                <c:formatCode>_([$€-2]* #,##0_);_([$€-2]* \(#,##0\);_([$€-2]* "-"??_)</c:formatCode>
                <c:ptCount val="9"/>
              </c:numCache>
            </c:numRef>
          </c:val>
        </c:ser>
        <c:ser>
          <c:idx val="2"/>
          <c:order val="2"/>
          <c:tx>
            <c:strRef>
              <c:f>' SDSS Definiciones (4)'!$K$2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(4)'!$K$3:$K$11</c:f>
              <c:numCache>
                <c:formatCode>_([$€-2]* #,##0_);_([$€-2]* \(#,##0\);_([$€-2]* "-"??_)</c:formatCode>
                <c:ptCount val="9"/>
              </c:numCache>
            </c:numRef>
          </c:val>
        </c:ser>
        <c:dLbls>
          <c:showLegendKey val="0"/>
          <c:showVal val="0"/>
          <c:showCatName val="0"/>
          <c:showSerName val="0"/>
          <c:showPercent val="0"/>
          <c:showBubbleSize val="0"/>
        </c:dLbls>
        <c:gapWidth val="22"/>
        <c:shape val="cylinder"/>
        <c:axId val="240551208"/>
        <c:axId val="240550816"/>
        <c:axId val="0"/>
      </c:bar3DChart>
      <c:catAx>
        <c:axId val="240551208"/>
        <c:scaling>
          <c:orientation val="minMax"/>
        </c:scaling>
        <c:delete val="0"/>
        <c:axPos val="b"/>
        <c:numFmt formatCode="_([$€-2]* #,##0_);_([$€-2]* \(#,##0\);_([$€-2]* &quot;-&quot;??_)" sourceLinked="1"/>
        <c:majorTickMark val="none"/>
        <c:minorTickMark val="none"/>
        <c:tickLblPos val="nextTo"/>
        <c:crossAx val="240550816"/>
        <c:crosses val="autoZero"/>
        <c:auto val="1"/>
        <c:lblAlgn val="ctr"/>
        <c:lblOffset val="100"/>
        <c:noMultiLvlLbl val="0"/>
      </c:catAx>
      <c:valAx>
        <c:axId val="240550816"/>
        <c:scaling>
          <c:orientation val="minMax"/>
        </c:scaling>
        <c:delete val="0"/>
        <c:axPos val="l"/>
        <c:numFmt formatCode="_([$€-2]* #,##0_);_([$€-2]* \(#,##0\);_([$€-2]* &quot;-&quot;??_)" sourceLinked="1"/>
        <c:majorTickMark val="none"/>
        <c:minorTickMark val="none"/>
        <c:tickLblPos val="none"/>
        <c:spPr>
          <a:ln w="9525">
            <a:noFill/>
          </a:ln>
        </c:spPr>
        <c:crossAx val="240551208"/>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22254339148135E-2"/>
          <c:y val="9.8833767526822339E-2"/>
          <c:w val="0.93059344777525566"/>
          <c:h val="0.80719196940993732"/>
        </c:manualLayout>
      </c:layout>
      <c:lineChart>
        <c:grouping val="standard"/>
        <c:varyColors val="0"/>
        <c:ser>
          <c:idx val="0"/>
          <c:order val="0"/>
          <c:tx>
            <c:strRef>
              <c:f>'IV.2.1.3 Afil. SFS RS Vs pob.'!$F$4</c:f>
              <c:strCache>
                <c:ptCount val="1"/>
                <c:pt idx="0">
                  <c:v>%  Afiliación / Población Pobre</c:v>
                </c:pt>
              </c:strCache>
            </c:strRef>
          </c:tx>
          <c:spPr>
            <a:ln w="38100">
              <a:solidFill>
                <a:srgbClr val="0070C0"/>
              </a:solidFill>
            </a:ln>
          </c:spPr>
          <c:marker>
            <c:spPr>
              <a:ln w="38100">
                <a:solidFill>
                  <a:srgbClr val="0070C0"/>
                </a:solidFill>
              </a:ln>
            </c:spPr>
          </c:marker>
          <c:dLbls>
            <c:dLbl>
              <c:idx val="0"/>
              <c:layout>
                <c:manualLayout>
                  <c:x val="-3.2765958178722472E-2"/>
                  <c:y val="-3.2829846055544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7801419060734217E-2"/>
                  <c:y val="-3.2829846055544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0709220767503676E-2"/>
                  <c:y val="-3.2829846055544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0921986059574156E-2"/>
                  <c:y val="2.93293060564151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7682420732991618E-2"/>
                  <c:y val="-3.51545840846012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1773089184785927E-2"/>
                  <c:y val="-3.31740902569402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8082965039011986E-2"/>
                  <c:y val="-3.3432214535178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6808511237136567E-2"/>
                  <c:y val="-4.622604106172696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6879433001160061E-2"/>
                  <c:y val="-4.646602126460752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6582426072537742E-2"/>
                  <c:y val="-4.4844578509439847E-2"/>
                </c:manualLayout>
              </c:layout>
              <c:spPr/>
              <c:txPr>
                <a:bodyPr/>
                <a:lstStyle/>
                <a:p>
                  <a:pPr>
                    <a:defRPr sz="1800" b="1">
                      <a:solidFill>
                        <a:srgbClr val="0033CC"/>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2.0483461585795795E-2"/>
                  <c:y val="-5.2705879748976163E-2"/>
                </c:manualLayout>
              </c:layout>
              <c:spPr/>
              <c:txPr>
                <a:bodyPr/>
                <a:lstStyle/>
                <a:p>
                  <a:pPr>
                    <a:defRPr sz="1800" b="1">
                      <a:solidFill>
                        <a:srgbClr val="0033CC"/>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rgbClr val="0033CC"/>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'IV.2.1.3 Afil. SFS RS Vs pob.'!$A$5:$A$15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'IV.2.1.3 Afil. SFS RS Vs pob.'!$F$5:$F$15</c:f>
              <c:numCache>
                <c:formatCode>0.0%</c:formatCode>
                <c:ptCount val="10"/>
                <c:pt idx="0">
                  <c:v>6.0103949805748257E-2</c:v>
                </c:pt>
                <c:pt idx="1">
                  <c:v>0.12815738375709379</c:v>
                </c:pt>
                <c:pt idx="2">
                  <c:v>0.24308149747863442</c:v>
                </c:pt>
                <c:pt idx="3">
                  <c:v>0.30305493394093769</c:v>
                </c:pt>
                <c:pt idx="4">
                  <c:v>0.35740481647814226</c:v>
                </c:pt>
                <c:pt idx="5">
                  <c:v>0.51313907076755061</c:v>
                </c:pt>
                <c:pt idx="6">
                  <c:v>0.52125575662594736</c:v>
                </c:pt>
                <c:pt idx="7">
                  <c:v>0.5898187425609005</c:v>
                </c:pt>
                <c:pt idx="8">
                  <c:v>0.68287369741974924</c:v>
                </c:pt>
                <c:pt idx="9">
                  <c:v>0.74806795965249506</c:v>
                </c:pt>
              </c:numCache>
            </c:numRef>
          </c:val>
          <c:smooth val="0"/>
        </c:ser>
        <c:ser>
          <c:idx val="1"/>
          <c:order val="1"/>
          <c:tx>
            <c:strRef>
              <c:f>'IV.2.1.3 Afil. SFS RS Vs pob.'!$G$4</c:f>
              <c:strCache>
                <c:ptCount val="1"/>
                <c:pt idx="0">
                  <c:v>% No. de Cápitas Pagadas/ Población Pobre</c:v>
                </c:pt>
              </c:strCache>
            </c:strRef>
          </c:tx>
          <c:spPr>
            <a:ln w="3810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0"/>
                  <c:y val="7.7246696601282203E-3"/>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2200435869377522E-2"/>
                  <c:y val="3.50025615584651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834434321267098E-2"/>
                  <c:y val="4.13213426457332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4656168260982374E-2"/>
                  <c:y val="-3.31740902569402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598220513591918E-2"/>
                  <c:y val="3.69870983325087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6879433001160061E-2"/>
                  <c:y val="2.89675112254808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922466630326875E-2"/>
                  <c:y val="3.68888610983203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8015611114148766E-2"/>
                  <c:y val="3.5006916369083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886524864835536E-2"/>
                  <c:y val="3.801765376195157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00585855779217E-2"/>
                  <c:y val="3.8573708098636805E-2"/>
                </c:manualLayout>
              </c:layout>
              <c:spPr/>
              <c:txPr>
                <a:bodyPr/>
                <a:lstStyle/>
                <a:p>
                  <a:pPr>
                    <a:defRPr sz="20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4249364581423162E-2"/>
                  <c:y val="5.050980142610214E-2"/>
                </c:manualLayout>
              </c:layou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'IV.2.1.3 Afil. SFS RS Vs pob.'!$A$5:$A$15</c:f>
              <c:strCache>
                <c:ptCount val="10"/>
                <c:pt idx="0">
                  <c:v>Dic. 2005</c:v>
                </c:pt>
                <c:pt idx="1">
                  <c:v>Dic. 2006</c:v>
                </c:pt>
                <c:pt idx="2">
                  <c:v>Dic. 2007</c:v>
                </c:pt>
                <c:pt idx="3">
                  <c:v>Dic. 2008</c:v>
                </c:pt>
                <c:pt idx="4">
                  <c:v>Dic. 2009</c:v>
                </c:pt>
                <c:pt idx="5">
                  <c:v>Dic. 2010</c:v>
                </c:pt>
                <c:pt idx="6">
                  <c:v>Dic. 2011</c:v>
                </c:pt>
                <c:pt idx="7">
                  <c:v>Dic. 2012</c:v>
                </c:pt>
                <c:pt idx="8">
                  <c:v>Dic. 2013</c:v>
                </c:pt>
                <c:pt idx="9">
                  <c:v>Dic. 2014</c:v>
                </c:pt>
              </c:strCache>
            </c:strRef>
          </c:cat>
          <c:val>
            <c:numRef>
              <c:f>'IV.2.1.3 Afil. SFS RS Vs pob.'!$G$5:$G$15</c:f>
              <c:numCache>
                <c:formatCode>0.0%</c:formatCode>
                <c:ptCount val="10"/>
                <c:pt idx="0">
                  <c:v>6.2045407646571286E-2</c:v>
                </c:pt>
                <c:pt idx="1">
                  <c:v>0.12803518802861236</c:v>
                </c:pt>
                <c:pt idx="2">
                  <c:v>0.2704559036884453</c:v>
                </c:pt>
                <c:pt idx="3">
                  <c:v>0.29865597322742665</c:v>
                </c:pt>
                <c:pt idx="4">
                  <c:v>0.34094570406243613</c:v>
                </c:pt>
                <c:pt idx="5">
                  <c:v>0.46862412450261709</c:v>
                </c:pt>
                <c:pt idx="6">
                  <c:v>0.51580710188386891</c:v>
                </c:pt>
                <c:pt idx="7">
                  <c:v>0.5794796414782637</c:v>
                </c:pt>
                <c:pt idx="8">
                  <c:v>0.65685317934663345</c:v>
                </c:pt>
                <c:pt idx="9">
                  <c:v>0.74806795965249506</c:v>
                </c:pt>
              </c:numCache>
            </c:numRef>
          </c:val>
          <c:smooth val="0"/>
        </c:ser>
        <c:dLbls>
          <c:showLegendKey val="0"/>
          <c:showVal val="0"/>
          <c:showCatName val="0"/>
          <c:showSerName val="0"/>
          <c:showPercent val="0"/>
          <c:showBubbleSize val="0"/>
        </c:dLbls>
        <c:marker val="1"/>
        <c:smooth val="0"/>
        <c:axId val="276408752"/>
        <c:axId val="276409144"/>
      </c:lineChart>
      <c:catAx>
        <c:axId val="276408752"/>
        <c:scaling>
          <c:orientation val="minMax"/>
        </c:scaling>
        <c:delete val="0"/>
        <c:axPos val="b"/>
        <c:numFmt formatCode="General" sourceLinked="1"/>
        <c:majorTickMark val="none"/>
        <c:minorTickMark val="none"/>
        <c:tickLblPos val="nextTo"/>
        <c:txPr>
          <a:bodyPr/>
          <a:lstStyle/>
          <a:p>
            <a:pPr>
              <a:defRPr sz="1600"/>
            </a:pPr>
            <a:endParaRPr lang="es-ES"/>
          </a:p>
        </c:txPr>
        <c:crossAx val="276409144"/>
        <c:crosses val="autoZero"/>
        <c:auto val="1"/>
        <c:lblAlgn val="ctr"/>
        <c:lblOffset val="100"/>
        <c:noMultiLvlLbl val="0"/>
      </c:catAx>
      <c:valAx>
        <c:axId val="276409144"/>
        <c:scaling>
          <c:orientation val="minMax"/>
          <c:max val="1"/>
        </c:scaling>
        <c:delete val="0"/>
        <c:axPos val="l"/>
        <c:numFmt formatCode="0.0%" sourceLinked="1"/>
        <c:majorTickMark val="none"/>
        <c:minorTickMark val="none"/>
        <c:tickLblPos val="nextTo"/>
        <c:spPr>
          <a:ln w="9525">
            <a:noFill/>
          </a:ln>
        </c:spPr>
        <c:txPr>
          <a:bodyPr/>
          <a:lstStyle/>
          <a:p>
            <a:pPr>
              <a:defRPr sz="1400"/>
            </a:pPr>
            <a:endParaRPr lang="es-ES"/>
          </a:p>
        </c:txPr>
        <c:crossAx val="276408752"/>
        <c:crosses val="autoZero"/>
        <c:crossBetween val="between"/>
      </c:valAx>
    </c:plotArea>
    <c:legend>
      <c:legendPos val="t"/>
      <c:layout>
        <c:manualLayout>
          <c:xMode val="edge"/>
          <c:yMode val="edge"/>
          <c:x val="0.16451845079515404"/>
          <c:y val="0.14867993087318443"/>
          <c:w val="0.72659492824201755"/>
          <c:h val="3.959574559906468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16156999616885"/>
          <c:y val="0.23938088288758325"/>
          <c:w val="0.75342127273693171"/>
          <c:h val="0.46639815146008201"/>
        </c:manualLayout>
      </c:layout>
      <c:lineChart>
        <c:grouping val="standard"/>
        <c:varyColors val="0"/>
        <c:ser>
          <c:idx val="0"/>
          <c:order val="0"/>
          <c:tx>
            <c:strRef>
              <c:f>'IV.2.1.4 Afil. SFS Rs Vs pob 3'!$C$3</c:f>
              <c:strCache>
                <c:ptCount val="1"/>
                <c:pt idx="0">
                  <c:v>Cobertura Efectiva</c:v>
                </c:pt>
              </c:strCache>
            </c:strRef>
          </c:tx>
          <c:spPr>
            <a:ln w="57150"/>
          </c:spPr>
          <c:marker>
            <c:spPr>
              <a:solidFill>
                <a:srgbClr val="002060"/>
              </a:solidFill>
              <a:ln w="57150"/>
            </c:spPr>
          </c:marker>
          <c:cat>
            <c:strRef>
              <c:f>'IV.2.1.4 Afil. SFS Rs Vs pob 3'!$A$4:$A$11</c:f>
              <c:strCache>
                <c:ptCount val="8"/>
                <c:pt idx="0">
                  <c:v>Dic. 2004</c:v>
                </c:pt>
                <c:pt idx="1">
                  <c:v>Dic. 2005</c:v>
                </c:pt>
                <c:pt idx="2">
                  <c:v>Dic. 2006</c:v>
                </c:pt>
                <c:pt idx="3">
                  <c:v>Dic. 2007</c:v>
                </c:pt>
                <c:pt idx="4">
                  <c:v>Dic. 2008</c:v>
                </c:pt>
                <c:pt idx="5">
                  <c:v>Dic. 2009</c:v>
                </c:pt>
                <c:pt idx="6">
                  <c:v>Dic. 2010</c:v>
                </c:pt>
                <c:pt idx="7">
                  <c:v>Dic. 2011</c:v>
                </c:pt>
              </c:strCache>
            </c:strRef>
          </c:cat>
          <c:val>
            <c:numRef>
              <c:f>'IV.2.1.4 Afil. SFS Rs Vs pob 3'!$C$4:$C$11</c:f>
              <c:numCache>
                <c:formatCode>_(* #,##0_);_(* \(#,##0\);_(* "-"??_);_(@_)</c:formatCode>
                <c:ptCount val="8"/>
                <c:pt idx="0">
                  <c:v>65017</c:v>
                </c:pt>
                <c:pt idx="1">
                  <c:v>266531</c:v>
                </c:pt>
                <c:pt idx="2">
                  <c:v>513416</c:v>
                </c:pt>
                <c:pt idx="3">
                  <c:v>1081936</c:v>
                </c:pt>
                <c:pt idx="4">
                  <c:v>1224643</c:v>
                </c:pt>
                <c:pt idx="5">
                  <c:v>1346166</c:v>
                </c:pt>
                <c:pt idx="6">
                  <c:v>1847833</c:v>
                </c:pt>
                <c:pt idx="7">
                  <c:v>1996335</c:v>
                </c:pt>
              </c:numCache>
            </c:numRef>
          </c:val>
          <c:smooth val="0"/>
        </c:ser>
        <c:ser>
          <c:idx val="1"/>
          <c:order val="1"/>
          <c:tx>
            <c:strRef>
              <c:f>'IV.2.1.4 Afil. SFS Rs Vs pob 3'!$D$3</c:f>
              <c:strCache>
                <c:ptCount val="1"/>
                <c:pt idx="0">
                  <c:v>Población Pobre del País</c:v>
                </c:pt>
              </c:strCache>
            </c:strRef>
          </c:tx>
          <c:spPr>
            <a:ln w="57150">
              <a:solidFill>
                <a:schemeClr val="accent3"/>
              </a:solidFill>
            </a:ln>
          </c:spPr>
          <c:marker>
            <c:spPr>
              <a:solidFill>
                <a:srgbClr val="00B050"/>
              </a:solidFill>
              <a:ln w="57150">
                <a:solidFill>
                  <a:schemeClr val="accent3"/>
                </a:solidFill>
              </a:ln>
            </c:spPr>
          </c:marker>
          <c:cat>
            <c:strRef>
              <c:f>'IV.2.1.4 Afil. SFS Rs Vs pob 3'!$A$4:$A$11</c:f>
              <c:strCache>
                <c:ptCount val="8"/>
                <c:pt idx="0">
                  <c:v>Dic. 2004</c:v>
                </c:pt>
                <c:pt idx="1">
                  <c:v>Dic. 2005</c:v>
                </c:pt>
                <c:pt idx="2">
                  <c:v>Dic. 2006</c:v>
                </c:pt>
                <c:pt idx="3">
                  <c:v>Dic. 2007</c:v>
                </c:pt>
                <c:pt idx="4">
                  <c:v>Dic. 2008</c:v>
                </c:pt>
                <c:pt idx="5">
                  <c:v>Dic. 2009</c:v>
                </c:pt>
                <c:pt idx="6">
                  <c:v>Dic. 2010</c:v>
                </c:pt>
                <c:pt idx="7">
                  <c:v>Dic. 2011</c:v>
                </c:pt>
              </c:strCache>
            </c:strRef>
          </c:cat>
          <c:val>
            <c:numRef>
              <c:f>'IV.2.1.4 Afil. SFS Rs Vs pob 3'!$D$4:$D$11</c:f>
              <c:numCache>
                <c:formatCode>_(* #,##0_);_(* \(#,##0\);_(* "-"??_);_(@_)</c:formatCode>
                <c:ptCount val="8"/>
                <c:pt idx="0">
                  <c:v>3807661.18</c:v>
                </c:pt>
                <c:pt idx="1">
                  <c:v>3632098.3200000003</c:v>
                </c:pt>
                <c:pt idx="2">
                  <c:v>3356753.96</c:v>
                </c:pt>
                <c:pt idx="3">
                  <c:v>3284744.8699999996</c:v>
                </c:pt>
                <c:pt idx="4">
                  <c:v>3386171.0649999999</c:v>
                </c:pt>
                <c:pt idx="5">
                  <c:v>3141782.4250000003</c:v>
                </c:pt>
                <c:pt idx="6">
                  <c:v>3127941.96</c:v>
                </c:pt>
                <c:pt idx="7">
                  <c:v>3324039.8400000003</c:v>
                </c:pt>
              </c:numCache>
            </c:numRef>
          </c:val>
          <c:smooth val="0"/>
        </c:ser>
        <c:dLbls>
          <c:showLegendKey val="0"/>
          <c:showVal val="0"/>
          <c:showCatName val="0"/>
          <c:showSerName val="0"/>
          <c:showPercent val="0"/>
          <c:showBubbleSize val="0"/>
        </c:dLbls>
        <c:marker val="1"/>
        <c:smooth val="0"/>
        <c:axId val="276409928"/>
        <c:axId val="276410320"/>
      </c:lineChart>
      <c:lineChart>
        <c:grouping val="standard"/>
        <c:varyColors val="0"/>
        <c:ser>
          <c:idx val="2"/>
          <c:order val="2"/>
          <c:tx>
            <c:strRef>
              <c:f>'IV.2.1.4 Afil. SFS Rs Vs pob 3'!$E$3</c:f>
              <c:strCache>
                <c:ptCount val="1"/>
                <c:pt idx="0">
                  <c:v>%  Afiliación Definitiva / Población Pobre</c:v>
                </c:pt>
              </c:strCache>
            </c:strRef>
          </c:tx>
          <c:dPt>
            <c:idx val="1"/>
            <c:marker>
              <c:spPr>
                <a:ln>
                  <a:solidFill>
                    <a:srgbClr val="FFC000"/>
                  </a:solidFill>
                </a:ln>
              </c:spPr>
            </c:marker>
            <c:bubble3D val="0"/>
            <c:spPr>
              <a:ln>
                <a:solidFill>
                  <a:srgbClr val="FFC000"/>
                </a:solidFill>
              </a:ln>
            </c:spPr>
          </c:dPt>
          <c:dPt>
            <c:idx val="2"/>
            <c:marker>
              <c:spPr>
                <a:ln>
                  <a:solidFill>
                    <a:srgbClr val="FFC000"/>
                  </a:solidFill>
                </a:ln>
              </c:spPr>
            </c:marker>
            <c:bubble3D val="0"/>
            <c:spPr>
              <a:ln>
                <a:solidFill>
                  <a:srgbClr val="FFC000"/>
                </a:solidFill>
              </a:ln>
            </c:spPr>
          </c:dPt>
          <c:dPt>
            <c:idx val="3"/>
            <c:marker>
              <c:spPr>
                <a:ln>
                  <a:solidFill>
                    <a:srgbClr val="FFC000"/>
                  </a:solidFill>
                </a:ln>
              </c:spPr>
            </c:marker>
            <c:bubble3D val="0"/>
            <c:spPr>
              <a:ln>
                <a:solidFill>
                  <a:srgbClr val="FFC000"/>
                </a:solidFill>
              </a:ln>
            </c:spPr>
          </c:dPt>
          <c:dPt>
            <c:idx val="4"/>
            <c:marker>
              <c:spPr>
                <a:ln>
                  <a:solidFill>
                    <a:srgbClr val="FFC000"/>
                  </a:solidFill>
                </a:ln>
              </c:spPr>
            </c:marker>
            <c:bubble3D val="0"/>
            <c:spPr>
              <a:ln>
                <a:solidFill>
                  <a:srgbClr val="FFC000"/>
                </a:solidFill>
              </a:ln>
            </c:spPr>
          </c:dPt>
          <c:dPt>
            <c:idx val="5"/>
            <c:marker>
              <c:spPr>
                <a:ln>
                  <a:solidFill>
                    <a:srgbClr val="FFC000"/>
                  </a:solidFill>
                </a:ln>
              </c:spPr>
            </c:marker>
            <c:bubble3D val="0"/>
            <c:spPr>
              <a:ln>
                <a:solidFill>
                  <a:srgbClr val="FFC000"/>
                </a:solidFill>
              </a:ln>
            </c:spPr>
          </c:dPt>
          <c:dPt>
            <c:idx val="6"/>
            <c:marker>
              <c:spPr>
                <a:ln>
                  <a:solidFill>
                    <a:srgbClr val="FFC000"/>
                  </a:solidFill>
                </a:ln>
              </c:spPr>
            </c:marker>
            <c:bubble3D val="0"/>
            <c:spPr>
              <a:ln>
                <a:solidFill>
                  <a:srgbClr val="FFC000"/>
                </a:solidFill>
              </a:ln>
            </c:spPr>
          </c:dPt>
          <c:dPt>
            <c:idx val="7"/>
            <c:marker>
              <c:spPr>
                <a:ln>
                  <a:solidFill>
                    <a:srgbClr val="FFC000"/>
                  </a:solidFill>
                </a:ln>
              </c:spPr>
            </c:marker>
            <c:bubble3D val="0"/>
            <c:spPr>
              <a:ln>
                <a:solidFill>
                  <a:srgbClr val="FFC000"/>
                </a:solidFill>
              </a:ln>
            </c:spPr>
          </c:dPt>
          <c:dLbls>
            <c:dLbl>
              <c:idx val="0"/>
              <c:layout>
                <c:manualLayout>
                  <c:x val="-3.8976857490864811E-2"/>
                  <c:y val="-4.26179502108247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4.3848964677222886E-2"/>
                  <c:y val="-3.34855323085050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0089321965083334E-2"/>
                  <c:y val="-3.04413930077318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8465286236297334E-2"/>
                  <c:y val="-3.34860117005209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272526726553614E-2"/>
                  <c:y val="4.76329444812921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571866224793751E-2"/>
                  <c:y val="-4.382255862042058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4104750304506701E-2"/>
                  <c:y val="-4.56620895115978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8976857490864811E-2"/>
                  <c:y val="-5.78386467146905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976857490864811E-2"/>
                  <c:y val="-2.7397253706958686E-2"/>
                </c:manualLayout>
              </c:layout>
              <c:spPr/>
              <c:txPr>
                <a:bodyPr/>
                <a:lstStyle/>
                <a:p>
                  <a:pPr>
                    <a:defRPr lang="en-US" sz="12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1987163959566411E-2"/>
                  <c:y val="-3.8242328385669412E-2"/>
                </c:manualLayout>
              </c:layout>
              <c:spPr>
                <a:ln>
                  <a:noFill/>
                </a:ln>
              </c:spPr>
              <c:txPr>
                <a:bodyPr/>
                <a:lstStyle/>
                <a:p>
                  <a:pPr>
                    <a:defRPr lang="en-US" sz="12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6159402736900936E-2"/>
                  <c:y val="-3.39123764395160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4768656477789449E-2"/>
                  <c:y val="-3.699531975219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2.7758008450840851E-2"/>
                  <c:y val="-4.9327093002932636E-2"/>
                </c:manualLayout>
              </c:layout>
              <c:spPr/>
              <c:txPr>
                <a:bodyPr/>
                <a:lstStyle/>
                <a:p>
                  <a:pPr>
                    <a:defRPr lang="en-US" sz="12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2.2773838797929519E-2"/>
                  <c:y val="-4.742506777054632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'IV.2.1.4 Afil. SFS Rs Vs pob 3'!$A$4:$A$11</c:f>
              <c:strCache>
                <c:ptCount val="8"/>
                <c:pt idx="0">
                  <c:v>Dic. 2004</c:v>
                </c:pt>
                <c:pt idx="1">
                  <c:v>Dic. 2005</c:v>
                </c:pt>
                <c:pt idx="2">
                  <c:v>Dic. 2006</c:v>
                </c:pt>
                <c:pt idx="3">
                  <c:v>Dic. 2007</c:v>
                </c:pt>
                <c:pt idx="4">
                  <c:v>Dic. 2008</c:v>
                </c:pt>
                <c:pt idx="5">
                  <c:v>Dic. 2009</c:v>
                </c:pt>
                <c:pt idx="6">
                  <c:v>Dic. 2010</c:v>
                </c:pt>
                <c:pt idx="7">
                  <c:v>Dic. 2011</c:v>
                </c:pt>
              </c:strCache>
            </c:strRef>
          </c:cat>
          <c:val>
            <c:numRef>
              <c:f>'IV.2.1.4 Afil. SFS Rs Vs pob 3'!$E$4:$E$11</c:f>
              <c:numCache>
                <c:formatCode>0.0%</c:formatCode>
                <c:ptCount val="8"/>
                <c:pt idx="0">
                  <c:v>1.7705882118429453E-2</c:v>
                </c:pt>
                <c:pt idx="1">
                  <c:v>6.9759675448433339E-2</c:v>
                </c:pt>
                <c:pt idx="2">
                  <c:v>0.15313603741157128</c:v>
                </c:pt>
                <c:pt idx="3">
                  <c:v>0.29604338799073915</c:v>
                </c:pt>
                <c:pt idx="4">
                  <c:v>0.36698707069012182</c:v>
                </c:pt>
                <c:pt idx="5">
                  <c:v>0.44915650070835184</c:v>
                </c:pt>
                <c:pt idx="6">
                  <c:v>0.64686622254333648</c:v>
                </c:pt>
                <c:pt idx="7">
                  <c:v>0.60691901935808323</c:v>
                </c:pt>
              </c:numCache>
            </c:numRef>
          </c:val>
          <c:smooth val="0"/>
        </c:ser>
        <c:dLbls>
          <c:showLegendKey val="0"/>
          <c:showVal val="0"/>
          <c:showCatName val="0"/>
          <c:showSerName val="0"/>
          <c:showPercent val="0"/>
          <c:showBubbleSize val="0"/>
        </c:dLbls>
        <c:marker val="1"/>
        <c:smooth val="0"/>
        <c:axId val="276410712"/>
        <c:axId val="276411104"/>
      </c:lineChart>
      <c:catAx>
        <c:axId val="276409928"/>
        <c:scaling>
          <c:orientation val="minMax"/>
        </c:scaling>
        <c:delete val="0"/>
        <c:axPos val="b"/>
        <c:numFmt formatCode="General" sourceLinked="1"/>
        <c:majorTickMark val="none"/>
        <c:minorTickMark val="none"/>
        <c:tickLblPos val="nextTo"/>
        <c:txPr>
          <a:bodyPr/>
          <a:lstStyle/>
          <a:p>
            <a:pPr>
              <a:defRPr lang="en-US"/>
            </a:pPr>
            <a:endParaRPr lang="es-ES"/>
          </a:p>
        </c:txPr>
        <c:crossAx val="276410320"/>
        <c:crosses val="autoZero"/>
        <c:auto val="1"/>
        <c:lblAlgn val="ctr"/>
        <c:lblOffset val="100"/>
        <c:noMultiLvlLbl val="0"/>
      </c:catAx>
      <c:valAx>
        <c:axId val="276410320"/>
        <c:scaling>
          <c:orientation val="minMax"/>
        </c:scaling>
        <c:delete val="0"/>
        <c:axPos val="l"/>
        <c:numFmt formatCode="_(* #,##0_);_(* \(#,##0\);_(* &quot;-&quot;??_);_(@_)" sourceLinked="1"/>
        <c:majorTickMark val="none"/>
        <c:minorTickMark val="none"/>
        <c:tickLblPos val="nextTo"/>
        <c:spPr>
          <a:ln w="9525">
            <a:noFill/>
          </a:ln>
        </c:spPr>
        <c:txPr>
          <a:bodyPr/>
          <a:lstStyle/>
          <a:p>
            <a:pPr>
              <a:defRPr lang="en-US"/>
            </a:pPr>
            <a:endParaRPr lang="es-ES"/>
          </a:p>
        </c:txPr>
        <c:crossAx val="276409928"/>
        <c:crosses val="autoZero"/>
        <c:crossBetween val="between"/>
      </c:valAx>
      <c:catAx>
        <c:axId val="276410712"/>
        <c:scaling>
          <c:orientation val="minMax"/>
        </c:scaling>
        <c:delete val="1"/>
        <c:axPos val="b"/>
        <c:numFmt formatCode="General" sourceLinked="1"/>
        <c:majorTickMark val="out"/>
        <c:minorTickMark val="none"/>
        <c:tickLblPos val="nextTo"/>
        <c:crossAx val="276411104"/>
        <c:crosses val="autoZero"/>
        <c:auto val="1"/>
        <c:lblAlgn val="ctr"/>
        <c:lblOffset val="100"/>
        <c:noMultiLvlLbl val="0"/>
      </c:catAx>
      <c:valAx>
        <c:axId val="276411104"/>
        <c:scaling>
          <c:orientation val="minMax"/>
        </c:scaling>
        <c:delete val="0"/>
        <c:axPos val="r"/>
        <c:numFmt formatCode="0.0%" sourceLinked="1"/>
        <c:majorTickMark val="out"/>
        <c:minorTickMark val="none"/>
        <c:tickLblPos val="nextTo"/>
        <c:txPr>
          <a:bodyPr/>
          <a:lstStyle/>
          <a:p>
            <a:pPr>
              <a:defRPr lang="en-US"/>
            </a:pPr>
            <a:endParaRPr lang="es-ES"/>
          </a:p>
        </c:txPr>
        <c:crossAx val="276410712"/>
        <c:crosses val="max"/>
        <c:crossBetween val="between"/>
      </c:valAx>
    </c:plotArea>
    <c:legend>
      <c:legendPos val="b"/>
      <c:layout>
        <c:manualLayout>
          <c:xMode val="edge"/>
          <c:yMode val="edge"/>
          <c:x val="0.16310596544620617"/>
          <c:y val="4.0660022392305858E-2"/>
          <c:w val="0.68437365566314246"/>
          <c:h val="5.5046895361855988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977" l="0.70000000000000062" r="0.70000000000000062" t="0.75000000000000977"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31988055890441E-2"/>
          <c:y val="0.11424652741686463"/>
          <c:w val="0.89460848626704237"/>
          <c:h val="0.65027037852994196"/>
        </c:manualLayout>
      </c:layout>
      <c:lineChart>
        <c:grouping val="standard"/>
        <c:varyColors val="0"/>
        <c:ser>
          <c:idx val="0"/>
          <c:order val="0"/>
          <c:tx>
            <c:strRef>
              <c:f>'IV.2.1.4 Afil. SFS Rs Vs pob 3'!$E$3</c:f>
              <c:strCache>
                <c:ptCount val="1"/>
                <c:pt idx="0">
                  <c:v>%  Afiliación Definitiva / Población Pobre</c:v>
                </c:pt>
              </c:strCache>
            </c:strRef>
          </c:tx>
          <c:dLbls>
            <c:dLbl>
              <c:idx val="0"/>
              <c:layout>
                <c:manualLayout>
                  <c:x val="-2.8836254405178459E-2"/>
                  <c:y val="1.893490889003911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4716789490152966E-2"/>
                  <c:y val="3.15581814833985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7463099433503294E-2"/>
                  <c:y val="4.10256359284180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0597324575127422E-2"/>
                  <c:y val="3.78698177800782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7463099433503294E-2"/>
                  <c:y val="4.73372722250978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821494178579775E-2"/>
                  <c:y val="-3.47139996317384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8836254405178358E-2"/>
                  <c:y val="-3.78698177800782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7463099433503294E-2"/>
                  <c:y val="-4.102563592841809E-2"/>
                </c:manualLayout>
              </c:layout>
              <c:spPr/>
              <c:txPr>
                <a:bodyPr/>
                <a:lstStyle/>
                <a:p>
                  <a:pPr>
                    <a:defRPr sz="1050" b="0">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5906501216143791E-2"/>
                  <c:y val="-3.9800967807063818E-2"/>
                </c:manualLayout>
              </c:layout>
              <c:spPr/>
              <c:txPr>
                <a:bodyPr/>
                <a:lstStyle/>
                <a:p>
                  <a:pPr>
                    <a:defRPr sz="105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'IV.2.1.4 Afil. SFS Rs Vs pob 3'!$A$4:$A$12</c:f>
              <c:strCache>
                <c:ptCount val="9"/>
                <c:pt idx="0">
                  <c:v>Dic. 2004</c:v>
                </c:pt>
                <c:pt idx="1">
                  <c:v>Dic. 2005</c:v>
                </c:pt>
                <c:pt idx="2">
                  <c:v>Dic. 2006</c:v>
                </c:pt>
                <c:pt idx="3">
                  <c:v>Dic. 2007</c:v>
                </c:pt>
                <c:pt idx="4">
                  <c:v>Dic. 2008</c:v>
                </c:pt>
                <c:pt idx="5">
                  <c:v>Dic. 2009</c:v>
                </c:pt>
                <c:pt idx="6">
                  <c:v>Dic. 2010</c:v>
                </c:pt>
                <c:pt idx="7">
                  <c:v>Dic. 2011</c:v>
                </c:pt>
                <c:pt idx="8">
                  <c:v>Jul. 2012</c:v>
                </c:pt>
              </c:strCache>
            </c:strRef>
          </c:cat>
          <c:val>
            <c:numRef>
              <c:f>'IV.2.1.4 Afil. SFS Rs Vs pob 3'!$E$4:$E$12</c:f>
              <c:numCache>
                <c:formatCode>0.0%</c:formatCode>
                <c:ptCount val="9"/>
                <c:pt idx="0">
                  <c:v>1.7705882118429453E-2</c:v>
                </c:pt>
                <c:pt idx="1">
                  <c:v>6.9759675448433339E-2</c:v>
                </c:pt>
                <c:pt idx="2">
                  <c:v>0.15313603741157128</c:v>
                </c:pt>
                <c:pt idx="3">
                  <c:v>0.29604338799073915</c:v>
                </c:pt>
                <c:pt idx="4">
                  <c:v>0.36698707069012182</c:v>
                </c:pt>
                <c:pt idx="5">
                  <c:v>0.44915650070835184</c:v>
                </c:pt>
                <c:pt idx="6">
                  <c:v>0.64686622254333648</c:v>
                </c:pt>
                <c:pt idx="7">
                  <c:v>0.60691901935808323</c:v>
                </c:pt>
                <c:pt idx="8">
                  <c:v>0.73101777487093411</c:v>
                </c:pt>
              </c:numCache>
            </c:numRef>
          </c:val>
          <c:smooth val="0"/>
        </c:ser>
        <c:ser>
          <c:idx val="1"/>
          <c:order val="1"/>
          <c:tx>
            <c:strRef>
              <c:f>'IV.2.1.4 Afil. SFS Rs Vs pob 3'!$F$3</c:f>
              <c:strCache>
                <c:ptCount val="1"/>
                <c:pt idx="0">
                  <c:v>% Cobertura Efectiva/ Población Pobre</c:v>
                </c:pt>
              </c:strCache>
            </c:strRef>
          </c:tx>
          <c:spPr>
            <a:ln>
              <a:solidFill>
                <a:srgbClr val="00B050"/>
              </a:solidFill>
            </a:ln>
          </c:spPr>
          <c:marker>
            <c:spPr>
              <a:solidFill>
                <a:srgbClr val="00B050"/>
              </a:solidFill>
              <a:ln>
                <a:solidFill>
                  <a:srgbClr val="00B050"/>
                </a:solidFill>
              </a:ln>
            </c:spPr>
          </c:marker>
          <c:dLbls>
            <c:dLbl>
              <c:idx val="0"/>
              <c:layout>
                <c:manualLayout>
                  <c:x val="-3.0209409376853624E-2"/>
                  <c:y val="-3.78698177800782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158256434852879E-2"/>
                  <c:y val="-3.78698177800782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32887429187912E-2"/>
                  <c:y val="-3.47139996317383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883625440517841E-2"/>
                  <c:y val="-3.47139996317383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2955719320203955E-2"/>
                  <c:y val="-3.78698177800783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6089944461828128E-2"/>
                  <c:y val="3.47139996317383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4716789490152866E-2"/>
                  <c:y val="3.15581814833985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4716789490152966E-2"/>
                  <c:y val="3.1558181483398534E-2"/>
                </c:manualLayout>
              </c:layout>
              <c:spPr/>
              <c:txPr>
                <a:bodyPr/>
                <a:lstStyle/>
                <a:p>
                  <a:pPr>
                    <a:defRPr sz="1050" b="0">
                      <a:solidFill>
                        <a:schemeClr val="accent3">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4656138747498712E-2"/>
                  <c:y val="4.6434497543912108E-2"/>
                </c:manualLayout>
              </c:layout>
              <c:spPr/>
              <c:txPr>
                <a:bodyPr/>
                <a:lstStyle/>
                <a:p>
                  <a:pPr>
                    <a:defRPr sz="105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'IV.2.1.4 Afil. SFS Rs Vs pob 3'!$A$4:$A$12</c:f>
              <c:strCache>
                <c:ptCount val="9"/>
                <c:pt idx="0">
                  <c:v>Dic. 2004</c:v>
                </c:pt>
                <c:pt idx="1">
                  <c:v>Dic. 2005</c:v>
                </c:pt>
                <c:pt idx="2">
                  <c:v>Dic. 2006</c:v>
                </c:pt>
                <c:pt idx="3">
                  <c:v>Dic. 2007</c:v>
                </c:pt>
                <c:pt idx="4">
                  <c:v>Dic. 2008</c:v>
                </c:pt>
                <c:pt idx="5">
                  <c:v>Dic. 2009</c:v>
                </c:pt>
                <c:pt idx="6">
                  <c:v>Dic. 2010</c:v>
                </c:pt>
                <c:pt idx="7">
                  <c:v>Dic. 2011</c:v>
                </c:pt>
                <c:pt idx="8">
                  <c:v>Jul. 2012</c:v>
                </c:pt>
              </c:strCache>
            </c:strRef>
          </c:cat>
          <c:val>
            <c:numRef>
              <c:f>'IV.2.1.4 Afil. SFS Rs Vs pob 3'!$F$4:$F$12</c:f>
              <c:numCache>
                <c:formatCode>0.0%</c:formatCode>
                <c:ptCount val="9"/>
                <c:pt idx="0">
                  <c:v>1.7075311306979261E-2</c:v>
                </c:pt>
                <c:pt idx="1">
                  <c:v>7.3382099414092947E-2</c:v>
                </c:pt>
                <c:pt idx="2">
                  <c:v>0.15295014353688288</c:v>
                </c:pt>
                <c:pt idx="3">
                  <c:v>0.32938205030212897</c:v>
                </c:pt>
                <c:pt idx="4">
                  <c:v>0.36166011004526732</c:v>
                </c:pt>
                <c:pt idx="5">
                  <c:v>0.42847206391130027</c:v>
                </c:pt>
                <c:pt idx="6">
                  <c:v>0.59075041149420815</c:v>
                </c:pt>
                <c:pt idx="7">
                  <c:v>0.60057493173728016</c:v>
                </c:pt>
                <c:pt idx="8">
                  <c:v>0.71820355565033278</c:v>
                </c:pt>
              </c:numCache>
            </c:numRef>
          </c:val>
          <c:smooth val="0"/>
        </c:ser>
        <c:dLbls>
          <c:showLegendKey val="0"/>
          <c:showVal val="0"/>
          <c:showCatName val="0"/>
          <c:showSerName val="0"/>
          <c:showPercent val="0"/>
          <c:showBubbleSize val="0"/>
        </c:dLbls>
        <c:marker val="1"/>
        <c:smooth val="0"/>
        <c:axId val="276411888"/>
        <c:axId val="276412280"/>
      </c:lineChart>
      <c:catAx>
        <c:axId val="276411888"/>
        <c:scaling>
          <c:orientation val="minMax"/>
        </c:scaling>
        <c:delete val="0"/>
        <c:axPos val="b"/>
        <c:numFmt formatCode="General" sourceLinked="1"/>
        <c:majorTickMark val="none"/>
        <c:minorTickMark val="none"/>
        <c:tickLblPos val="nextTo"/>
        <c:crossAx val="276412280"/>
        <c:crosses val="autoZero"/>
        <c:auto val="1"/>
        <c:lblAlgn val="ctr"/>
        <c:lblOffset val="100"/>
        <c:noMultiLvlLbl val="0"/>
      </c:catAx>
      <c:valAx>
        <c:axId val="276412280"/>
        <c:scaling>
          <c:orientation val="minMax"/>
        </c:scaling>
        <c:delete val="0"/>
        <c:axPos val="l"/>
        <c:numFmt formatCode="0.0%" sourceLinked="1"/>
        <c:majorTickMark val="none"/>
        <c:minorTickMark val="none"/>
        <c:tickLblPos val="nextTo"/>
        <c:spPr>
          <a:ln w="9525">
            <a:noFill/>
          </a:ln>
        </c:spPr>
        <c:crossAx val="276411888"/>
        <c:crosses val="autoZero"/>
        <c:crossBetween val="between"/>
      </c:valAx>
    </c:plotArea>
    <c:legend>
      <c:legendPos val="t"/>
      <c:layout>
        <c:manualLayout>
          <c:xMode val="edge"/>
          <c:yMode val="edge"/>
          <c:x val="0.20329538562280941"/>
          <c:y val="2.9885764279465064E-2"/>
          <c:w val="0.60439452737119526"/>
          <c:h val="5.706661667291588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89825208019227E-2"/>
          <c:y val="0.24185806962808887"/>
          <c:w val="0.814191728429281"/>
          <c:h val="0.58634615956024316"/>
        </c:manualLayout>
      </c:layout>
      <c:lineChart>
        <c:grouping val="standard"/>
        <c:varyColors val="0"/>
        <c:ser>
          <c:idx val="0"/>
          <c:order val="0"/>
          <c:tx>
            <c:strRef>
              <c:f>'IV.2.1.5 Afil. SFS RS Vs pob 4'!$D$3</c:f>
              <c:strCache>
                <c:ptCount val="1"/>
                <c:pt idx="0">
                  <c:v>Cobertura Efectiva</c:v>
                </c:pt>
              </c:strCache>
            </c:strRef>
          </c:tx>
          <c:spPr>
            <a:ln w="76200"/>
          </c:spPr>
          <c:marker>
            <c:spPr>
              <a:blipFill>
                <a:blip xmlns:r="http://schemas.openxmlformats.org/officeDocument/2006/relationships" r:embed="rId1"/>
                <a:tile tx="0" ty="0" sx="100000" sy="100000" flip="none" algn="tl"/>
              </a:blipFill>
              <a:ln w="76200"/>
            </c:spPr>
          </c:marker>
          <c:cat>
            <c:strRef>
              <c:f>'IV.2.1.5 Afil. SFS RS Vs pob 4'!$B$4:$B$11</c:f>
              <c:strCache>
                <c:ptCount val="8"/>
                <c:pt idx="0">
                  <c:v>Dic. 2004</c:v>
                </c:pt>
                <c:pt idx="1">
                  <c:v>Dic. 2005</c:v>
                </c:pt>
                <c:pt idx="2">
                  <c:v>Dic. 2006</c:v>
                </c:pt>
                <c:pt idx="3">
                  <c:v>Dic. 2007</c:v>
                </c:pt>
                <c:pt idx="4">
                  <c:v>Dic. 2008</c:v>
                </c:pt>
                <c:pt idx="5">
                  <c:v>Dic. 2009</c:v>
                </c:pt>
                <c:pt idx="6">
                  <c:v>Dic. 2010</c:v>
                </c:pt>
                <c:pt idx="7">
                  <c:v>Dic. 2011</c:v>
                </c:pt>
              </c:strCache>
            </c:strRef>
          </c:cat>
          <c:val>
            <c:numRef>
              <c:f>'IV.2.1.5 Afil. SFS RS Vs pob 4'!$D$4:$D$11</c:f>
              <c:numCache>
                <c:formatCode>_(* #,##0_);_(* \(#,##0\);_(* "-"??_);_(@_)</c:formatCode>
                <c:ptCount val="8"/>
                <c:pt idx="0">
                  <c:v>65017</c:v>
                </c:pt>
                <c:pt idx="1">
                  <c:v>266531</c:v>
                </c:pt>
                <c:pt idx="2">
                  <c:v>513416</c:v>
                </c:pt>
                <c:pt idx="3">
                  <c:v>1081936</c:v>
                </c:pt>
                <c:pt idx="4">
                  <c:v>1224643</c:v>
                </c:pt>
                <c:pt idx="5">
                  <c:v>1346166</c:v>
                </c:pt>
                <c:pt idx="6">
                  <c:v>1847833</c:v>
                </c:pt>
                <c:pt idx="7">
                  <c:v>1996335</c:v>
                </c:pt>
              </c:numCache>
            </c:numRef>
          </c:val>
          <c:smooth val="0"/>
        </c:ser>
        <c:ser>
          <c:idx val="1"/>
          <c:order val="1"/>
          <c:tx>
            <c:strRef>
              <c:f>'IV.2.1.5 Afil. SFS RS Vs pob 4'!$E$3</c:f>
              <c:strCache>
                <c:ptCount val="1"/>
                <c:pt idx="0">
                  <c:v>Población Pobre del País</c:v>
                </c:pt>
              </c:strCache>
            </c:strRef>
          </c:tx>
          <c:spPr>
            <a:ln w="76200"/>
          </c:spPr>
          <c:marker>
            <c:spPr>
              <a:solidFill>
                <a:schemeClr val="tx1"/>
              </a:solidFill>
              <a:ln w="76200"/>
            </c:spPr>
          </c:marker>
          <c:cat>
            <c:strRef>
              <c:f>'IV.2.1.5 Afil. SFS RS Vs pob 4'!$B$4:$B$11</c:f>
              <c:strCache>
                <c:ptCount val="8"/>
                <c:pt idx="0">
                  <c:v>Dic. 2004</c:v>
                </c:pt>
                <c:pt idx="1">
                  <c:v>Dic. 2005</c:v>
                </c:pt>
                <c:pt idx="2">
                  <c:v>Dic. 2006</c:v>
                </c:pt>
                <c:pt idx="3">
                  <c:v>Dic. 2007</c:v>
                </c:pt>
                <c:pt idx="4">
                  <c:v>Dic. 2008</c:v>
                </c:pt>
                <c:pt idx="5">
                  <c:v>Dic. 2009</c:v>
                </c:pt>
                <c:pt idx="6">
                  <c:v>Dic. 2010</c:v>
                </c:pt>
                <c:pt idx="7">
                  <c:v>Dic. 2011</c:v>
                </c:pt>
              </c:strCache>
            </c:strRef>
          </c:cat>
          <c:val>
            <c:numRef>
              <c:f>'IV.2.1.5 Afil. SFS RS Vs pob 4'!$E$4:$E$11</c:f>
              <c:numCache>
                <c:formatCode>_(* #,##0_);_(* \(#,##0\);_(* "-"??_);_(@_)</c:formatCode>
                <c:ptCount val="8"/>
                <c:pt idx="0">
                  <c:v>3116969.1519999998</c:v>
                </c:pt>
                <c:pt idx="1">
                  <c:v>3264404.4159999997</c:v>
                </c:pt>
                <c:pt idx="2">
                  <c:v>3093657.0280000004</c:v>
                </c:pt>
                <c:pt idx="3">
                  <c:v>2715878.44</c:v>
                </c:pt>
                <c:pt idx="4">
                  <c:v>2829540.2050000001</c:v>
                </c:pt>
                <c:pt idx="5">
                  <c:v>2766644.2249999996</c:v>
                </c:pt>
                <c:pt idx="6">
                  <c:v>2843583.6</c:v>
                </c:pt>
                <c:pt idx="7">
                  <c:v>2873994.9</c:v>
                </c:pt>
              </c:numCache>
            </c:numRef>
          </c:val>
          <c:smooth val="0"/>
        </c:ser>
        <c:dLbls>
          <c:showLegendKey val="0"/>
          <c:showVal val="0"/>
          <c:showCatName val="0"/>
          <c:showSerName val="0"/>
          <c:showPercent val="0"/>
          <c:showBubbleSize val="0"/>
        </c:dLbls>
        <c:marker val="1"/>
        <c:smooth val="0"/>
        <c:axId val="277925024"/>
        <c:axId val="277925416"/>
      </c:lineChart>
      <c:lineChart>
        <c:grouping val="standard"/>
        <c:varyColors val="0"/>
        <c:ser>
          <c:idx val="2"/>
          <c:order val="2"/>
          <c:tx>
            <c:strRef>
              <c:f>'IV.2.1.5 Afil. SFS RS Vs pob 4'!$F$3</c:f>
              <c:strCache>
                <c:ptCount val="1"/>
                <c:pt idx="0">
                  <c:v>%  Afiliación Definitiva / Población Pobre</c:v>
                </c:pt>
              </c:strCache>
            </c:strRef>
          </c:tx>
          <c:spPr>
            <a:ln w="57150"/>
          </c:spPr>
          <c:marker>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57150"/>
            </c:spPr>
          </c:marker>
          <c:dLbls>
            <c:dLbl>
              <c:idx val="0"/>
              <c:layout>
                <c:manualLayout>
                  <c:x val="-3.8297872340425552E-2"/>
                  <c:y val="-3.64464605321183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460992907801442E-2"/>
                  <c:y val="-3.64464605321183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106382978723404E-2"/>
                  <c:y val="-3.64464605321183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5390070921987311E-2"/>
                  <c:y val="-3.03720504434319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188049733733294E-2"/>
                  <c:y val="-7.56551280146585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2143201088480998E-2"/>
                  <c:y val="-4.88504563118010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8368794326241127E-2"/>
                  <c:y val="-3.03720504434319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042553191489362E-2"/>
                  <c:y val="-3.64464605321183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5460992907801435E-2"/>
                  <c:y val="-3.3409255487776145E-2"/>
                </c:manualLayout>
              </c:layout>
              <c:spPr/>
              <c:txPr>
                <a:bodyPr/>
                <a:lstStyle/>
                <a:p>
                  <a:pPr>
                    <a:defRPr lang="en-US" sz="16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2.7846842366981612E-2"/>
                  <c:y val="-3.499005964214711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165175562177826E-2"/>
                  <c:y val="-5.10380164743558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2.4863258474694411E-2"/>
                  <c:y val="-4.75103253602733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2.4863252113376456E-2"/>
                  <c:y val="-3.6580516898608348E-2"/>
                </c:manualLayout>
              </c:layout>
              <c:spPr/>
              <c:txPr>
                <a:bodyPr/>
                <a:lstStyle/>
                <a:p>
                  <a:pPr>
                    <a:defRPr lang="en-US" sz="16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2.2495313476359129E-2"/>
                  <c:y val="-4.36060020799286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2.4994792751510102E-2"/>
                  <c:y val="-4.528301886792452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'IV.2.1.5 Afil. SFS RS Vs pob 4'!$B$4:$B$11</c:f>
              <c:strCache>
                <c:ptCount val="8"/>
                <c:pt idx="0">
                  <c:v>Dic. 2004</c:v>
                </c:pt>
                <c:pt idx="1">
                  <c:v>Dic. 2005</c:v>
                </c:pt>
                <c:pt idx="2">
                  <c:v>Dic. 2006</c:v>
                </c:pt>
                <c:pt idx="3">
                  <c:v>Dic. 2007</c:v>
                </c:pt>
                <c:pt idx="4">
                  <c:v>Dic. 2008</c:v>
                </c:pt>
                <c:pt idx="5">
                  <c:v>Dic. 2009</c:v>
                </c:pt>
                <c:pt idx="6">
                  <c:v>Dic. 2010</c:v>
                </c:pt>
                <c:pt idx="7">
                  <c:v>Dic. 2011</c:v>
                </c:pt>
              </c:strCache>
            </c:strRef>
          </c:cat>
          <c:val>
            <c:numRef>
              <c:f>'IV.2.1.5 Afil. SFS RS Vs pob 4'!$F$4:$F$11</c:f>
              <c:numCache>
                <c:formatCode>0.0%</c:formatCode>
                <c:ptCount val="8"/>
                <c:pt idx="0">
                  <c:v>2.1629344633308713E-2</c:v>
                </c:pt>
                <c:pt idx="1">
                  <c:v>7.7617221309383255E-2</c:v>
                </c:pt>
                <c:pt idx="2">
                  <c:v>0.16615933678088377</c:v>
                </c:pt>
                <c:pt idx="3">
                  <c:v>0.3580524760158264</c:v>
                </c:pt>
                <c:pt idx="4">
                  <c:v>0.43918124853080148</c:v>
                </c:pt>
                <c:pt idx="5">
                  <c:v>0.51005907707558606</c:v>
                </c:pt>
                <c:pt idx="6">
                  <c:v>0.71155284479767011</c:v>
                </c:pt>
                <c:pt idx="7">
                  <c:v>0.70195775225627577</c:v>
                </c:pt>
              </c:numCache>
            </c:numRef>
          </c:val>
          <c:smooth val="0"/>
        </c:ser>
        <c:dLbls>
          <c:showLegendKey val="0"/>
          <c:showVal val="0"/>
          <c:showCatName val="0"/>
          <c:showSerName val="0"/>
          <c:showPercent val="0"/>
          <c:showBubbleSize val="0"/>
        </c:dLbls>
        <c:marker val="1"/>
        <c:smooth val="0"/>
        <c:axId val="277925808"/>
        <c:axId val="277926200"/>
      </c:lineChart>
      <c:catAx>
        <c:axId val="277925024"/>
        <c:scaling>
          <c:orientation val="minMax"/>
        </c:scaling>
        <c:delete val="0"/>
        <c:axPos val="b"/>
        <c:numFmt formatCode="General" sourceLinked="1"/>
        <c:majorTickMark val="none"/>
        <c:minorTickMark val="none"/>
        <c:tickLblPos val="nextTo"/>
        <c:txPr>
          <a:bodyPr/>
          <a:lstStyle/>
          <a:p>
            <a:pPr>
              <a:defRPr lang="en-US" sz="1200"/>
            </a:pPr>
            <a:endParaRPr lang="es-ES"/>
          </a:p>
        </c:txPr>
        <c:crossAx val="277925416"/>
        <c:crosses val="autoZero"/>
        <c:auto val="1"/>
        <c:lblAlgn val="ctr"/>
        <c:lblOffset val="100"/>
        <c:noMultiLvlLbl val="0"/>
      </c:catAx>
      <c:valAx>
        <c:axId val="277925416"/>
        <c:scaling>
          <c:orientation val="minMax"/>
        </c:scaling>
        <c:delete val="0"/>
        <c:axPos val="l"/>
        <c:numFmt formatCode="_(* #,##0_);_(* \(#,##0\);_(* &quot;-&quot;??_);_(@_)" sourceLinked="1"/>
        <c:majorTickMark val="none"/>
        <c:minorTickMark val="none"/>
        <c:tickLblPos val="nextTo"/>
        <c:spPr>
          <a:ln w="9525">
            <a:noFill/>
          </a:ln>
        </c:spPr>
        <c:txPr>
          <a:bodyPr/>
          <a:lstStyle/>
          <a:p>
            <a:pPr>
              <a:defRPr lang="en-US"/>
            </a:pPr>
            <a:endParaRPr lang="es-ES"/>
          </a:p>
        </c:txPr>
        <c:crossAx val="277925024"/>
        <c:crosses val="autoZero"/>
        <c:crossBetween val="between"/>
      </c:valAx>
      <c:catAx>
        <c:axId val="277925808"/>
        <c:scaling>
          <c:orientation val="minMax"/>
        </c:scaling>
        <c:delete val="1"/>
        <c:axPos val="b"/>
        <c:numFmt formatCode="General" sourceLinked="1"/>
        <c:majorTickMark val="out"/>
        <c:minorTickMark val="none"/>
        <c:tickLblPos val="nextTo"/>
        <c:crossAx val="277926200"/>
        <c:crosses val="autoZero"/>
        <c:auto val="1"/>
        <c:lblAlgn val="ctr"/>
        <c:lblOffset val="100"/>
        <c:noMultiLvlLbl val="0"/>
      </c:catAx>
      <c:valAx>
        <c:axId val="277926200"/>
        <c:scaling>
          <c:orientation val="minMax"/>
        </c:scaling>
        <c:delete val="0"/>
        <c:axPos val="r"/>
        <c:numFmt formatCode="0.0%" sourceLinked="1"/>
        <c:majorTickMark val="out"/>
        <c:minorTickMark val="none"/>
        <c:tickLblPos val="nextTo"/>
        <c:txPr>
          <a:bodyPr/>
          <a:lstStyle/>
          <a:p>
            <a:pPr>
              <a:defRPr lang="en-US"/>
            </a:pPr>
            <a:endParaRPr lang="es-ES"/>
          </a:p>
        </c:txPr>
        <c:crossAx val="277925808"/>
        <c:crosses val="max"/>
        <c:crossBetween val="between"/>
      </c:valAx>
    </c:plotArea>
    <c:legend>
      <c:legendPos val="b"/>
      <c:layout>
        <c:manualLayout>
          <c:xMode val="edge"/>
          <c:yMode val="edge"/>
          <c:x val="6.2195168717682749E-2"/>
          <c:y val="6.367555295257514E-2"/>
          <c:w val="0.87764225878950763"/>
          <c:h val="6.9084690859923512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0977" l="0.70000000000000062" r="0.70000000000000062" t="0.75000000000000977" header="0.30000000000000032" footer="0.30000000000000032"/>
    <c:pageSetup/>
  </c:printSettings>
  <c:userShapes r:id="rId2"/>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864462953134985E-2"/>
          <c:y val="0.12080790237734415"/>
          <c:w val="0.93602860453254155"/>
          <c:h val="0.65598336087281595"/>
        </c:manualLayout>
      </c:layout>
      <c:lineChart>
        <c:grouping val="standard"/>
        <c:varyColors val="0"/>
        <c:ser>
          <c:idx val="0"/>
          <c:order val="0"/>
          <c:tx>
            <c:strRef>
              <c:f>'IV.2.1.5 Afil. SFS RS Vs pob 4'!$F$3</c:f>
              <c:strCache>
                <c:ptCount val="1"/>
                <c:pt idx="0">
                  <c:v>%  Afiliación Definitiva / Población Pobre</c:v>
                </c:pt>
              </c:strCache>
            </c:strRef>
          </c:tx>
          <c:spPr>
            <a:ln w="38100">
              <a:solidFill>
                <a:srgbClr val="0070C0"/>
              </a:solidFill>
            </a:ln>
          </c:spPr>
          <c:marker>
            <c:spPr>
              <a:solidFill>
                <a:srgbClr val="0070C0"/>
              </a:solidFill>
              <a:ln w="38100">
                <a:solidFill>
                  <a:srgbClr val="0070C0"/>
                </a:solidFill>
              </a:ln>
            </c:spPr>
          </c:marker>
          <c:dLbls>
            <c:dLbl>
              <c:idx val="0"/>
              <c:layout>
                <c:manualLayout>
                  <c:x val="3.6745407203850281E-3"/>
                  <c:y val="8.8838113593308621E-3"/>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4698162881540112E-2"/>
                  <c:y val="2.30979095342602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7454068421828884E-2"/>
                  <c:y val="2.84281963498587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6535433241732626E-2"/>
                  <c:y val="3.02049586217249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5721785042695199E-2"/>
                  <c:y val="-2.6651434077992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398950166356151E-2"/>
                  <c:y val="-2.6651434077992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884514682502682E-2"/>
                  <c:y val="-2.84281963498587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8372703601925142E-2"/>
                  <c:y val="-3.0204958621724932E-2"/>
                </c:manualLayout>
              </c:layout>
              <c:spPr/>
              <c:txPr>
                <a:bodyPr/>
                <a:lstStyle/>
                <a:p>
                  <a:pPr>
                    <a:defRPr sz="1400" b="0">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0537441468475578E-2"/>
                  <c:y val="-3.2214765100671144E-2"/>
                </c:manualLayout>
              </c:layout>
              <c:spPr/>
              <c:txPr>
                <a:bodyPr/>
                <a:lstStyle/>
                <a:p>
                  <a:pPr>
                    <a:defRPr sz="14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'IV.2.1.5 Afil. SFS RS Vs pob 4'!$B$4:$B$12</c:f>
              <c:strCache>
                <c:ptCount val="9"/>
                <c:pt idx="0">
                  <c:v>Dic. 2004</c:v>
                </c:pt>
                <c:pt idx="1">
                  <c:v>Dic. 2005</c:v>
                </c:pt>
                <c:pt idx="2">
                  <c:v>Dic. 2006</c:v>
                </c:pt>
                <c:pt idx="3">
                  <c:v>Dic. 2007</c:v>
                </c:pt>
                <c:pt idx="4">
                  <c:v>Dic. 2008</c:v>
                </c:pt>
                <c:pt idx="5">
                  <c:v>Dic. 2009</c:v>
                </c:pt>
                <c:pt idx="6">
                  <c:v>Dic. 2010</c:v>
                </c:pt>
                <c:pt idx="7">
                  <c:v>Dic. 2011</c:v>
                </c:pt>
                <c:pt idx="8">
                  <c:v>Jul. 2012</c:v>
                </c:pt>
              </c:strCache>
            </c:strRef>
          </c:cat>
          <c:val>
            <c:numRef>
              <c:f>'IV.2.1.5 Afil. SFS RS Vs pob 4'!$F$4:$F$12</c:f>
              <c:numCache>
                <c:formatCode>0.0%</c:formatCode>
                <c:ptCount val="9"/>
                <c:pt idx="0">
                  <c:v>2.1629344633308713E-2</c:v>
                </c:pt>
                <c:pt idx="1">
                  <c:v>7.7617221309383255E-2</c:v>
                </c:pt>
                <c:pt idx="2">
                  <c:v>0.16615933678088377</c:v>
                </c:pt>
                <c:pt idx="3">
                  <c:v>0.3580524760158264</c:v>
                </c:pt>
                <c:pt idx="4">
                  <c:v>0.43918124853080148</c:v>
                </c:pt>
                <c:pt idx="5">
                  <c:v>0.51005907707558606</c:v>
                </c:pt>
                <c:pt idx="6">
                  <c:v>0.71155284479767011</c:v>
                </c:pt>
                <c:pt idx="7">
                  <c:v>0.70195775225627577</c:v>
                </c:pt>
                <c:pt idx="8">
                  <c:v>0.80411955235802768</c:v>
                </c:pt>
              </c:numCache>
            </c:numRef>
          </c:val>
          <c:smooth val="0"/>
        </c:ser>
        <c:ser>
          <c:idx val="1"/>
          <c:order val="1"/>
          <c:tx>
            <c:strRef>
              <c:f>'IV.2.1.5 Afil. SFS RS Vs pob 4'!$G$3</c:f>
              <c:strCache>
                <c:ptCount val="1"/>
                <c:pt idx="0">
                  <c:v>% Cobertura Efectiva/ Población Pobre</c:v>
                </c:pt>
              </c:strCache>
            </c:strRef>
          </c:tx>
          <c:spPr>
            <a:ln w="38100">
              <a:solidFill>
                <a:srgbClr val="00B050"/>
              </a:solidFill>
            </a:ln>
          </c:spPr>
          <c:marker>
            <c:spPr>
              <a:solidFill>
                <a:srgbClr val="00B050"/>
              </a:solidFill>
              <a:ln w="38100">
                <a:solidFill>
                  <a:srgbClr val="00B050"/>
                </a:solidFill>
              </a:ln>
            </c:spPr>
          </c:marker>
          <c:dLbls>
            <c:dLbl>
              <c:idx val="0"/>
              <c:layout>
                <c:manualLayout>
                  <c:x val="-1.8372703601925142E-2"/>
                  <c:y val="-2.6651434077992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847769058298397E-2"/>
                  <c:y val="-2.84281963498587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120744617947735E-2"/>
                  <c:y val="-3.207229297680071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7559055402887712E-2"/>
                  <c:y val="-2.30979095342602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2047244322310169E-2"/>
                  <c:y val="3.02049586217249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1128609142213914E-2"/>
                  <c:y val="2.84281963498587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6535433241732626E-2"/>
                  <c:y val="2.84281963498587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4698162881540112E-2"/>
                  <c:y val="3.0204958621724998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1470961535224469E-2"/>
                  <c:y val="4.116331096196868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'IV.2.1.5 Afil. SFS RS Vs pob 4'!$B$4:$B$12</c:f>
              <c:strCache>
                <c:ptCount val="9"/>
                <c:pt idx="0">
                  <c:v>Dic. 2004</c:v>
                </c:pt>
                <c:pt idx="1">
                  <c:v>Dic. 2005</c:v>
                </c:pt>
                <c:pt idx="2">
                  <c:v>Dic. 2006</c:v>
                </c:pt>
                <c:pt idx="3">
                  <c:v>Dic. 2007</c:v>
                </c:pt>
                <c:pt idx="4">
                  <c:v>Dic. 2008</c:v>
                </c:pt>
                <c:pt idx="5">
                  <c:v>Dic. 2009</c:v>
                </c:pt>
                <c:pt idx="6">
                  <c:v>Dic. 2010</c:v>
                </c:pt>
                <c:pt idx="7">
                  <c:v>Dic. 2011</c:v>
                </c:pt>
                <c:pt idx="8">
                  <c:v>Jul. 2012</c:v>
                </c:pt>
              </c:strCache>
            </c:strRef>
          </c:cat>
          <c:val>
            <c:numRef>
              <c:f>'IV.2.1.5 Afil. SFS RS Vs pob 4'!$G$4:$G$12</c:f>
              <c:numCache>
                <c:formatCode>0.0%</c:formatCode>
                <c:ptCount val="9"/>
                <c:pt idx="0">
                  <c:v>2.0859045062503079E-2</c:v>
                </c:pt>
                <c:pt idx="1">
                  <c:v>8.164766555688914E-2</c:v>
                </c:pt>
                <c:pt idx="2">
                  <c:v>0.16595763374969694</c:v>
                </c:pt>
                <c:pt idx="3">
                  <c:v>0.39837423651406134</c:v>
                </c:pt>
                <c:pt idx="4">
                  <c:v>0.43280636120171334</c:v>
                </c:pt>
                <c:pt idx="5">
                  <c:v>0.48656997088232412</c:v>
                </c:pt>
                <c:pt idx="6">
                  <c:v>0.64982545264362901</c:v>
                </c:pt>
                <c:pt idx="7">
                  <c:v>0.69462023053694355</c:v>
                </c:pt>
                <c:pt idx="8">
                  <c:v>0.79002391121536619</c:v>
                </c:pt>
              </c:numCache>
            </c:numRef>
          </c:val>
          <c:smooth val="0"/>
        </c:ser>
        <c:dLbls>
          <c:showLegendKey val="0"/>
          <c:showVal val="0"/>
          <c:showCatName val="0"/>
          <c:showSerName val="0"/>
          <c:showPercent val="0"/>
          <c:showBubbleSize val="0"/>
        </c:dLbls>
        <c:marker val="1"/>
        <c:smooth val="0"/>
        <c:axId val="277926984"/>
        <c:axId val="277927376"/>
      </c:lineChart>
      <c:catAx>
        <c:axId val="277926984"/>
        <c:scaling>
          <c:orientation val="minMax"/>
        </c:scaling>
        <c:delete val="0"/>
        <c:axPos val="b"/>
        <c:numFmt formatCode="General" sourceLinked="1"/>
        <c:majorTickMark val="none"/>
        <c:minorTickMark val="none"/>
        <c:tickLblPos val="nextTo"/>
        <c:txPr>
          <a:bodyPr/>
          <a:lstStyle/>
          <a:p>
            <a:pPr>
              <a:defRPr sz="1400"/>
            </a:pPr>
            <a:endParaRPr lang="es-ES"/>
          </a:p>
        </c:txPr>
        <c:crossAx val="277927376"/>
        <c:crosses val="autoZero"/>
        <c:auto val="1"/>
        <c:lblAlgn val="ctr"/>
        <c:lblOffset val="100"/>
        <c:noMultiLvlLbl val="0"/>
      </c:catAx>
      <c:valAx>
        <c:axId val="277927376"/>
        <c:scaling>
          <c:orientation val="minMax"/>
        </c:scaling>
        <c:delete val="1"/>
        <c:axPos val="l"/>
        <c:numFmt formatCode="0.0%" sourceLinked="1"/>
        <c:majorTickMark val="out"/>
        <c:minorTickMark val="none"/>
        <c:tickLblPos val="nextTo"/>
        <c:crossAx val="277926984"/>
        <c:crosses val="autoZero"/>
        <c:crossBetween val="between"/>
      </c:valAx>
    </c:plotArea>
    <c:legend>
      <c:legendPos val="t"/>
      <c:layout>
        <c:manualLayout>
          <c:xMode val="edge"/>
          <c:yMode val="edge"/>
          <c:x val="0.24362244355694385"/>
          <c:y val="7.0235436988286909E-2"/>
          <c:w val="0.51696395534635042"/>
          <c:h val="3.642992387145636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Familiar de Salud (SFS) del Régimen Subsidiado (RS)</a:t>
            </a:r>
          </a:p>
          <a:p>
            <a:pPr>
              <a:defRPr/>
            </a:pPr>
            <a:r>
              <a:rPr lang="es-DO"/>
              <a:t>Indice de Dependencia del RS </a:t>
            </a:r>
          </a:p>
        </c:rich>
      </c:tx>
      <c:layout>
        <c:manualLayout>
          <c:xMode val="edge"/>
          <c:yMode val="edge"/>
          <c:x val="0.30379087396684101"/>
          <c:y val="3.1755190220966879E-2"/>
        </c:manualLayout>
      </c:layout>
      <c:overlay val="1"/>
    </c:title>
    <c:autoTitleDeleted val="0"/>
    <c:plotArea>
      <c:layout>
        <c:manualLayout>
          <c:layoutTarget val="inner"/>
          <c:xMode val="edge"/>
          <c:yMode val="edge"/>
          <c:x val="3.1014623172103486E-2"/>
          <c:y val="0.23051927862164542"/>
          <c:w val="0.92485534327501895"/>
          <c:h val="0.60672023689346521"/>
        </c:manualLayout>
      </c:layout>
      <c:lineChart>
        <c:grouping val="standard"/>
        <c:varyColors val="0"/>
        <c:ser>
          <c:idx val="0"/>
          <c:order val="0"/>
          <c:tx>
            <c:strRef>
              <c:f>'IV.2.1.6 Ind. depend.'!$E$3</c:f>
              <c:strCache>
                <c:ptCount val="1"/>
                <c:pt idx="0">
                  <c:v>Indice de Dependencia Afiliación</c:v>
                </c:pt>
              </c:strCache>
            </c:strRef>
          </c:tx>
          <c:spPr>
            <a:ln w="38100">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circle"/>
            <c:size val="4"/>
            <c:spPr>
              <a:solidFill>
                <a:srgbClr val="0070C0"/>
              </a:solidFill>
              <a:ln w="38100">
                <a:solidFill>
                  <a:srgbClr val="0070C0"/>
                </a:solidFill>
              </a:ln>
            </c:spPr>
          </c:marker>
          <c:dLbls>
            <c:dLbl>
              <c:idx val="0"/>
              <c:layout>
                <c:manualLayout>
                  <c:x val="-3.0465951540425678E-2"/>
                  <c:y val="2.773698523868221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6810037355574596E-2"/>
                  <c:y val="-2.218958819094577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906632220400476E-2"/>
                  <c:y val="4.198742993248896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8028675417191624E-2"/>
                  <c:y val="2.40387205401912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6006560968762062E-2"/>
                  <c:y val="-3.57141735488393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1876292113646133E-2"/>
                  <c:y val="-3.4095537194521151E-2"/>
                </c:manualLayout>
              </c:layout>
              <c:spPr/>
              <c:txPr>
                <a:bodyPr/>
                <a:lstStyle/>
                <a:p>
                  <a:pPr>
                    <a:defRPr sz="2000" b="0">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15415059883948E-2"/>
                  <c:y val="-3.6399795148654691E-2"/>
                </c:manualLayout>
              </c:layout>
              <c:spPr/>
              <c:txPr>
                <a:bodyPr/>
                <a:lstStyle/>
                <a:p>
                  <a:pPr>
                    <a:defRPr sz="2000" b="0">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1431836058534749E-2"/>
                  <c:y val="3.21349213011336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0265087331271901E-2"/>
                  <c:y val="4.1481483417042095E-2"/>
                </c:manualLayout>
              </c:layout>
              <c:spPr/>
              <c:txPr>
                <a:bodyPr/>
                <a:lstStyle/>
                <a:p>
                  <a:pPr>
                    <a:defRPr sz="24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'IV.2.1.6 Ind. depend.'!$A$4:$A$12</c:f>
              <c:strCache>
                <c:ptCount val="9"/>
                <c:pt idx="0">
                  <c:v>Dic. 2006</c:v>
                </c:pt>
                <c:pt idx="1">
                  <c:v>Dic. 2007</c:v>
                </c:pt>
                <c:pt idx="2">
                  <c:v>Dic. 2008</c:v>
                </c:pt>
                <c:pt idx="3">
                  <c:v>Dic. 2009</c:v>
                </c:pt>
                <c:pt idx="4">
                  <c:v>Dic. 2010</c:v>
                </c:pt>
                <c:pt idx="5">
                  <c:v>Dic. 2011</c:v>
                </c:pt>
                <c:pt idx="6">
                  <c:v>Dic. 2012</c:v>
                </c:pt>
                <c:pt idx="7">
                  <c:v>Dic. 2013</c:v>
                </c:pt>
                <c:pt idx="8">
                  <c:v>Dic. 2014</c:v>
                </c:pt>
              </c:strCache>
            </c:strRef>
          </c:cat>
          <c:val>
            <c:numRef>
              <c:f>'IV.2.1.6 Ind. depend.'!$E$4:$E$12</c:f>
              <c:numCache>
                <c:formatCode>0.00</c:formatCode>
                <c:ptCount val="9"/>
                <c:pt idx="0">
                  <c:v>0.9870043022640036</c:v>
                </c:pt>
                <c:pt idx="1">
                  <c:v>1.5099683552471956</c:v>
                </c:pt>
                <c:pt idx="2">
                  <c:v>1.503023332635073</c:v>
                </c:pt>
                <c:pt idx="3">
                  <c:v>1.2854736623888159</c:v>
                </c:pt>
                <c:pt idx="4">
                  <c:v>1.3206038230966235</c:v>
                </c:pt>
                <c:pt idx="5">
                  <c:v>1.3955426363492793</c:v>
                </c:pt>
                <c:pt idx="6">
                  <c:v>1.0988389075179368</c:v>
                </c:pt>
                <c:pt idx="7">
                  <c:v>0.75469272585247649</c:v>
                </c:pt>
                <c:pt idx="8">
                  <c:v>0.67982535786819842</c:v>
                </c:pt>
              </c:numCache>
            </c:numRef>
          </c:val>
          <c:smooth val="0"/>
        </c:ser>
        <c:ser>
          <c:idx val="1"/>
          <c:order val="1"/>
          <c:tx>
            <c:strRef>
              <c:f>'IV.2.1.6 Ind. depend.'!$I$3</c:f>
              <c:strCache>
                <c:ptCount val="1"/>
                <c:pt idx="0">
                  <c:v>Indice de Dependencia No. de Cápitas Pagadas</c:v>
                </c:pt>
              </c:strCache>
            </c:strRef>
          </c:tx>
          <c:spPr>
            <a:ln w="38100">
              <a:gradFill>
                <a:gsLst>
                  <a:gs pos="0">
                    <a:srgbClr val="825600"/>
                  </a:gs>
                  <a:gs pos="13000">
                    <a:srgbClr val="FFA800"/>
                  </a:gs>
                  <a:gs pos="28000">
                    <a:srgbClr val="825600"/>
                  </a:gs>
                  <a:gs pos="42999">
                    <a:srgbClr val="FFA800"/>
                  </a:gs>
                  <a:gs pos="58000">
                    <a:srgbClr val="825600"/>
                  </a:gs>
                  <a:gs pos="72000">
                    <a:srgbClr val="FFA800"/>
                  </a:gs>
                  <a:gs pos="87000">
                    <a:srgbClr val="825600"/>
                  </a:gs>
                  <a:gs pos="100000">
                    <a:srgbClr val="FFA800"/>
                  </a:gs>
                </a:gsLst>
                <a:lin ang="5400000" scaled="0"/>
              </a:gradFill>
            </a:ln>
          </c:spPr>
          <c:marker>
            <c:symbol val="circle"/>
            <c:size val="4"/>
            <c:spPr>
              <a:solidFill>
                <a:srgbClr val="00B050"/>
              </a:solidFill>
              <a:ln w="38100">
                <a:solidFill>
                  <a:srgbClr val="00B050"/>
                </a:solidFill>
              </a:ln>
            </c:spPr>
          </c:marker>
          <c:dLbls>
            <c:dLbl>
              <c:idx val="0"/>
              <c:layout>
                <c:manualLayout>
                  <c:x val="-3.0472658834408948E-2"/>
                  <c:y val="-3.99931282960938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2628426309736084E-2"/>
                  <c:y val="4.16970784580247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2462452059488353E-2"/>
                  <c:y val="-3.3520772604820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7074365237468143E-2"/>
                  <c:y val="-4.33630269667268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9498208985872345E-2"/>
                  <c:y val="3.14352499371731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0308407508336655E-2"/>
                  <c:y val="4.9819382225025133E-2"/>
                </c:manualLayout>
              </c:layout>
              <c:spPr/>
              <c:txPr>
                <a:bodyPr/>
                <a:lstStyle/>
                <a:p>
                  <a:pPr>
                    <a:defRPr sz="2000" b="0">
                      <a:solidFill>
                        <a:schemeClr val="accent3">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2837885444869276E-2"/>
                  <c:y val="3.6941973490803748E-2"/>
                </c:manualLayout>
              </c:layout>
              <c:spPr/>
              <c:txPr>
                <a:bodyPr/>
                <a:lstStyle/>
                <a:p>
                  <a:pPr>
                    <a:defRPr sz="2000" b="0">
                      <a:solidFill>
                        <a:schemeClr val="accent3">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5393527448974091E-2"/>
                  <c:y val="-4.5666377167285027E-2"/>
                </c:manualLayout>
              </c:layout>
              <c:spPr/>
              <c:txPr>
                <a:bodyPr/>
                <a:lstStyle/>
                <a:p>
                  <a:pPr>
                    <a:defRPr sz="2000" b="0">
                      <a:solidFill>
                        <a:schemeClr val="accent3">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9.4754652288663709E-3"/>
                  <c:y val="-4.1481483417042095E-2"/>
                </c:manualLayout>
              </c:layout>
              <c:spPr/>
              <c:txPr>
                <a:bodyPr/>
                <a:lstStyle/>
                <a:p>
                  <a:pPr>
                    <a:defRPr sz="24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'IV.2.1.6 Ind. depend.'!$A$4:$A$12</c:f>
              <c:strCache>
                <c:ptCount val="9"/>
                <c:pt idx="0">
                  <c:v>Dic. 2006</c:v>
                </c:pt>
                <c:pt idx="1">
                  <c:v>Dic. 2007</c:v>
                </c:pt>
                <c:pt idx="2">
                  <c:v>Dic. 2008</c:v>
                </c:pt>
                <c:pt idx="3">
                  <c:v>Dic. 2009</c:v>
                </c:pt>
                <c:pt idx="4">
                  <c:v>Dic. 2010</c:v>
                </c:pt>
                <c:pt idx="5">
                  <c:v>Dic. 2011</c:v>
                </c:pt>
                <c:pt idx="6">
                  <c:v>Dic. 2012</c:v>
                </c:pt>
                <c:pt idx="7">
                  <c:v>Dic. 2013</c:v>
                </c:pt>
                <c:pt idx="8">
                  <c:v>Dic. 2014</c:v>
                </c:pt>
              </c:strCache>
            </c:strRef>
          </c:cat>
          <c:val>
            <c:numRef>
              <c:f>'IV.2.1.6 Ind. depend.'!$I$4:$I$12</c:f>
              <c:numCache>
                <c:formatCode>0.00</c:formatCode>
                <c:ptCount val="9"/>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numCache>
            </c:numRef>
          </c:val>
          <c:smooth val="0"/>
        </c:ser>
        <c:dLbls>
          <c:showLegendKey val="0"/>
          <c:showVal val="0"/>
          <c:showCatName val="0"/>
          <c:showSerName val="0"/>
          <c:showPercent val="0"/>
          <c:showBubbleSize val="0"/>
        </c:dLbls>
        <c:marker val="1"/>
        <c:smooth val="0"/>
        <c:axId val="277928160"/>
        <c:axId val="277928552"/>
      </c:lineChart>
      <c:catAx>
        <c:axId val="277928160"/>
        <c:scaling>
          <c:orientation val="minMax"/>
        </c:scaling>
        <c:delete val="0"/>
        <c:axPos val="b"/>
        <c:numFmt formatCode="General" sourceLinked="1"/>
        <c:majorTickMark val="none"/>
        <c:minorTickMark val="none"/>
        <c:tickLblPos val="nextTo"/>
        <c:txPr>
          <a:bodyPr/>
          <a:lstStyle/>
          <a:p>
            <a:pPr>
              <a:defRPr sz="1600"/>
            </a:pPr>
            <a:endParaRPr lang="es-ES"/>
          </a:p>
        </c:txPr>
        <c:crossAx val="277928552"/>
        <c:crosses val="autoZero"/>
        <c:auto val="1"/>
        <c:lblAlgn val="ctr"/>
        <c:lblOffset val="100"/>
        <c:noMultiLvlLbl val="0"/>
      </c:catAx>
      <c:valAx>
        <c:axId val="277928552"/>
        <c:scaling>
          <c:orientation val="minMax"/>
        </c:scaling>
        <c:delete val="1"/>
        <c:axPos val="l"/>
        <c:numFmt formatCode="0.00" sourceLinked="1"/>
        <c:majorTickMark val="out"/>
        <c:minorTickMark val="none"/>
        <c:tickLblPos val="nextTo"/>
        <c:crossAx val="277928160"/>
        <c:crosses val="autoZero"/>
        <c:crossBetween val="between"/>
      </c:valAx>
    </c:plotArea>
    <c:legend>
      <c:legendPos val="t"/>
      <c:layout>
        <c:manualLayout>
          <c:xMode val="edge"/>
          <c:yMode val="edge"/>
          <c:x val="0.19712479418333578"/>
          <c:y val="0.11593121368182747"/>
          <c:w val="0.59658512251185991"/>
          <c:h val="5.799492210919707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4.4111352932247723E-2"/>
          <c:y val="0.20924238590534336"/>
          <c:w val="0.92483135024380547"/>
          <c:h val="0.6528406334143193"/>
        </c:manualLayout>
      </c:layout>
      <c:barChart>
        <c:barDir val="col"/>
        <c:grouping val="clustered"/>
        <c:varyColors val="0"/>
        <c:ser>
          <c:idx val="0"/>
          <c:order val="0"/>
          <c:tx>
            <c:strRef>
              <c:f>'IV.2.2.1 Aport. Disp. RS'!$B$3</c:f>
              <c:strCache>
                <c:ptCount val="1"/>
                <c:pt idx="0">
                  <c:v>Aporte Gobierno </c:v>
                </c:pt>
              </c:strCache>
            </c:strRef>
          </c:tx>
          <c:spPr>
            <a:solidFill>
              <a:srgbClr val="0070C0"/>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'IV.2.2.1 Aport. Disp. RS'!$A$4:$A$16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'IV.2.2.1 Aport. Disp. RS'!$B$4:$B$16</c:f>
              <c:numCache>
                <c:formatCode>#,##0.00_);[Red]\(#,##0.00\)</c:formatCode>
                <c:ptCount val="10"/>
                <c:pt idx="0">
                  <c:v>604604920.63</c:v>
                </c:pt>
                <c:pt idx="1">
                  <c:v>724509996.65999997</c:v>
                </c:pt>
                <c:pt idx="2">
                  <c:v>1566425499.9599998</c:v>
                </c:pt>
                <c:pt idx="3">
                  <c:v>2203585531</c:v>
                </c:pt>
                <c:pt idx="4">
                  <c:v>3190675855.0100002</c:v>
                </c:pt>
                <c:pt idx="5">
                  <c:v>3736675849.46</c:v>
                </c:pt>
                <c:pt idx="6">
                  <c:v>4134675852</c:v>
                </c:pt>
                <c:pt idx="7">
                  <c:v>4600000000.96</c:v>
                </c:pt>
                <c:pt idx="8">
                  <c:v>5302610000</c:v>
                </c:pt>
                <c:pt idx="9">
                  <c:v>6839999499</c:v>
                </c:pt>
              </c:numCache>
            </c:numRef>
          </c:val>
        </c:ser>
        <c:ser>
          <c:idx val="1"/>
          <c:order val="1"/>
          <c:tx>
            <c:strRef>
              <c:f>'IV.2.2.1 Aport. Disp. RS'!$C$3</c:f>
              <c:strCache>
                <c:ptCount val="1"/>
                <c:pt idx="0">
                  <c:v> Dispersión a SENASA </c:v>
                </c:pt>
              </c:strCache>
            </c:strRef>
          </c:tx>
          <c:spPr>
            <a:solidFill>
              <a:schemeClr val="accent5">
                <a:lumMod val="50000"/>
              </a:schemeClr>
            </a:solidFill>
          </c:spPr>
          <c:invertIfNegative val="0"/>
          <c:dLbls>
            <c:dLbl>
              <c:idx val="9"/>
              <c:layout>
                <c:manualLayout>
                  <c:x val="4.2271655465371365E-3"/>
                  <c:y val="-1.148077810386010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3045466774280332E-3"/>
                  <c:y val="-1.66073546856464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'IV.2.2.1 Aport. Disp. RS'!$A$4:$A$16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'IV.2.2.1 Aport. Disp. RS'!$C$4:$C$16</c:f>
              <c:numCache>
                <c:formatCode>#,##0.00_);[Red]\(#,##0.00\)</c:formatCode>
                <c:ptCount val="10"/>
                <c:pt idx="0">
                  <c:v>203608914.68000001</c:v>
                </c:pt>
                <c:pt idx="1">
                  <c:v>816768960.5</c:v>
                </c:pt>
                <c:pt idx="2">
                  <c:v>1578880050.26</c:v>
                </c:pt>
                <c:pt idx="3">
                  <c:v>2556770326.0999999</c:v>
                </c:pt>
                <c:pt idx="4">
                  <c:v>2723337644.3600001</c:v>
                </c:pt>
                <c:pt idx="5">
                  <c:v>3444380482.98</c:v>
                </c:pt>
                <c:pt idx="6">
                  <c:v>4363872025.0799999</c:v>
                </c:pt>
                <c:pt idx="7">
                  <c:v>4742082647.7799997</c:v>
                </c:pt>
                <c:pt idx="8">
                  <c:v>5215203784.9399996</c:v>
                </c:pt>
                <c:pt idx="9">
                  <c:v>7378610518.96</c:v>
                </c:pt>
              </c:numCache>
            </c:numRef>
          </c:val>
        </c:ser>
        <c:ser>
          <c:idx val="2"/>
          <c:order val="2"/>
          <c:tx>
            <c:strRef>
              <c:f>'IV.2.2.1 Aport. Disp. RS'!$D$3</c:f>
              <c:strCache>
                <c:ptCount val="1"/>
                <c:pt idx="0">
                  <c:v>Saldos</c:v>
                </c:pt>
              </c:strCache>
            </c:strRef>
          </c:tx>
          <c:spPr>
            <a:solidFill>
              <a:srgbClr val="FFC000"/>
            </a:solidFill>
          </c:spPr>
          <c:invertIfNegative val="0"/>
          <c:dPt>
            <c:idx val="1"/>
            <c:invertIfNegative val="0"/>
            <c:bubble3D val="0"/>
            <c:spPr>
              <a:solidFill>
                <a:srgbClr val="FF0000"/>
              </a:solidFill>
            </c:spPr>
          </c:dPt>
          <c:dPt>
            <c:idx val="2"/>
            <c:invertIfNegative val="0"/>
            <c:bubble3D val="0"/>
          </c:dPt>
          <c:dPt>
            <c:idx val="4"/>
            <c:invertIfNegative val="0"/>
            <c:bubble3D val="0"/>
            <c:spPr>
              <a:solidFill>
                <a:srgbClr val="FF0000"/>
              </a:solidFill>
            </c:spPr>
          </c:dPt>
          <c:dPt>
            <c:idx val="5"/>
            <c:invertIfNegative val="0"/>
            <c:bubble3D val="0"/>
          </c:dPt>
          <c:dPt>
            <c:idx val="6"/>
            <c:invertIfNegative val="0"/>
            <c:bubble3D val="0"/>
            <c:spPr>
              <a:solidFill>
                <a:srgbClr val="FF0000"/>
              </a:solidFill>
            </c:spPr>
          </c:dPt>
          <c:dPt>
            <c:idx val="9"/>
            <c:invertIfNegative val="0"/>
            <c:bubble3D val="0"/>
            <c:spPr>
              <a:solidFill>
                <a:srgbClr val="FF0000"/>
              </a:solidFill>
            </c:spPr>
          </c:dPt>
          <c:dPt>
            <c:idx val="10"/>
            <c:invertIfNegative val="0"/>
            <c:bubble3D val="0"/>
            <c:spPr>
              <a:solidFill>
                <a:srgbClr val="FF0000"/>
              </a:solidFill>
            </c:spPr>
          </c:dPt>
          <c:dLbls>
            <c:dLbl>
              <c:idx val="0"/>
              <c:layout>
                <c:manualLayout>
                  <c:x val="0"/>
                  <c:y val="1.3793100951561055E-2"/>
                </c:manualLayout>
              </c:layout>
              <c:tx>
                <c:rich>
                  <a:bodyPr rot="-5400000" vert="horz"/>
                  <a:lstStyle/>
                  <a:p>
                    <a:pPr>
                      <a:defRPr sz="1200">
                        <a:solidFill>
                          <a:sysClr val="windowText" lastClr="000000"/>
                        </a:solidFill>
                      </a:defRPr>
                    </a:pPr>
                    <a:r>
                      <a:rPr lang="en-US" sz="1200">
                        <a:solidFill>
                          <a:sysClr val="windowText" lastClr="000000"/>
                        </a:solidFill>
                      </a:rPr>
                      <a:t> 40.0 </a:t>
                    </a:r>
                    <a:endParaRPr lang="en-US" sz="1050">
                      <a:solidFill>
                        <a:sysClr val="windowText" lastClr="000000"/>
                      </a:solidFill>
                    </a:endParaRPr>
                  </a:p>
                </c:rich>
              </c:tx>
              <c:numFmt formatCode="General" sourceLinked="0"/>
              <c:spPr/>
              <c:showLegendKey val="0"/>
              <c:showVal val="0"/>
              <c:showCatName val="0"/>
              <c:showSerName val="0"/>
              <c:showPercent val="0"/>
              <c:showBubbleSize val="0"/>
              <c:extLst>
                <c:ext xmlns:c15="http://schemas.microsoft.com/office/drawing/2012/chart" uri="{CE6537A1-D6FC-4f65-9D91-7224C49458BB}"/>
              </c:extLst>
            </c:dLbl>
            <c:dLbl>
              <c:idx val="1"/>
              <c:layout>
                <c:manualLayout>
                  <c:x val="-8.3932010425576467E-4"/>
                  <c:y val="3.1439943625677686E-3"/>
                </c:manualLayout>
              </c:layout>
              <c:tx>
                <c:rich>
                  <a:bodyPr/>
                  <a:lstStyle/>
                  <a:p>
                    <a:r>
                      <a:rPr lang="en-US" sz="1200">
                        <a:solidFill>
                          <a:srgbClr val="FF0000"/>
                        </a:solidFill>
                      </a:rPr>
                      <a:t> (40.6)</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929481968935109E-4"/>
                  <c:y val="-1.3612089128050599E-3"/>
                </c:manualLayout>
              </c:layout>
              <c:tx>
                <c:rich>
                  <a:bodyPr/>
                  <a:lstStyle/>
                  <a:p>
                    <a:r>
                      <a:rPr lang="en-US" sz="1200">
                        <a:solidFill>
                          <a:srgbClr val="FF0000"/>
                        </a:solidFill>
                      </a:rPr>
                      <a:t> (1.8)</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0"/>
                  <c:y val="1.1494250792967545E-2"/>
                </c:manualLayout>
              </c:layout>
              <c:tx>
                <c:rich>
                  <a:bodyPr rot="-5400000" vert="horz"/>
                  <a:lstStyle/>
                  <a:p>
                    <a:pPr>
                      <a:defRPr sz="1200">
                        <a:solidFill>
                          <a:sysClr val="windowText" lastClr="000000"/>
                        </a:solidFill>
                      </a:defRPr>
                    </a:pPr>
                    <a:r>
                      <a:rPr lang="en-US" sz="1200">
                        <a:solidFill>
                          <a:sysClr val="windowText" lastClr="000000"/>
                        </a:solidFill>
                      </a:rPr>
                      <a:t> 400.9 </a:t>
                    </a:r>
                    <a:endParaRPr lang="en-US" sz="1050">
                      <a:solidFill>
                        <a:sysClr val="windowText" lastClr="000000"/>
                      </a:solidFill>
                    </a:endParaRPr>
                  </a:p>
                </c:rich>
              </c:tx>
              <c:numFmt formatCode="General" sourceLinked="0"/>
              <c:spPr/>
              <c:showLegendKey val="0"/>
              <c:showVal val="0"/>
              <c:showCatName val="0"/>
              <c:showSerName val="0"/>
              <c:showPercent val="0"/>
              <c:showBubbleSize val="0"/>
              <c:extLst>
                <c:ext xmlns:c15="http://schemas.microsoft.com/office/drawing/2012/chart" uri="{CE6537A1-D6FC-4f65-9D91-7224C49458BB}"/>
              </c:extLst>
            </c:dLbl>
            <c:dLbl>
              <c:idx val="4"/>
              <c:tx>
                <c:rich>
                  <a:bodyPr/>
                  <a:lstStyle/>
                  <a:p>
                    <a:r>
                      <a:rPr lang="en-US" sz="1200">
                        <a:solidFill>
                          <a:srgbClr val="FF0000"/>
                        </a:solidFill>
                      </a:rPr>
                      <a:t> (92.2)</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tx>
                <c:rich>
                  <a:bodyPr/>
                  <a:lstStyle/>
                  <a:p>
                    <a:r>
                      <a:rPr lang="en-US" sz="1200">
                        <a:solidFill>
                          <a:srgbClr val="FF0000"/>
                        </a:solidFill>
                      </a:rPr>
                      <a:t> (12.4)</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779989387559594E-4"/>
                  <c:y val="7.5337120945403037E-4"/>
                </c:manualLayout>
              </c:layout>
              <c:tx>
                <c:rich>
                  <a:bodyPr/>
                  <a:lstStyle/>
                  <a:p>
                    <a:r>
                      <a:rPr lang="en-US" sz="1200">
                        <a:solidFill>
                          <a:srgbClr val="FF0000"/>
                        </a:solidFill>
                      </a:rPr>
                      <a:t> (353.1)</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tx>
                <c:rich>
                  <a:bodyPr rot="-5400000" vert="horz"/>
                  <a:lstStyle/>
                  <a:p>
                    <a:pPr>
                      <a:defRPr sz="1200">
                        <a:solidFill>
                          <a:sysClr val="windowText" lastClr="000000"/>
                        </a:solidFill>
                      </a:defRPr>
                    </a:pPr>
                    <a:r>
                      <a:rPr lang="en-US" sz="1200">
                        <a:solidFill>
                          <a:sysClr val="windowText" lastClr="000000"/>
                        </a:solidFill>
                      </a:rPr>
                      <a:t> 467.3 </a:t>
                    </a:r>
                  </a:p>
                </c:rich>
              </c:tx>
              <c:numFmt formatCode="General" sourceLinked="0"/>
              <c:spPr/>
              <c:showLegendKey val="0"/>
              <c:showVal val="0"/>
              <c:showCatName val="0"/>
              <c:showSerName val="0"/>
              <c:showPercent val="0"/>
              <c:showBubbleSize val="0"/>
              <c:extLst>
                <c:ext xmlns:c15="http://schemas.microsoft.com/office/drawing/2012/chart" uri="{CE6537A1-D6FC-4f65-9D91-7224C49458BB}"/>
              </c:extLst>
            </c:dLbl>
            <c:dLbl>
              <c:idx val="8"/>
              <c:layout>
                <c:manualLayout>
                  <c:x val="2.2126073601596422E-3"/>
                  <c:y val="1.2149332582254941E-2"/>
                </c:manualLayout>
              </c:layout>
              <c:tx>
                <c:rich>
                  <a:bodyPr rot="-5400000" vert="horz"/>
                  <a:lstStyle/>
                  <a:p>
                    <a:pPr>
                      <a:defRPr sz="1200">
                        <a:solidFill>
                          <a:sysClr val="windowText" lastClr="000000"/>
                        </a:solidFill>
                      </a:defRPr>
                    </a:pPr>
                    <a:r>
                      <a:rPr lang="en-US" sz="1200">
                        <a:solidFill>
                          <a:sysClr val="windowText" lastClr="000000"/>
                        </a:solidFill>
                      </a:rPr>
                      <a:t>292.29</a:t>
                    </a:r>
                    <a:endParaRPr lang="en-US" sz="1100">
                      <a:solidFill>
                        <a:sysClr val="windowText" lastClr="000000"/>
                      </a:solidFill>
                    </a:endParaRPr>
                  </a:p>
                </c:rich>
              </c:tx>
              <c:numFmt formatCode="General" sourceLinked="0"/>
              <c:spPr/>
              <c:showLegendKey val="0"/>
              <c:showVal val="0"/>
              <c:showCatName val="0"/>
              <c:showSerName val="0"/>
              <c:showPercent val="0"/>
              <c:showBubbleSize val="0"/>
              <c:extLst>
                <c:ext xmlns:c15="http://schemas.microsoft.com/office/drawing/2012/chart" uri="{CE6537A1-D6FC-4f65-9D91-7224C49458BB}"/>
              </c:extLst>
            </c:dLbl>
            <c:dLbl>
              <c:idx val="9"/>
              <c:layout>
                <c:manualLayout>
                  <c:x val="1.7798905054937098E-4"/>
                  <c:y val="1.0770384510745858E-2"/>
                </c:manualLayout>
              </c:layout>
              <c:tx>
                <c:rich>
                  <a:bodyPr/>
                  <a:lstStyle/>
                  <a:p>
                    <a:r>
                      <a:rPr lang="en-US" sz="1200">
                        <a:solidFill>
                          <a:srgbClr val="FF0000"/>
                        </a:solidFill>
                      </a:rPr>
                      <a:t>(229.2)</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0"/>
              <c:tx>
                <c:rich>
                  <a:bodyPr/>
                  <a:lstStyle/>
                  <a:p>
                    <a:r>
                      <a:rPr lang="en-US" sz="1200">
                        <a:solidFill>
                          <a:srgbClr val="FF0000"/>
                        </a:solidFill>
                      </a:rPr>
                      <a:t>(378.3)</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1"/>
              <c:tx>
                <c:rich>
                  <a:bodyPr rot="-5400000" vert="horz"/>
                  <a:lstStyle/>
                  <a:p>
                    <a:pPr>
                      <a:defRPr sz="1200">
                        <a:solidFill>
                          <a:sysClr val="windowText" lastClr="000000"/>
                        </a:solidFill>
                      </a:defRPr>
                    </a:pPr>
                    <a:r>
                      <a:rPr lang="en-US"/>
                      <a:t>41.14</a:t>
                    </a:r>
                  </a:p>
                </c:rich>
              </c:tx>
              <c:numFmt formatCode="General" sourceLinked="0"/>
              <c:spPr/>
              <c:showLegendKey val="0"/>
              <c:showVal val="1"/>
              <c:showCatName val="0"/>
              <c:showSerName val="0"/>
              <c:showPercent val="0"/>
              <c:showBubbleSize val="0"/>
              <c:extLst>
                <c:ext xmlns:c15="http://schemas.microsoft.com/office/drawing/2012/chart" uri="{CE6537A1-D6FC-4f65-9D91-7224C49458BB}"/>
              </c:extLst>
            </c:dLbl>
            <c:numFmt formatCode="General" sourceLinked="0"/>
            <c:spPr>
              <a:noFill/>
              <a:ln>
                <a:noFill/>
              </a:ln>
              <a:effectLst/>
            </c:spPr>
            <c:txPr>
              <a:bodyPr rot="-5400000" vert="horz"/>
              <a:lstStyle/>
              <a:p>
                <a:pPr>
                  <a:defRPr sz="12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'IV.2.2.1 Aport. Disp. RS'!$A$4:$A$16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'IV.2.2.1 Aport. Disp. RS'!$D$4:$D$16</c:f>
              <c:numCache>
                <c:formatCode>#,##0.00_);[Red]\(#,##0.00\)</c:formatCode>
                <c:ptCount val="10"/>
                <c:pt idx="0">
                  <c:v>400996005.94999999</c:v>
                </c:pt>
                <c:pt idx="1">
                  <c:v>-92258963.840000033</c:v>
                </c:pt>
                <c:pt idx="2">
                  <c:v>-12454550.300000191</c:v>
                </c:pt>
                <c:pt idx="3">
                  <c:v>-353184795.0999999</c:v>
                </c:pt>
                <c:pt idx="4">
                  <c:v>467338210.6500001</c:v>
                </c:pt>
                <c:pt idx="5">
                  <c:v>292295366.48000002</c:v>
                </c:pt>
                <c:pt idx="6">
                  <c:v>-229196173.07999992</c:v>
                </c:pt>
                <c:pt idx="7">
                  <c:v>-142082646.81999969</c:v>
                </c:pt>
                <c:pt idx="8">
                  <c:v>87406215.06000042</c:v>
                </c:pt>
                <c:pt idx="9">
                  <c:v>-538611019.96000004</c:v>
                </c:pt>
              </c:numCache>
            </c:numRef>
          </c:val>
        </c:ser>
        <c:dLbls>
          <c:showLegendKey val="0"/>
          <c:showVal val="0"/>
          <c:showCatName val="0"/>
          <c:showSerName val="0"/>
          <c:showPercent val="0"/>
          <c:showBubbleSize val="0"/>
        </c:dLbls>
        <c:gapWidth val="27"/>
        <c:axId val="277928944"/>
        <c:axId val="277929728"/>
      </c:barChart>
      <c:catAx>
        <c:axId val="277928944"/>
        <c:scaling>
          <c:orientation val="minMax"/>
        </c:scaling>
        <c:delete val="0"/>
        <c:axPos val="b"/>
        <c:numFmt formatCode="General" sourceLinked="1"/>
        <c:majorTickMark val="none"/>
        <c:minorTickMark val="none"/>
        <c:tickLblPos val="low"/>
        <c:txPr>
          <a:bodyPr/>
          <a:lstStyle/>
          <a:p>
            <a:pPr>
              <a:defRPr sz="1400"/>
            </a:pPr>
            <a:endParaRPr lang="es-ES"/>
          </a:p>
        </c:txPr>
        <c:crossAx val="277929728"/>
        <c:crosses val="autoZero"/>
        <c:auto val="1"/>
        <c:lblAlgn val="ctr"/>
        <c:lblOffset val="100"/>
        <c:noMultiLvlLbl val="0"/>
      </c:catAx>
      <c:valAx>
        <c:axId val="277929728"/>
        <c:scaling>
          <c:orientation val="minMax"/>
        </c:scaling>
        <c:delete val="0"/>
        <c:axPos val="l"/>
        <c:numFmt formatCode="#,##0.00_);[Red]\(#,##0.00\)" sourceLinked="1"/>
        <c:majorTickMark val="none"/>
        <c:minorTickMark val="none"/>
        <c:tickLblPos val="none"/>
        <c:crossAx val="277928944"/>
        <c:crosses val="autoZero"/>
        <c:crossBetween val="between"/>
        <c:dispUnits>
          <c:builtInUnit val="millions"/>
          <c:dispUnitsLbl>
            <c:layout>
              <c:manualLayout>
                <c:xMode val="edge"/>
                <c:yMode val="edge"/>
                <c:x val="7.2815393403854629E-3"/>
                <c:y val="0.43641974513818249"/>
              </c:manualLayout>
            </c:layout>
            <c:txPr>
              <a:bodyPr/>
              <a:lstStyle/>
              <a:p>
                <a:pPr>
                  <a:defRPr sz="1200" b="1"/>
                </a:pPr>
                <a:endParaRPr lang="es-ES"/>
              </a:p>
            </c:txPr>
          </c:dispUnitsLbl>
        </c:dispUnits>
      </c:valAx>
      <c:spPr>
        <a:ln>
          <a:noFill/>
        </a:ln>
      </c:spPr>
    </c:plotArea>
    <c:legend>
      <c:legendPos val="b"/>
      <c:layout>
        <c:manualLayout>
          <c:xMode val="edge"/>
          <c:yMode val="edge"/>
          <c:x val="0.32442543756540204"/>
          <c:y val="0.1357756114991126"/>
          <c:w val="0.42505980095665508"/>
          <c:h val="4.7134573783224942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Familiar de Salud (SFS) del Régimen Subsidiado (RS)</a:t>
            </a:r>
          </a:p>
          <a:p>
            <a:pPr>
              <a:defRPr sz="1600"/>
            </a:pPr>
            <a:r>
              <a:rPr lang="es-DO" sz="1600"/>
              <a:t>Aportes y Dispersión Mensual </a:t>
            </a:r>
          </a:p>
        </c:rich>
      </c:tx>
      <c:overlay val="1"/>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4295866736645061E-2"/>
          <c:y val="0.3106634190721182"/>
          <c:w val="0.92874049285414328"/>
          <c:h val="0.51921643300824694"/>
        </c:manualLayout>
      </c:layout>
      <c:bar3DChart>
        <c:barDir val="col"/>
        <c:grouping val="clustered"/>
        <c:varyColors val="0"/>
        <c:ser>
          <c:idx val="0"/>
          <c:order val="0"/>
          <c:tx>
            <c:strRef>
              <c:f>'IV.2.2.2 Saldos RS mensual'!$B$4</c:f>
              <c:strCache>
                <c:ptCount val="1"/>
                <c:pt idx="0">
                  <c:v>Aporte Gobierno</c:v>
                </c:pt>
              </c:strCache>
            </c:strRef>
          </c:tx>
          <c:spPr>
            <a:solidFill>
              <a:srgbClr val="0070C0"/>
            </a:solidFill>
          </c:spPr>
          <c:invertIfNegative val="0"/>
          <c:dLbls>
            <c:dLbl>
              <c:idx val="1"/>
              <c:layout>
                <c:manualLayout>
                  <c:x val="3.795966785290665E-3"/>
                  <c:y val="-3.76100894504426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795966785290665E-3"/>
                  <c:y val="-5.77725231082659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8469750889680012E-3"/>
                  <c:y val="1.8765364658982427E-4"/>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131025262110431E-3"/>
                  <c:y val="-3.844667751365366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899169632265768E-4"/>
                  <c:y val="-4.0118200303982414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69003652124452E-3"/>
                  <c:y val="-6.2992105154822196E-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897939819216016E-3"/>
                  <c:y val="-1.6612721065502579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500152741974866E-3"/>
                  <c:y val="1.093714892441393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69468923214415E-3"/>
                  <c:y val="1.1197578404889171E-3"/>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1.8980141462110332E-3"/>
                  <c:y val="-1.577778633838466E-3"/>
                </c:manualLayout>
              </c:layout>
              <c:spPr/>
              <c:txPr>
                <a:bodyPr rot="-5400000" vert="horz"/>
                <a:lstStyle/>
                <a:p>
                  <a:pPr>
                    <a:defRPr lang="en-US"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2"/>
              <c:spPr/>
              <c:txPr>
                <a:bodyPr rot="-5400000" vert="horz"/>
                <a:lstStyle/>
                <a:p>
                  <a:pPr>
                    <a:defRPr lang="en-US" sz="1200" b="1"/>
                  </a:pPr>
                  <a:endParaRPr lang="es-ES"/>
                </a:p>
              </c:txPr>
              <c:showLegendKey val="0"/>
              <c:showVal val="1"/>
              <c:showCatName val="0"/>
              <c:showSerName val="0"/>
              <c:showPercent val="0"/>
              <c:showBubbleSize val="0"/>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'IV.2.2.2 Saldos RS mensual'!$A$5:$A$42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'IV.2.2.2 Saldos RS mensual'!$B$5:$B$42</c:f>
              <c:numCache>
                <c:formatCode>_(* #,##0.00_);_(* \(#,##0.00\);_(* "-"??_);_(@_)</c:formatCode>
                <c:ptCount val="13"/>
                <c:pt idx="0">
                  <c:v>476700367.67000002</c:v>
                </c:pt>
                <c:pt idx="1">
                  <c:v>0</c:v>
                </c:pt>
                <c:pt idx="2">
                  <c:v>570000000</c:v>
                </c:pt>
                <c:pt idx="3">
                  <c:v>570000000</c:v>
                </c:pt>
                <c:pt idx="4">
                  <c:v>570000000</c:v>
                </c:pt>
                <c:pt idx="5">
                  <c:v>570000000</c:v>
                </c:pt>
                <c:pt idx="6">
                  <c:v>570000000</c:v>
                </c:pt>
                <c:pt idx="7">
                  <c:v>570000000</c:v>
                </c:pt>
                <c:pt idx="8">
                  <c:v>570000000</c:v>
                </c:pt>
                <c:pt idx="9">
                  <c:v>570000000</c:v>
                </c:pt>
                <c:pt idx="10">
                  <c:v>570000000</c:v>
                </c:pt>
                <c:pt idx="11">
                  <c:v>570000000</c:v>
                </c:pt>
                <c:pt idx="12">
                  <c:v>1139999499</c:v>
                </c:pt>
              </c:numCache>
            </c:numRef>
          </c:val>
        </c:ser>
        <c:ser>
          <c:idx val="1"/>
          <c:order val="1"/>
          <c:tx>
            <c:strRef>
              <c:f>'IV.2.2.2 Saldos RS mensual'!$C$4</c:f>
              <c:strCache>
                <c:ptCount val="1"/>
                <c:pt idx="0">
                  <c:v>Dispersión a SENASA</c:v>
                </c:pt>
              </c:strCache>
            </c:strRef>
          </c:tx>
          <c:spPr>
            <a:solidFill>
              <a:schemeClr val="accent5">
                <a:lumMod val="50000"/>
              </a:schemeClr>
            </a:solidFill>
          </c:spPr>
          <c:invertIfNegative val="0"/>
          <c:dLbls>
            <c:dLbl>
              <c:idx val="0"/>
              <c:layout>
                <c:manualLayout>
                  <c:x val="2.8469750889680012E-3"/>
                  <c:y val="-1.7449309128713501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449584816132914E-3"/>
                  <c:y val="-5.777252310826593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795966785290665E-3"/>
                  <c:y val="-1.744930912871350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8469468923214415E-3"/>
                  <c:y val="2.3708839577956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7959539654269766E-3"/>
                  <c:y val="2.287225151474545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449610385324522E-3"/>
                  <c:y val="6.737675247425880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469468923214415E-3"/>
                  <c:y val="4.6377730753225524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69468923215152E-3"/>
                  <c:y val="4.470786129899059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469468923214415E-3"/>
                  <c:y val="8.6702598068871747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469468923214415E-3"/>
                  <c:y val="1.06028443663482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520011279864802E-3"/>
                  <c:y val="2.2873904850838496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8980141462110332E-3"/>
                  <c:y val="2.3710492914049506E-3"/>
                </c:manualLayout>
              </c:layout>
              <c:spPr/>
              <c:txPr>
                <a:bodyPr rot="-5400000" vert="horz"/>
                <a:lstStyle/>
                <a:p>
                  <a:pPr>
                    <a:defRPr lang="en-US"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2"/>
              <c:layout>
                <c:manualLayout>
                  <c:x val="9.4900707310550524E-4"/>
                  <c:y val="2.4545427641167209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'IV.2.2.2 Saldos RS mensual'!$A$5:$A$42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'IV.2.2.2 Saldos RS mensual'!$C$5:$C$42</c:f>
              <c:numCache>
                <c:formatCode>_(* #,##0.00_);_(* \(#,##0.00\);_(* "-"??_);_(@_)</c:formatCode>
                <c:ptCount val="13"/>
                <c:pt idx="0">
                  <c:v>490576260.66000003</c:v>
                </c:pt>
                <c:pt idx="1">
                  <c:v>510009901.01999998</c:v>
                </c:pt>
                <c:pt idx="2">
                  <c:v>562936324.55999994</c:v>
                </c:pt>
                <c:pt idx="3">
                  <c:v>565001428.94000006</c:v>
                </c:pt>
                <c:pt idx="4">
                  <c:v>563798547.22000003</c:v>
                </c:pt>
                <c:pt idx="5">
                  <c:v>564869806</c:v>
                </c:pt>
                <c:pt idx="6">
                  <c:v>566362011.77999997</c:v>
                </c:pt>
                <c:pt idx="7">
                  <c:v>565674533.46000004</c:v>
                </c:pt>
                <c:pt idx="8">
                  <c:v>564899580.29999995</c:v>
                </c:pt>
                <c:pt idx="9">
                  <c:v>564355018.62</c:v>
                </c:pt>
                <c:pt idx="10">
                  <c:v>565084386.29999995</c:v>
                </c:pt>
                <c:pt idx="11">
                  <c:v>584861503.05999994</c:v>
                </c:pt>
                <c:pt idx="12">
                  <c:v>1200757477.7</c:v>
                </c:pt>
              </c:numCache>
            </c:numRef>
          </c:val>
        </c:ser>
        <c:ser>
          <c:idx val="2"/>
          <c:order val="2"/>
          <c:tx>
            <c:strRef>
              <c:f>'IV.2.2.2 Saldos RS mensual'!$D$4</c:f>
              <c:strCache>
                <c:ptCount val="1"/>
                <c:pt idx="0">
                  <c:v>Saldos</c:v>
                </c:pt>
              </c:strCache>
            </c:strRef>
          </c:tx>
          <c:spPr>
            <a:solidFill>
              <a:schemeClr val="accent6">
                <a:lumMod val="50000"/>
              </a:schemeClr>
            </a:solidFill>
          </c:spPr>
          <c:invertIfNegative val="0"/>
          <c:dPt>
            <c:idx val="0"/>
            <c:invertIfNegative val="0"/>
            <c:bubble3D val="0"/>
          </c:dPt>
          <c:dPt>
            <c:idx val="1"/>
            <c:invertIfNegative val="0"/>
            <c:bubble3D val="0"/>
          </c:dPt>
          <c:dPt>
            <c:idx val="2"/>
            <c:invertIfNegative val="0"/>
            <c:bubble3D val="0"/>
          </c:dPt>
          <c:dPt>
            <c:idx val="7"/>
            <c:invertIfNegative val="0"/>
            <c:bubble3D val="0"/>
          </c:dPt>
          <c:dPt>
            <c:idx val="12"/>
            <c:invertIfNegative val="0"/>
            <c:bubble3D val="0"/>
          </c:dPt>
          <c:dLbls>
            <c:dLbl>
              <c:idx val="0"/>
              <c:layout>
                <c:manualLayout>
                  <c:x val="1.5088380000032704E-5"/>
                  <c:y val="-3.9530241201601625E-3"/>
                </c:manualLayout>
              </c:layout>
              <c:spPr/>
              <c:txPr>
                <a:bodyPr rot="-5400000" vert="horz"/>
                <a:lstStyle/>
                <a:p>
                  <a:pPr>
                    <a:defRPr lang="en-US" sz="12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2.9198562394352574E-3"/>
                  <c:y val="3.1193712942177453E-3"/>
                </c:manualLayout>
              </c:layout>
              <c:spPr/>
              <c:txPr>
                <a:bodyPr rot="-5400000" vert="horz"/>
                <a:lstStyle/>
                <a:p>
                  <a:pPr>
                    <a:defRPr lang="en-US" sz="12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795936619033732E-3"/>
                  <c:y val="-7.6895009423438177E-3"/>
                </c:manualLayout>
              </c:layout>
              <c:spPr/>
              <c:txPr>
                <a:bodyPr rot="-5400000" vert="horz"/>
                <a:lstStyle/>
                <a:p>
                  <a:pPr>
                    <a:defRPr lang="en-US" sz="12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3.7959667852906875E-3"/>
                  <c:y val="6.0484763951462834E-3"/>
                </c:manualLayout>
              </c:layout>
              <c:spPr/>
              <c:txPr>
                <a:bodyPr rot="-5400000" vert="horz"/>
                <a:lstStyle/>
                <a:p>
                  <a:pPr>
                    <a:defRPr lang="en-US" sz="120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2.8469158798288762E-3"/>
                  <c:y val="-3.0625477169912373E-3"/>
                </c:manualLayout>
              </c:layout>
              <c:spPr/>
              <c:txPr>
                <a:bodyPr rot="-5400000" vert="horz"/>
                <a:lstStyle/>
                <a:p>
                  <a:pPr>
                    <a:defRPr lang="en-US" sz="120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2.8469468923214415E-3"/>
                  <c:y val="3.82627354062494E-3"/>
                </c:manualLayout>
              </c:layout>
              <c:spPr/>
              <c:txPr>
                <a:bodyPr rot="-5400000" vert="horz"/>
                <a:lstStyle/>
                <a:p>
                  <a:pPr>
                    <a:defRPr lang="en-US" sz="120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2.8468725653263676E-3"/>
                  <c:y val="1.7024401752734658E-3"/>
                </c:manualLayout>
              </c:layout>
              <c:spPr/>
              <c:txPr>
                <a:bodyPr rot="-5400000" vert="horz"/>
                <a:lstStyle/>
                <a:p>
                  <a:pPr>
                    <a:defRPr lang="en-US" sz="12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5.6838339651987943E-3"/>
                  <c:y val="-5.810197249205176E-3"/>
                </c:manualLayout>
              </c:layout>
              <c:spPr/>
              <c:txPr>
                <a:bodyPr rot="-5400000" vert="horz"/>
                <a:lstStyle/>
                <a:p>
                  <a:pPr>
                    <a:defRPr lang="en-US" sz="12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8"/>
              <c:layout>
                <c:manualLayout>
                  <c:x val="4.7449584816132914E-3"/>
                  <c:y val="6.0484763951462114E-3"/>
                </c:manualLayout>
              </c:layout>
              <c:spPr/>
              <c:txPr>
                <a:bodyPr rot="-5400000" vert="horz"/>
                <a:lstStyle/>
                <a:p>
                  <a:pPr>
                    <a:defRPr lang="en-US" sz="120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8469750889680012E-3"/>
                  <c:y val="4.0323175967641334E-3"/>
                </c:manualLayout>
              </c:layout>
              <c:spPr/>
              <c:txPr>
                <a:bodyPr rot="-5400000" vert="horz"/>
                <a:lstStyle/>
                <a:p>
                  <a:pPr>
                    <a:defRPr lang="en-US" sz="120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7959539654269471E-3"/>
                  <c:y val="6.2385194551410998E-3"/>
                </c:manualLayout>
              </c:layout>
              <c:spPr/>
              <c:txPr>
                <a:bodyPr rot="-5400000" vert="horz"/>
                <a:lstStyle/>
                <a:p>
                  <a:pPr>
                    <a:defRPr lang="en-US" sz="1200" b="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2.7858448754637644E-3"/>
                  <c:y val="9.020688395224008E-2"/>
                </c:manualLayout>
              </c:layout>
              <c:spPr/>
              <c:txPr>
                <a:bodyPr rot="-5400000" vert="horz"/>
                <a:lstStyle/>
                <a:p>
                  <a:pPr>
                    <a:defRPr lang="en-US" sz="1400" b="0">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2"/>
              <c:layout>
                <c:manualLayout>
                  <c:x val="1.8980141462110105E-3"/>
                  <c:y val="3.8025076809861556E-3"/>
                </c:manualLayout>
              </c:layout>
              <c:spPr/>
              <c:txPr>
                <a:bodyPr rot="-5400000" vert="horz"/>
                <a:lstStyle/>
                <a:p>
                  <a:pPr>
                    <a:defRPr lang="en-US" sz="12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solidFill>
                        <a:srgbClr val="FF0000"/>
                      </a:solidFill>
                    </a:defRPr>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'IV.2.2.2 Saldos RS mensual'!$A$5:$A$42</c:f>
              <c:strCache>
                <c:ptCount val="13"/>
                <c:pt idx="0">
                  <c:v>Dic.13</c:v>
                </c:pt>
                <c:pt idx="1">
                  <c:v>Ene.14</c:v>
                </c:pt>
                <c:pt idx="2">
                  <c:v>Feb.14</c:v>
                </c:pt>
                <c:pt idx="3">
                  <c:v>Mar.14</c:v>
                </c:pt>
                <c:pt idx="4">
                  <c:v>Abr.14</c:v>
                </c:pt>
                <c:pt idx="5">
                  <c:v>May.14</c:v>
                </c:pt>
                <c:pt idx="6">
                  <c:v>Jun.14</c:v>
                </c:pt>
                <c:pt idx="7">
                  <c:v>Jul.14</c:v>
                </c:pt>
                <c:pt idx="8">
                  <c:v>Ago.14</c:v>
                </c:pt>
                <c:pt idx="9">
                  <c:v>Sep.14</c:v>
                </c:pt>
                <c:pt idx="10">
                  <c:v>Oct.14</c:v>
                </c:pt>
                <c:pt idx="11">
                  <c:v>Nov.14</c:v>
                </c:pt>
                <c:pt idx="12">
                  <c:v>Dic.14</c:v>
                </c:pt>
              </c:strCache>
            </c:strRef>
          </c:cat>
          <c:val>
            <c:numRef>
              <c:f>'IV.2.2.2 Saldos RS mensual'!$D$5:$D$42</c:f>
              <c:numCache>
                <c:formatCode>#,##0.00_);[Red]\(#,##0.00\)</c:formatCode>
                <c:ptCount val="13"/>
                <c:pt idx="0">
                  <c:v>-13875892.99000001</c:v>
                </c:pt>
                <c:pt idx="1">
                  <c:v>-510009901.01999998</c:v>
                </c:pt>
                <c:pt idx="2">
                  <c:v>7063675.4400000572</c:v>
                </c:pt>
                <c:pt idx="3">
                  <c:v>4998571.0599999428</c:v>
                </c:pt>
                <c:pt idx="4">
                  <c:v>6201452.7799999714</c:v>
                </c:pt>
                <c:pt idx="5">
                  <c:v>5130194</c:v>
                </c:pt>
                <c:pt idx="6">
                  <c:v>3637988.2200000286</c:v>
                </c:pt>
                <c:pt idx="7">
                  <c:v>4325466.5399999619</c:v>
                </c:pt>
                <c:pt idx="8">
                  <c:v>5100419.7000000477</c:v>
                </c:pt>
                <c:pt idx="9">
                  <c:v>5644981.3799999952</c:v>
                </c:pt>
                <c:pt idx="10">
                  <c:v>4915613.7000000477</c:v>
                </c:pt>
                <c:pt idx="11">
                  <c:v>-14861503.059999943</c:v>
                </c:pt>
                <c:pt idx="12">
                  <c:v>-60757978.700000048</c:v>
                </c:pt>
              </c:numCache>
            </c:numRef>
          </c:val>
        </c:ser>
        <c:dLbls>
          <c:showLegendKey val="0"/>
          <c:showVal val="0"/>
          <c:showCatName val="0"/>
          <c:showSerName val="0"/>
          <c:showPercent val="0"/>
          <c:showBubbleSize val="0"/>
        </c:dLbls>
        <c:gapWidth val="75"/>
        <c:shape val="cylinder"/>
        <c:axId val="277930904"/>
        <c:axId val="277423616"/>
        <c:axId val="0"/>
      </c:bar3DChart>
      <c:catAx>
        <c:axId val="277930904"/>
        <c:scaling>
          <c:orientation val="minMax"/>
        </c:scaling>
        <c:delete val="0"/>
        <c:axPos val="b"/>
        <c:numFmt formatCode="mmm\-yy" sourceLinked="0"/>
        <c:majorTickMark val="none"/>
        <c:minorTickMark val="none"/>
        <c:tickLblPos val="low"/>
        <c:txPr>
          <a:bodyPr/>
          <a:lstStyle/>
          <a:p>
            <a:pPr>
              <a:defRPr lang="en-US" sz="1100"/>
            </a:pPr>
            <a:endParaRPr lang="es-ES"/>
          </a:p>
        </c:txPr>
        <c:crossAx val="277423616"/>
        <c:crosses val="autoZero"/>
        <c:auto val="1"/>
        <c:lblAlgn val="ctr"/>
        <c:lblOffset val="100"/>
        <c:noMultiLvlLbl val="1"/>
      </c:catAx>
      <c:valAx>
        <c:axId val="27742361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77930904"/>
        <c:crosses val="autoZero"/>
        <c:crossBetween val="between"/>
        <c:dispUnits>
          <c:builtInUnit val="millions"/>
          <c:dispUnitsLbl>
            <c:layout>
              <c:manualLayout>
                <c:xMode val="edge"/>
                <c:yMode val="edge"/>
                <c:x val="1.7194017694869737E-2"/>
                <c:y val="0.39420447829637384"/>
              </c:manualLayout>
            </c:layout>
            <c:txPr>
              <a:bodyPr/>
              <a:lstStyle/>
              <a:p>
                <a:pPr>
                  <a:defRPr lang="en-US"/>
                </a:pPr>
                <a:endParaRPr lang="es-ES"/>
              </a:p>
            </c:txPr>
          </c:dispUnitsLbl>
        </c:dispUnits>
      </c:valAx>
      <c:spPr>
        <a:noFill/>
        <a:ln w="25400">
          <a:noFill/>
        </a:ln>
      </c:spPr>
    </c:plotArea>
    <c:legend>
      <c:legendPos val="b"/>
      <c:layout>
        <c:manualLayout>
          <c:xMode val="edge"/>
          <c:yMode val="edge"/>
          <c:x val="0.24516152169863961"/>
          <c:y val="9.1192228088545796E-2"/>
          <c:w val="0.47611688538932634"/>
          <c:h val="5.318835230965033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2.7265934823840448E-3"/>
          <c:y val="6.8844953152347468E-2"/>
          <c:w val="0.97458422375371623"/>
          <c:h val="0.7413662570763162"/>
        </c:manualLayout>
      </c:layout>
      <c:bar3DChart>
        <c:barDir val="col"/>
        <c:grouping val="clustered"/>
        <c:varyColors val="0"/>
        <c:ser>
          <c:idx val="2"/>
          <c:order val="0"/>
          <c:tx>
            <c:strRef>
              <c:f>'G1.RS'!$D$3</c:f>
              <c:strCache>
                <c:ptCount val="1"/>
                <c:pt idx="0">
                  <c:v>Total Afiliados</c:v>
                </c:pt>
              </c:strCache>
            </c:strRef>
          </c:tx>
          <c:invertIfNegative val="0"/>
          <c:dLbls>
            <c:dLbl>
              <c:idx val="0"/>
              <c:layout>
                <c:manualLayout>
                  <c:x val="6.7238974026720445E-3"/>
                  <c:y val="-3.92317072511470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15498800871524E-2"/>
                  <c:y val="-2.61544715007647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0656673058535234E-3"/>
                  <c:y val="-2.94237804383602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32457455757645E-2"/>
                  <c:y val="-2.942378043836033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99038607234482E-2"/>
                  <c:y val="-3.92317072511469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0510374159434451E-3"/>
                  <c:y val="-3.596239831355132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076451624701523E-2"/>
                  <c:y val="-2.942378043836020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3418316001341832E-3"/>
                  <c:y val="-1.961585362557351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7091580006709154E-3"/>
                  <c:y val="-1.634654468797792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'G1.RS'!$D$4:$D$12</c:f>
              <c:numCache>
                <c:formatCode>_(* #,##0_);_(* \(#,##0\);_(* "-"_);_(@_)</c:formatCode>
                <c:ptCount val="9"/>
                <c:pt idx="0">
                  <c:v>738960</c:v>
                </c:pt>
                <c:pt idx="1">
                  <c:v>256635</c:v>
                </c:pt>
                <c:pt idx="2">
                  <c:v>292343</c:v>
                </c:pt>
                <c:pt idx="3">
                  <c:v>232970</c:v>
                </c:pt>
                <c:pt idx="4">
                  <c:v>161071</c:v>
                </c:pt>
                <c:pt idx="5">
                  <c:v>202550</c:v>
                </c:pt>
                <c:pt idx="6">
                  <c:v>209892</c:v>
                </c:pt>
                <c:pt idx="7">
                  <c:v>126600</c:v>
                </c:pt>
                <c:pt idx="8">
                  <c:v>257853</c:v>
                </c:pt>
              </c:numCache>
            </c:numRef>
          </c:val>
        </c:ser>
        <c:dLbls>
          <c:showLegendKey val="0"/>
          <c:showVal val="1"/>
          <c:showCatName val="0"/>
          <c:showSerName val="0"/>
          <c:showPercent val="0"/>
          <c:showBubbleSize val="0"/>
        </c:dLbls>
        <c:gapWidth val="40"/>
        <c:shape val="cylinder"/>
        <c:axId val="277424400"/>
        <c:axId val="277424792"/>
        <c:axId val="0"/>
      </c:bar3DChart>
      <c:catAx>
        <c:axId val="277424400"/>
        <c:scaling>
          <c:orientation val="minMax"/>
        </c:scaling>
        <c:delete val="0"/>
        <c:axPos val="b"/>
        <c:numFmt formatCode="General" sourceLinked="0"/>
        <c:majorTickMark val="none"/>
        <c:minorTickMark val="none"/>
        <c:tickLblPos val="nextTo"/>
        <c:txPr>
          <a:bodyPr/>
          <a:lstStyle/>
          <a:p>
            <a:pPr>
              <a:defRPr sz="1200"/>
            </a:pPr>
            <a:endParaRPr lang="es-ES"/>
          </a:p>
        </c:txPr>
        <c:crossAx val="277424792"/>
        <c:crosses val="autoZero"/>
        <c:auto val="1"/>
        <c:lblAlgn val="ctr"/>
        <c:lblOffset val="100"/>
        <c:noMultiLvlLbl val="0"/>
      </c:catAx>
      <c:valAx>
        <c:axId val="277424792"/>
        <c:scaling>
          <c:orientation val="minMax"/>
        </c:scaling>
        <c:delete val="1"/>
        <c:axPos val="l"/>
        <c:numFmt formatCode="_(* #,##0_);_(* \(#,##0\);_(* &quot;-&quot;_);_(@_)" sourceLinked="1"/>
        <c:majorTickMark val="out"/>
        <c:minorTickMark val="none"/>
        <c:tickLblPos val="nextTo"/>
        <c:crossAx val="2774244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2.940061519742718E-2"/>
          <c:y val="0.17065973753280839"/>
          <c:w val="0.95965105637910741"/>
          <c:h val="0.52802162729658797"/>
        </c:manualLayout>
      </c:layout>
      <c:bar3DChart>
        <c:barDir val="col"/>
        <c:grouping val="clustered"/>
        <c:varyColors val="0"/>
        <c:ser>
          <c:idx val="0"/>
          <c:order val="0"/>
          <c:tx>
            <c:strRef>
              <c:f>'G2.RS'!$B$3</c:f>
              <c:strCache>
                <c:ptCount val="1"/>
                <c:pt idx="0">
                  <c:v> Titulares</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'G2.RS'!$A$4:$A$12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'G2.RS'!$B$4:$B$12</c:f>
              <c:numCache>
                <c:formatCode>_(* #,##0_);_(* \(#,##0\);_(* "-"_);_(@_)</c:formatCode>
                <c:ptCount val="9"/>
                <c:pt idx="0">
                  <c:v>403778</c:v>
                </c:pt>
                <c:pt idx="1">
                  <c:v>126550</c:v>
                </c:pt>
                <c:pt idx="2">
                  <c:v>179756</c:v>
                </c:pt>
                <c:pt idx="3">
                  <c:v>124996</c:v>
                </c:pt>
                <c:pt idx="4">
                  <c:v>75291</c:v>
                </c:pt>
                <c:pt idx="5">
                  <c:v>117102</c:v>
                </c:pt>
                <c:pt idx="6">
                  <c:v>92676</c:v>
                </c:pt>
                <c:pt idx="7">
                  <c:v>65774</c:v>
                </c:pt>
                <c:pt idx="8">
                  <c:v>135797</c:v>
                </c:pt>
              </c:numCache>
            </c:numRef>
          </c:val>
        </c:ser>
        <c:ser>
          <c:idx val="1"/>
          <c:order val="1"/>
          <c:tx>
            <c:strRef>
              <c:f>'G2.RS'!$C$3</c:f>
              <c:strCache>
                <c:ptCount val="1"/>
                <c:pt idx="0">
                  <c:v>Dependientes</c:v>
                </c:pt>
              </c:strCache>
            </c:strRef>
          </c:tx>
          <c:spPr>
            <a:solidFill>
              <a:schemeClr val="accent3">
                <a:lumMod val="50000"/>
              </a:schemeClr>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'G2.RS'!$A$4:$A$12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'G2.RS'!$C$4:$C$12</c:f>
              <c:numCache>
                <c:formatCode>_(* #,##0_);_(* \(#,##0\);_(* "-"_);_(@_)</c:formatCode>
                <c:ptCount val="9"/>
                <c:pt idx="0">
                  <c:v>335182</c:v>
                </c:pt>
                <c:pt idx="1">
                  <c:v>130085</c:v>
                </c:pt>
                <c:pt idx="2">
                  <c:v>112587</c:v>
                </c:pt>
                <c:pt idx="3">
                  <c:v>107974</c:v>
                </c:pt>
                <c:pt idx="4">
                  <c:v>85780</c:v>
                </c:pt>
                <c:pt idx="5">
                  <c:v>85448</c:v>
                </c:pt>
                <c:pt idx="6">
                  <c:v>117216</c:v>
                </c:pt>
                <c:pt idx="7">
                  <c:v>60826</c:v>
                </c:pt>
                <c:pt idx="8">
                  <c:v>122056</c:v>
                </c:pt>
              </c:numCache>
            </c:numRef>
          </c:val>
        </c:ser>
        <c:dLbls>
          <c:showLegendKey val="0"/>
          <c:showVal val="1"/>
          <c:showCatName val="0"/>
          <c:showSerName val="0"/>
          <c:showPercent val="0"/>
          <c:showBubbleSize val="0"/>
        </c:dLbls>
        <c:gapWidth val="14"/>
        <c:gapDepth val="248"/>
        <c:shape val="cylinder"/>
        <c:axId val="277425576"/>
        <c:axId val="277425968"/>
        <c:axId val="0"/>
      </c:bar3DChart>
      <c:catAx>
        <c:axId val="27742557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77425968"/>
        <c:crosses val="autoZero"/>
        <c:auto val="1"/>
        <c:lblAlgn val="ctr"/>
        <c:lblOffset val="100"/>
        <c:noMultiLvlLbl val="0"/>
      </c:catAx>
      <c:valAx>
        <c:axId val="277425968"/>
        <c:scaling>
          <c:orientation val="minMax"/>
        </c:scaling>
        <c:delete val="1"/>
        <c:axPos val="l"/>
        <c:numFmt formatCode="_(* #,##0_);_(* \(#,##0\);_(* &quot;-&quot;_);_(@_)" sourceLinked="1"/>
        <c:majorTickMark val="out"/>
        <c:minorTickMark val="none"/>
        <c:tickLblPos val="nextTo"/>
        <c:crossAx val="277425576"/>
        <c:crosses val="autoZero"/>
        <c:crossBetween val="between"/>
      </c:valAx>
    </c:plotArea>
    <c:legend>
      <c:legendPos val="t"/>
      <c:layout>
        <c:manualLayout>
          <c:xMode val="edge"/>
          <c:yMode val="edge"/>
          <c:x val="0.28992381246628218"/>
          <c:y val="5.8388031496062989E-2"/>
          <c:w val="0.46639835451465966"/>
          <c:h val="8.28267835174314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SDSS Definiciones (4)'!$E$2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(4)'!$E$3:$E$11</c:f>
              <c:numCache>
                <c:formatCode>_([$€-2]* #,##0_);_([$€-2]* \(#,##0\);_([$€-2]* "-"??_)</c:formatCode>
                <c:ptCount val="9"/>
              </c:numCache>
            </c:numRef>
          </c:val>
        </c:ser>
        <c:ser>
          <c:idx val="1"/>
          <c:order val="1"/>
          <c:tx>
            <c:strRef>
              <c:f>' SDSS Definiciones (4)'!$L$2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(4)'!$L$3:$L$11</c:f>
              <c:numCache>
                <c:formatCode>_([$€-2]* #,##0_);_([$€-2]* \(#,##0\);_([$€-2]* "-"??_)</c:formatCode>
                <c:ptCount val="9"/>
              </c:numCache>
            </c:numRef>
          </c:val>
        </c:ser>
        <c:dLbls>
          <c:showLegendKey val="0"/>
          <c:showVal val="0"/>
          <c:showCatName val="0"/>
          <c:showSerName val="0"/>
          <c:showPercent val="0"/>
          <c:showBubbleSize val="0"/>
        </c:dLbls>
        <c:gapWidth val="150"/>
        <c:shape val="cylinder"/>
        <c:axId val="240552776"/>
        <c:axId val="240550032"/>
        <c:axId val="0"/>
      </c:bar3DChart>
      <c:catAx>
        <c:axId val="240552776"/>
        <c:scaling>
          <c:orientation val="minMax"/>
        </c:scaling>
        <c:delete val="0"/>
        <c:axPos val="b"/>
        <c:title>
          <c:overlay val="0"/>
        </c:title>
        <c:numFmt formatCode="_([$€-2]* #,##0_);_([$€-2]* \(#,##0\);_([$€-2]* &quot;-&quot;??_)" sourceLinked="1"/>
        <c:majorTickMark val="none"/>
        <c:minorTickMark val="none"/>
        <c:tickLblPos val="nextTo"/>
        <c:crossAx val="240550032"/>
        <c:crosses val="autoZero"/>
        <c:auto val="1"/>
        <c:lblAlgn val="ctr"/>
        <c:lblOffset val="100"/>
        <c:noMultiLvlLbl val="0"/>
      </c:catAx>
      <c:valAx>
        <c:axId val="240550032"/>
        <c:scaling>
          <c:orientation val="minMax"/>
        </c:scaling>
        <c:delete val="0"/>
        <c:axPos val="l"/>
        <c:title>
          <c:overlay val="0"/>
        </c:title>
        <c:numFmt formatCode="_([$€-2]* #,##0_);_([$€-2]* \(#,##0\);_([$€-2]* &quot;-&quot;??_)" sourceLinked="1"/>
        <c:majorTickMark val="out"/>
        <c:minorTickMark val="none"/>
        <c:tickLblPos val="nextTo"/>
        <c:crossAx val="24055277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6.0887397449774117E-2"/>
          <c:y val="4.1262713520005989E-2"/>
          <c:w val="0.9374336416358483"/>
          <c:h val="0.80163110110278302"/>
        </c:manualLayout>
      </c:layout>
      <c:bar3DChart>
        <c:barDir val="col"/>
        <c:grouping val="clustered"/>
        <c:varyColors val="0"/>
        <c:ser>
          <c:idx val="0"/>
          <c:order val="0"/>
          <c:tx>
            <c:strRef>
              <c:f>'G3.RS'!$B$4</c:f>
              <c:strCache>
                <c:ptCount val="1"/>
                <c:pt idx="0">
                  <c:v>Tit. Femenino</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'G3.RS'!$B$5:$B$13</c:f>
              <c:numCache>
                <c:formatCode>_(* #,##0_);_(* \(#,##0\);_(* "-"_);_(@_)</c:formatCode>
                <c:ptCount val="9"/>
                <c:pt idx="0">
                  <c:v>265396</c:v>
                </c:pt>
                <c:pt idx="1">
                  <c:v>84838</c:v>
                </c:pt>
                <c:pt idx="2">
                  <c:v>110905</c:v>
                </c:pt>
                <c:pt idx="3">
                  <c:v>70616</c:v>
                </c:pt>
                <c:pt idx="4">
                  <c:v>40076</c:v>
                </c:pt>
                <c:pt idx="5">
                  <c:v>76380</c:v>
                </c:pt>
                <c:pt idx="6">
                  <c:v>51787</c:v>
                </c:pt>
                <c:pt idx="7">
                  <c:v>38200</c:v>
                </c:pt>
                <c:pt idx="8">
                  <c:v>80521</c:v>
                </c:pt>
              </c:numCache>
            </c:numRef>
          </c:val>
        </c:ser>
        <c:ser>
          <c:idx val="1"/>
          <c:order val="1"/>
          <c:tx>
            <c:strRef>
              <c:f>'G3.RS'!$C$4</c:f>
              <c:strCache>
                <c:ptCount val="1"/>
                <c:pt idx="0">
                  <c:v>Tit. Masculino</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'G3.RS'!$C$5:$C$13</c:f>
              <c:numCache>
                <c:formatCode>_(* #,##0_);_(* \(#,##0\);_(* "-"_);_(@_)</c:formatCode>
                <c:ptCount val="9"/>
                <c:pt idx="0">
                  <c:v>138382</c:v>
                </c:pt>
                <c:pt idx="1">
                  <c:v>41712</c:v>
                </c:pt>
                <c:pt idx="2">
                  <c:v>68851</c:v>
                </c:pt>
                <c:pt idx="3">
                  <c:v>54380</c:v>
                </c:pt>
                <c:pt idx="4">
                  <c:v>35215</c:v>
                </c:pt>
                <c:pt idx="5">
                  <c:v>40722</c:v>
                </c:pt>
                <c:pt idx="6">
                  <c:v>40889</c:v>
                </c:pt>
                <c:pt idx="7">
                  <c:v>27574</c:v>
                </c:pt>
                <c:pt idx="8">
                  <c:v>55276</c:v>
                </c:pt>
              </c:numCache>
            </c:numRef>
          </c:val>
        </c:ser>
        <c:ser>
          <c:idx val="2"/>
          <c:order val="2"/>
          <c:tx>
            <c:strRef>
              <c:f>'G3.RS'!$D$4</c:f>
              <c:strCache>
                <c:ptCount val="1"/>
                <c:pt idx="0">
                  <c:v>Dep. Femenino</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'G3.RS'!$D$5:$D$13</c:f>
              <c:numCache>
                <c:formatCode>_(* #,##0_);_(* \(#,##0\);_(* "-"_);_(@_)</c:formatCode>
                <c:ptCount val="9"/>
                <c:pt idx="0">
                  <c:v>160445</c:v>
                </c:pt>
                <c:pt idx="1">
                  <c:v>60849</c:v>
                </c:pt>
                <c:pt idx="2">
                  <c:v>53647</c:v>
                </c:pt>
                <c:pt idx="3">
                  <c:v>50484</c:v>
                </c:pt>
                <c:pt idx="4">
                  <c:v>43756</c:v>
                </c:pt>
                <c:pt idx="5">
                  <c:v>41855</c:v>
                </c:pt>
                <c:pt idx="6">
                  <c:v>57013</c:v>
                </c:pt>
                <c:pt idx="7">
                  <c:v>28547</c:v>
                </c:pt>
                <c:pt idx="8">
                  <c:v>55920</c:v>
                </c:pt>
              </c:numCache>
            </c:numRef>
          </c:val>
        </c:ser>
        <c:ser>
          <c:idx val="3"/>
          <c:order val="3"/>
          <c:tx>
            <c:strRef>
              <c:f>'G3.RS'!$E$4</c:f>
              <c:strCache>
                <c:ptCount val="1"/>
                <c:pt idx="0">
                  <c:v>Dep. Masculino</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'G3.RS'!$E$5:$E$13</c:f>
              <c:numCache>
                <c:formatCode>_(* #,##0_);_(* \(#,##0\);_(* "-"_);_(@_)</c:formatCode>
                <c:ptCount val="9"/>
                <c:pt idx="0">
                  <c:v>174737</c:v>
                </c:pt>
                <c:pt idx="1">
                  <c:v>69236</c:v>
                </c:pt>
                <c:pt idx="2">
                  <c:v>58940</c:v>
                </c:pt>
                <c:pt idx="3">
                  <c:v>57490</c:v>
                </c:pt>
                <c:pt idx="4">
                  <c:v>42024</c:v>
                </c:pt>
                <c:pt idx="5">
                  <c:v>43593</c:v>
                </c:pt>
                <c:pt idx="6">
                  <c:v>60203</c:v>
                </c:pt>
                <c:pt idx="7">
                  <c:v>32279</c:v>
                </c:pt>
                <c:pt idx="8">
                  <c:v>66136</c:v>
                </c:pt>
              </c:numCache>
            </c:numRef>
          </c:val>
        </c:ser>
        <c:dLbls>
          <c:showLegendKey val="0"/>
          <c:showVal val="0"/>
          <c:showCatName val="0"/>
          <c:showSerName val="0"/>
          <c:showPercent val="0"/>
          <c:showBubbleSize val="0"/>
        </c:dLbls>
        <c:gapWidth val="150"/>
        <c:shape val="cylinder"/>
        <c:axId val="277426752"/>
        <c:axId val="277427144"/>
        <c:axId val="0"/>
      </c:bar3DChart>
      <c:catAx>
        <c:axId val="277426752"/>
        <c:scaling>
          <c:orientation val="minMax"/>
        </c:scaling>
        <c:delete val="0"/>
        <c:axPos val="b"/>
        <c:numFmt formatCode="General" sourceLinked="0"/>
        <c:majorTickMark val="out"/>
        <c:minorTickMark val="none"/>
        <c:tickLblPos val="nextTo"/>
        <c:txPr>
          <a:bodyPr/>
          <a:lstStyle/>
          <a:p>
            <a:pPr>
              <a:defRPr sz="1200"/>
            </a:pPr>
            <a:endParaRPr lang="es-ES"/>
          </a:p>
        </c:txPr>
        <c:crossAx val="277427144"/>
        <c:crosses val="autoZero"/>
        <c:auto val="1"/>
        <c:lblAlgn val="ctr"/>
        <c:lblOffset val="100"/>
        <c:noMultiLvlLbl val="0"/>
      </c:catAx>
      <c:valAx>
        <c:axId val="277427144"/>
        <c:scaling>
          <c:orientation val="minMax"/>
        </c:scaling>
        <c:delete val="0"/>
        <c:axPos val="l"/>
        <c:numFmt formatCode="_(* #,##0_);_(* \(#,##0\);_(* &quot;-&quot;_);_(@_)" sourceLinked="1"/>
        <c:majorTickMark val="out"/>
        <c:minorTickMark val="none"/>
        <c:tickLblPos val="nextTo"/>
        <c:crossAx val="277426752"/>
        <c:crosses val="autoZero"/>
        <c:crossBetween val="between"/>
      </c:valAx>
    </c:plotArea>
    <c:legend>
      <c:legendPos val="r"/>
      <c:layout>
        <c:manualLayout>
          <c:xMode val="edge"/>
          <c:yMode val="edge"/>
          <c:x val="0.19855611355434649"/>
          <c:y val="5.3291247461949111E-2"/>
          <c:w val="0.68823920222706103"/>
          <c:h val="8.5754450532176507E-2"/>
        </c:manualLayout>
      </c:layout>
      <c:overlay val="0"/>
      <c:txPr>
        <a:bodyPr/>
        <a:lstStyle/>
        <a:p>
          <a:pPr>
            <a:defRPr sz="1400"/>
          </a:pPr>
          <a:endParaRPr lang="es-E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6.428115485564305E-2"/>
          <c:y val="0.17446255492462862"/>
          <c:w val="0.92855533951342917"/>
          <c:h val="0.64412941579003236"/>
        </c:manualLayout>
      </c:layout>
      <c:bar3DChart>
        <c:barDir val="col"/>
        <c:grouping val="clustered"/>
        <c:varyColors val="0"/>
        <c:ser>
          <c:idx val="0"/>
          <c:order val="0"/>
          <c:tx>
            <c:strRef>
              <c:f>'G3.RS'!$F$4</c:f>
              <c:strCache>
                <c:ptCount val="1"/>
                <c:pt idx="0">
                  <c:v>Total Femenino</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'G3.RS'!$F$5:$F$13</c:f>
              <c:numCache>
                <c:formatCode>_(* #,##0_);_(* \(#,##0\);_(* "-"_);_(@_)</c:formatCode>
                <c:ptCount val="9"/>
                <c:pt idx="0">
                  <c:v>425841</c:v>
                </c:pt>
                <c:pt idx="1">
                  <c:v>145687</c:v>
                </c:pt>
                <c:pt idx="2">
                  <c:v>164552</c:v>
                </c:pt>
                <c:pt idx="3">
                  <c:v>121100</c:v>
                </c:pt>
                <c:pt idx="4">
                  <c:v>83832</c:v>
                </c:pt>
                <c:pt idx="5">
                  <c:v>118235</c:v>
                </c:pt>
                <c:pt idx="6">
                  <c:v>108800</c:v>
                </c:pt>
                <c:pt idx="7">
                  <c:v>66747</c:v>
                </c:pt>
                <c:pt idx="8">
                  <c:v>136441</c:v>
                </c:pt>
              </c:numCache>
            </c:numRef>
          </c:val>
        </c:ser>
        <c:ser>
          <c:idx val="1"/>
          <c:order val="1"/>
          <c:tx>
            <c:strRef>
              <c:f>'G3.RS'!$G$4</c:f>
              <c:strCache>
                <c:ptCount val="1"/>
                <c:pt idx="0">
                  <c:v>Total Masculino</c:v>
                </c:pt>
              </c:strCache>
            </c:strRef>
          </c:tx>
          <c:spPr>
            <a:solidFill>
              <a:schemeClr val="accent3">
                <a:lumMod val="5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'G3.RS'!$A$5:$A$13</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'G3.RS'!$G$5:$G$13</c:f>
              <c:numCache>
                <c:formatCode>_(* #,##0_);_(* \(#,##0\);_(* "-"_);_(@_)</c:formatCode>
                <c:ptCount val="9"/>
                <c:pt idx="0">
                  <c:v>313119</c:v>
                </c:pt>
                <c:pt idx="1">
                  <c:v>110948</c:v>
                </c:pt>
                <c:pt idx="2">
                  <c:v>127791</c:v>
                </c:pt>
                <c:pt idx="3">
                  <c:v>111870</c:v>
                </c:pt>
                <c:pt idx="4">
                  <c:v>77239</c:v>
                </c:pt>
                <c:pt idx="5">
                  <c:v>84315</c:v>
                </c:pt>
                <c:pt idx="6">
                  <c:v>101092</c:v>
                </c:pt>
                <c:pt idx="7">
                  <c:v>59853</c:v>
                </c:pt>
                <c:pt idx="8">
                  <c:v>121412</c:v>
                </c:pt>
              </c:numCache>
            </c:numRef>
          </c:val>
        </c:ser>
        <c:dLbls>
          <c:showLegendKey val="0"/>
          <c:showVal val="0"/>
          <c:showCatName val="0"/>
          <c:showSerName val="0"/>
          <c:showPercent val="0"/>
          <c:showBubbleSize val="0"/>
        </c:dLbls>
        <c:gapWidth val="43"/>
        <c:shape val="cylinder"/>
        <c:axId val="277427928"/>
        <c:axId val="277428320"/>
        <c:axId val="0"/>
      </c:bar3DChart>
      <c:catAx>
        <c:axId val="277427928"/>
        <c:scaling>
          <c:orientation val="minMax"/>
        </c:scaling>
        <c:delete val="0"/>
        <c:axPos val="b"/>
        <c:numFmt formatCode="General" sourceLinked="0"/>
        <c:majorTickMark val="out"/>
        <c:minorTickMark val="none"/>
        <c:tickLblPos val="nextTo"/>
        <c:txPr>
          <a:bodyPr/>
          <a:lstStyle/>
          <a:p>
            <a:pPr>
              <a:defRPr sz="1200"/>
            </a:pPr>
            <a:endParaRPr lang="es-ES"/>
          </a:p>
        </c:txPr>
        <c:crossAx val="277428320"/>
        <c:crosses val="autoZero"/>
        <c:auto val="1"/>
        <c:lblAlgn val="ctr"/>
        <c:lblOffset val="100"/>
        <c:noMultiLvlLbl val="0"/>
      </c:catAx>
      <c:valAx>
        <c:axId val="277428320"/>
        <c:scaling>
          <c:orientation val="minMax"/>
        </c:scaling>
        <c:delete val="0"/>
        <c:axPos val="l"/>
        <c:numFmt formatCode="_(* #,##0_);_(* \(#,##0\);_(* &quot;-&quot;_);_(@_)" sourceLinked="1"/>
        <c:majorTickMark val="out"/>
        <c:minorTickMark val="none"/>
        <c:tickLblPos val="nextTo"/>
        <c:crossAx val="277427928"/>
        <c:crosses val="autoZero"/>
        <c:crossBetween val="between"/>
      </c:valAx>
    </c:plotArea>
    <c:legend>
      <c:legendPos val="r"/>
      <c:layout>
        <c:manualLayout>
          <c:xMode val="edge"/>
          <c:yMode val="edge"/>
          <c:x val="0.268241791457908"/>
          <c:y val="8.069208320743014E-2"/>
          <c:w val="0.55373461592451345"/>
          <c:h val="6.85852987483897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224522463050544"/>
          <c:y val="8.9434146613812743E-2"/>
          <c:w val="0.79900096116167174"/>
          <c:h val="0.83349003405728328"/>
        </c:manualLayout>
      </c:layout>
      <c:barChart>
        <c:barDir val="bar"/>
        <c:grouping val="clustered"/>
        <c:varyColors val="0"/>
        <c:ser>
          <c:idx val="1"/>
          <c:order val="0"/>
          <c:tx>
            <c:strRef>
              <c:f>'G4.RS'!$G$3</c:f>
              <c:strCache>
                <c:ptCount val="1"/>
                <c:pt idx="0">
                  <c:v>Población Estimada Pobre ICV</c:v>
                </c:pt>
              </c:strCache>
            </c:strRef>
          </c:tx>
          <c:invertIfNegative val="0"/>
          <c:cat>
            <c:strRef>
              <c:f>'G4.RS'!$B$4:$B$35</c:f>
              <c:strCache>
                <c:ptCount val="32"/>
                <c:pt idx="0">
                  <c:v>Azua</c:v>
                </c:pt>
                <c:pt idx="1">
                  <c:v>Bahoruco</c:v>
                </c:pt>
                <c:pt idx="2">
                  <c:v>Barahona</c:v>
                </c:pt>
                <c:pt idx="3">
                  <c:v>Dajabón</c:v>
                </c:pt>
                <c:pt idx="4">
                  <c:v>Distrito Nacional</c:v>
                </c:pt>
                <c:pt idx="5">
                  <c:v>Duarte</c:v>
                </c:pt>
                <c:pt idx="6">
                  <c:v> El Seibo</c:v>
                </c:pt>
                <c:pt idx="7">
                  <c:v>Elías Piña</c:v>
                </c:pt>
                <c:pt idx="8">
                  <c:v>Espaillat</c:v>
                </c:pt>
                <c:pt idx="9">
                  <c:v>Hato Mayor</c:v>
                </c:pt>
                <c:pt idx="10">
                  <c:v>Hermanas Mirabal</c:v>
                </c:pt>
                <c:pt idx="11">
                  <c:v> Independencia</c:v>
                </c:pt>
                <c:pt idx="12">
                  <c:v>La Altagracia</c:v>
                </c:pt>
                <c:pt idx="13">
                  <c:v> La Romana</c:v>
                </c:pt>
                <c:pt idx="14">
                  <c:v> La Vega</c:v>
                </c:pt>
                <c:pt idx="15">
                  <c:v>María Trinidad Sánchez</c:v>
                </c:pt>
                <c:pt idx="16">
                  <c:v>Monseñor Nouel</c:v>
                </c:pt>
                <c:pt idx="17">
                  <c:v>Monte Plata</c:v>
                </c:pt>
                <c:pt idx="18">
                  <c:v>Monte Cristi</c:v>
                </c:pt>
                <c:pt idx="19">
                  <c:v>Pedernales</c:v>
                </c:pt>
                <c:pt idx="20">
                  <c:v> Peravia</c:v>
                </c:pt>
                <c:pt idx="21">
                  <c:v>Puerto Plata</c:v>
                </c:pt>
                <c:pt idx="22">
                  <c:v>Samaná</c:v>
                </c:pt>
                <c:pt idx="23">
                  <c:v>San Cristóbal</c:v>
                </c:pt>
                <c:pt idx="24">
                  <c:v> San José de Ocoa</c:v>
                </c:pt>
                <c:pt idx="25">
                  <c:v> San Juan</c:v>
                </c:pt>
                <c:pt idx="26">
                  <c:v>San Pedro de Macorís</c:v>
                </c:pt>
                <c:pt idx="27">
                  <c:v>Sánchez Ramírez</c:v>
                </c:pt>
                <c:pt idx="28">
                  <c:v>Santiago</c:v>
                </c:pt>
                <c:pt idx="29">
                  <c:v> Santiago Rodríguez</c:v>
                </c:pt>
                <c:pt idx="30">
                  <c:v>Santo Domingo</c:v>
                </c:pt>
                <c:pt idx="31">
                  <c:v> Valverde</c:v>
                </c:pt>
              </c:strCache>
            </c:strRef>
          </c:cat>
          <c:val>
            <c:numRef>
              <c:f>'G4.RS'!$G$4:$G$35</c:f>
              <c:numCache>
                <c:formatCode>#,##0</c:formatCode>
                <c:ptCount val="32"/>
                <c:pt idx="0">
                  <c:v>144659.92500000002</c:v>
                </c:pt>
                <c:pt idx="1">
                  <c:v>72887.437000000005</c:v>
                </c:pt>
                <c:pt idx="2">
                  <c:v>126295.87500000001</c:v>
                </c:pt>
                <c:pt idx="3">
                  <c:v>38756.729999999996</c:v>
                </c:pt>
                <c:pt idx="4">
                  <c:v>457428.95999999996</c:v>
                </c:pt>
                <c:pt idx="5">
                  <c:v>148841.03599999999</c:v>
                </c:pt>
                <c:pt idx="6">
                  <c:v>63831.040000000001</c:v>
                </c:pt>
                <c:pt idx="7">
                  <c:v>52503.156999999999</c:v>
                </c:pt>
                <c:pt idx="8">
                  <c:v>121767.45000000001</c:v>
                </c:pt>
                <c:pt idx="9">
                  <c:v>54750.948000000004</c:v>
                </c:pt>
                <c:pt idx="10">
                  <c:v>54670.449000000001</c:v>
                </c:pt>
                <c:pt idx="11">
                  <c:v>35918.287000000004</c:v>
                </c:pt>
                <c:pt idx="12">
                  <c:v>152997.6</c:v>
                </c:pt>
                <c:pt idx="13">
                  <c:v>120998.469</c:v>
                </c:pt>
                <c:pt idx="14">
                  <c:v>182911.12</c:v>
                </c:pt>
                <c:pt idx="15">
                  <c:v>76663.200000000012</c:v>
                </c:pt>
                <c:pt idx="16">
                  <c:v>50228.095999999998</c:v>
                </c:pt>
                <c:pt idx="17">
                  <c:v>141140.60399999999</c:v>
                </c:pt>
                <c:pt idx="18">
                  <c:v>78040.183999999994</c:v>
                </c:pt>
                <c:pt idx="19">
                  <c:v>22237.248</c:v>
                </c:pt>
                <c:pt idx="20">
                  <c:v>105629.11199999999</c:v>
                </c:pt>
                <c:pt idx="21">
                  <c:v>144718.65</c:v>
                </c:pt>
                <c:pt idx="22">
                  <c:v>53791.82</c:v>
                </c:pt>
                <c:pt idx="23">
                  <c:v>272996.46999999997</c:v>
                </c:pt>
                <c:pt idx="24">
                  <c:v>40430.376000000004</c:v>
                </c:pt>
                <c:pt idx="25">
                  <c:v>162168.43399999998</c:v>
                </c:pt>
                <c:pt idx="26">
                  <c:v>147843.122</c:v>
                </c:pt>
                <c:pt idx="27">
                  <c:v>83265.600000000006</c:v>
                </c:pt>
                <c:pt idx="28">
                  <c:v>468223.092</c:v>
                </c:pt>
                <c:pt idx="29">
                  <c:v>34658.027999999998</c:v>
                </c:pt>
                <c:pt idx="30">
                  <c:v>1189559.3700000001</c:v>
                </c:pt>
                <c:pt idx="31">
                  <c:v>98959.209999999992</c:v>
                </c:pt>
              </c:numCache>
            </c:numRef>
          </c:val>
        </c:ser>
        <c:ser>
          <c:idx val="0"/>
          <c:order val="1"/>
          <c:tx>
            <c:strRef>
              <c:f>'G4.RS'!$F$3</c:f>
              <c:strCache>
                <c:ptCount val="1"/>
                <c:pt idx="0">
                  <c:v>Total RS</c:v>
                </c:pt>
              </c:strCache>
            </c:strRef>
          </c:tx>
          <c:invertIfNegative val="0"/>
          <c:cat>
            <c:strRef>
              <c:f>'G4.RS'!$B$4:$B$35</c:f>
              <c:strCache>
                <c:ptCount val="32"/>
                <c:pt idx="0">
                  <c:v>Azua</c:v>
                </c:pt>
                <c:pt idx="1">
                  <c:v>Bahoruco</c:v>
                </c:pt>
                <c:pt idx="2">
                  <c:v>Barahona</c:v>
                </c:pt>
                <c:pt idx="3">
                  <c:v>Dajabón</c:v>
                </c:pt>
                <c:pt idx="4">
                  <c:v>Distrito Nacional</c:v>
                </c:pt>
                <c:pt idx="5">
                  <c:v>Duarte</c:v>
                </c:pt>
                <c:pt idx="6">
                  <c:v> El Seibo</c:v>
                </c:pt>
                <c:pt idx="7">
                  <c:v>Elías Piña</c:v>
                </c:pt>
                <c:pt idx="8">
                  <c:v>Espaillat</c:v>
                </c:pt>
                <c:pt idx="9">
                  <c:v>Hato Mayor</c:v>
                </c:pt>
                <c:pt idx="10">
                  <c:v>Hermanas Mirabal</c:v>
                </c:pt>
                <c:pt idx="11">
                  <c:v> Independencia</c:v>
                </c:pt>
                <c:pt idx="12">
                  <c:v>La Altagracia</c:v>
                </c:pt>
                <c:pt idx="13">
                  <c:v> La Romana</c:v>
                </c:pt>
                <c:pt idx="14">
                  <c:v> La Vega</c:v>
                </c:pt>
                <c:pt idx="15">
                  <c:v>María Trinidad Sánchez</c:v>
                </c:pt>
                <c:pt idx="16">
                  <c:v>Monseñor Nouel</c:v>
                </c:pt>
                <c:pt idx="17">
                  <c:v>Monte Plata</c:v>
                </c:pt>
                <c:pt idx="18">
                  <c:v>Monte Cristi</c:v>
                </c:pt>
                <c:pt idx="19">
                  <c:v>Pedernales</c:v>
                </c:pt>
                <c:pt idx="20">
                  <c:v> Peravia</c:v>
                </c:pt>
                <c:pt idx="21">
                  <c:v>Puerto Plata</c:v>
                </c:pt>
                <c:pt idx="22">
                  <c:v>Samaná</c:v>
                </c:pt>
                <c:pt idx="23">
                  <c:v>San Cristóbal</c:v>
                </c:pt>
                <c:pt idx="24">
                  <c:v> San José de Ocoa</c:v>
                </c:pt>
                <c:pt idx="25">
                  <c:v> San Juan</c:v>
                </c:pt>
                <c:pt idx="26">
                  <c:v>San Pedro de Macorís</c:v>
                </c:pt>
                <c:pt idx="27">
                  <c:v>Sánchez Ramírez</c:v>
                </c:pt>
                <c:pt idx="28">
                  <c:v>Santiago</c:v>
                </c:pt>
                <c:pt idx="29">
                  <c:v> Santiago Rodríguez</c:v>
                </c:pt>
                <c:pt idx="30">
                  <c:v>Santo Domingo</c:v>
                </c:pt>
                <c:pt idx="31">
                  <c:v> Valverde</c:v>
                </c:pt>
              </c:strCache>
            </c:strRef>
          </c:cat>
          <c:val>
            <c:numRef>
              <c:f>'G4.RS'!$F$4:$F$35</c:f>
              <c:numCache>
                <c:formatCode>_(* #,##0_);_(* \(#,##0\);_(* "-"_);_(@_)</c:formatCode>
                <c:ptCount val="32"/>
                <c:pt idx="0">
                  <c:v>83920</c:v>
                </c:pt>
                <c:pt idx="1">
                  <c:v>46786</c:v>
                </c:pt>
                <c:pt idx="2">
                  <c:v>87744</c:v>
                </c:pt>
                <c:pt idx="3">
                  <c:v>23178</c:v>
                </c:pt>
                <c:pt idx="4">
                  <c:v>182024</c:v>
                </c:pt>
                <c:pt idx="5">
                  <c:v>107175</c:v>
                </c:pt>
                <c:pt idx="6">
                  <c:v>24102</c:v>
                </c:pt>
                <c:pt idx="7">
                  <c:v>21890</c:v>
                </c:pt>
                <c:pt idx="8">
                  <c:v>64970</c:v>
                </c:pt>
                <c:pt idx="9">
                  <c:v>31743</c:v>
                </c:pt>
                <c:pt idx="10">
                  <c:v>37533</c:v>
                </c:pt>
                <c:pt idx="11">
                  <c:v>18401</c:v>
                </c:pt>
                <c:pt idx="12">
                  <c:v>36039</c:v>
                </c:pt>
                <c:pt idx="13">
                  <c:v>37010</c:v>
                </c:pt>
                <c:pt idx="14">
                  <c:v>143599</c:v>
                </c:pt>
                <c:pt idx="15">
                  <c:v>55112</c:v>
                </c:pt>
                <c:pt idx="16">
                  <c:v>51041</c:v>
                </c:pt>
                <c:pt idx="17">
                  <c:v>96463</c:v>
                </c:pt>
                <c:pt idx="18">
                  <c:v>35610</c:v>
                </c:pt>
                <c:pt idx="19">
                  <c:v>8140</c:v>
                </c:pt>
                <c:pt idx="20">
                  <c:v>61032</c:v>
                </c:pt>
                <c:pt idx="21">
                  <c:v>78675</c:v>
                </c:pt>
                <c:pt idx="22">
                  <c:v>33150</c:v>
                </c:pt>
                <c:pt idx="23">
                  <c:v>165591</c:v>
                </c:pt>
                <c:pt idx="24">
                  <c:v>30012</c:v>
                </c:pt>
                <c:pt idx="25">
                  <c:v>104082</c:v>
                </c:pt>
                <c:pt idx="26">
                  <c:v>73656</c:v>
                </c:pt>
                <c:pt idx="27">
                  <c:v>63213</c:v>
                </c:pt>
                <c:pt idx="28">
                  <c:v>148698</c:v>
                </c:pt>
                <c:pt idx="29">
                  <c:v>21163</c:v>
                </c:pt>
                <c:pt idx="30">
                  <c:v>460473</c:v>
                </c:pt>
                <c:pt idx="31">
                  <c:v>46649</c:v>
                </c:pt>
              </c:numCache>
            </c:numRef>
          </c:val>
        </c:ser>
        <c:dLbls>
          <c:showLegendKey val="0"/>
          <c:showVal val="0"/>
          <c:showCatName val="0"/>
          <c:showSerName val="0"/>
          <c:showPercent val="0"/>
          <c:showBubbleSize val="0"/>
        </c:dLbls>
        <c:gapWidth val="12"/>
        <c:overlap val="100"/>
        <c:axId val="277429888"/>
        <c:axId val="277430280"/>
      </c:barChart>
      <c:catAx>
        <c:axId val="277429888"/>
        <c:scaling>
          <c:orientation val="minMax"/>
        </c:scaling>
        <c:delete val="0"/>
        <c:axPos val="l"/>
        <c:numFmt formatCode="General" sourceLinked="0"/>
        <c:majorTickMark val="out"/>
        <c:minorTickMark val="none"/>
        <c:tickLblPos val="nextTo"/>
        <c:txPr>
          <a:bodyPr/>
          <a:lstStyle/>
          <a:p>
            <a:pPr>
              <a:defRPr sz="900"/>
            </a:pPr>
            <a:endParaRPr lang="es-ES"/>
          </a:p>
        </c:txPr>
        <c:crossAx val="277430280"/>
        <c:crosses val="autoZero"/>
        <c:auto val="1"/>
        <c:lblAlgn val="ctr"/>
        <c:lblOffset val="100"/>
        <c:noMultiLvlLbl val="0"/>
      </c:catAx>
      <c:valAx>
        <c:axId val="277430280"/>
        <c:scaling>
          <c:orientation val="minMax"/>
        </c:scaling>
        <c:delete val="0"/>
        <c:axPos val="b"/>
        <c:numFmt formatCode="#,##0" sourceLinked="1"/>
        <c:majorTickMark val="out"/>
        <c:minorTickMark val="none"/>
        <c:tickLblPos val="nextTo"/>
        <c:crossAx val="277429888"/>
        <c:crosses val="autoZero"/>
        <c:crossBetween val="between"/>
      </c:valAx>
    </c:plotArea>
    <c:legend>
      <c:legendPos val="r"/>
      <c:layout>
        <c:manualLayout>
          <c:xMode val="edge"/>
          <c:yMode val="edge"/>
          <c:x val="0.25929116192373985"/>
          <c:y val="1.7341575380830861E-2"/>
          <c:w val="0.47518016615152314"/>
          <c:h val="6.362625430932746E-2"/>
        </c:manualLayout>
      </c:layout>
      <c:overlay val="0"/>
      <c:txPr>
        <a:bodyPr/>
        <a:lstStyle/>
        <a:p>
          <a:pPr>
            <a:defRPr sz="1200"/>
          </a:pPr>
          <a:endParaRPr lang="es-ES"/>
        </a:p>
      </c:txPr>
    </c:legend>
    <c:plotVisOnly val="1"/>
    <c:dispBlanksAs val="gap"/>
    <c:showDLblsOverMax val="0"/>
  </c:chart>
  <c:spPr>
    <a:noFill/>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4126552525857139E-2"/>
          <c:y val="0.14754527424148889"/>
          <c:w val="0.88415118209180787"/>
          <c:h val="0.71004918568562114"/>
        </c:manualLayout>
      </c:layout>
      <c:barChart>
        <c:barDir val="col"/>
        <c:grouping val="clustered"/>
        <c:varyColors val="0"/>
        <c:ser>
          <c:idx val="0"/>
          <c:order val="0"/>
          <c:tx>
            <c:strRef>
              <c:f>'G5.RS'!$B$3</c:f>
              <c:strCache>
                <c:ptCount val="1"/>
                <c:pt idx="0">
                  <c:v>Población Estimada Pobre ICV</c:v>
                </c:pt>
              </c:strCache>
            </c:strRef>
          </c:tx>
          <c:invertIfNegative val="0"/>
          <c:dLbls>
            <c:dLbl>
              <c:idx val="2"/>
              <c:layout>
                <c:manualLayout>
                  <c:x val="-5.7529611442286802E-3"/>
                  <c:y val="9.584214873569489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'G5.RS'!$A$4:$A$12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'G5.RS'!$B$4:$B$12</c:f>
              <c:numCache>
                <c:formatCode>#,##0</c:formatCode>
                <c:ptCount val="9"/>
                <c:pt idx="0">
                  <c:v>1788128.9340000001</c:v>
                </c:pt>
                <c:pt idx="1">
                  <c:v>563715.88300000003</c:v>
                </c:pt>
                <c:pt idx="2">
                  <c:v>734709.19200000004</c:v>
                </c:pt>
                <c:pt idx="3">
                  <c:v>333966.505</c:v>
                </c:pt>
                <c:pt idx="4">
                  <c:v>309842.00400000007</c:v>
                </c:pt>
                <c:pt idx="5">
                  <c:v>540421.179</c:v>
                </c:pt>
                <c:pt idx="6">
                  <c:v>162168.43399999998</c:v>
                </c:pt>
                <c:pt idx="7">
                  <c:v>250414.15199999997</c:v>
                </c:pt>
                <c:pt idx="8">
                  <c:v>316404.81599999999</c:v>
                </c:pt>
              </c:numCache>
            </c:numRef>
          </c:val>
        </c:ser>
        <c:ser>
          <c:idx val="1"/>
          <c:order val="1"/>
          <c:tx>
            <c:strRef>
              <c:f>'G5.RS'!$C$3</c:f>
              <c:strCache>
                <c:ptCount val="1"/>
                <c:pt idx="0">
                  <c:v>Total RS</c:v>
                </c:pt>
              </c:strCache>
            </c:strRef>
          </c:tx>
          <c:spPr>
            <a:solidFill>
              <a:schemeClr val="accent3">
                <a:lumMod val="50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'G5.RS'!$A$4:$A$12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'G5.RS'!$C$4:$C$12</c:f>
              <c:numCache>
                <c:formatCode>#,##0</c:formatCode>
                <c:ptCount val="9"/>
                <c:pt idx="0">
                  <c:v>738960</c:v>
                </c:pt>
                <c:pt idx="1">
                  <c:v>340555</c:v>
                </c:pt>
                <c:pt idx="2">
                  <c:v>292343</c:v>
                </c:pt>
                <c:pt idx="3">
                  <c:v>232970</c:v>
                </c:pt>
                <c:pt idx="4">
                  <c:v>182961</c:v>
                </c:pt>
                <c:pt idx="5">
                  <c:v>202550</c:v>
                </c:pt>
                <c:pt idx="6">
                  <c:v>104082</c:v>
                </c:pt>
                <c:pt idx="7">
                  <c:v>126600</c:v>
                </c:pt>
                <c:pt idx="8">
                  <c:v>257853</c:v>
                </c:pt>
              </c:numCache>
            </c:numRef>
          </c:val>
        </c:ser>
        <c:dLbls>
          <c:showLegendKey val="0"/>
          <c:showVal val="0"/>
          <c:showCatName val="0"/>
          <c:showSerName val="0"/>
          <c:showPercent val="0"/>
          <c:showBubbleSize val="0"/>
        </c:dLbls>
        <c:gapWidth val="26"/>
        <c:overlap val="59"/>
        <c:axId val="277429104"/>
        <c:axId val="277430672"/>
      </c:barChart>
      <c:lineChart>
        <c:grouping val="standard"/>
        <c:varyColors val="0"/>
        <c:ser>
          <c:idx val="2"/>
          <c:order val="2"/>
          <c:tx>
            <c:strRef>
              <c:f>'G5.RS'!$D$3</c:f>
              <c:strCache>
                <c:ptCount val="1"/>
                <c:pt idx="0">
                  <c:v>% cobertura</c:v>
                </c:pt>
              </c:strCache>
            </c:strRef>
          </c:tx>
          <c:spPr>
            <a:ln w="66675">
              <a:noFill/>
            </a:ln>
          </c:spPr>
          <c:marker>
            <c:symbol val="circle"/>
            <c:size val="13"/>
            <c:spPr>
              <a:solidFill>
                <a:schemeClr val="bg1"/>
              </a:solidFill>
              <a:ln>
                <a:solidFill>
                  <a:schemeClr val="accent6">
                    <a:lumMod val="50000"/>
                  </a:schemeClr>
                </a:solidFill>
              </a:ln>
            </c:spPr>
          </c:marker>
          <c:dLbls>
            <c:spPr>
              <a:noFill/>
              <a:ln>
                <a:noFill/>
              </a:ln>
              <a:effectLst/>
            </c:spPr>
            <c:txPr>
              <a:bodyPr/>
              <a:lstStyle/>
              <a:p>
                <a:pPr>
                  <a:defRPr sz="18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'G5.RS'!$A$4:$A$12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'G5.RS'!$D$4:$D$12</c:f>
              <c:numCache>
                <c:formatCode>0%</c:formatCode>
                <c:ptCount val="9"/>
                <c:pt idx="0">
                  <c:v>0.41325879020757456</c:v>
                </c:pt>
                <c:pt idx="1">
                  <c:v>0.60412525222391145</c:v>
                </c:pt>
                <c:pt idx="2">
                  <c:v>0.39790301139991724</c:v>
                </c:pt>
                <c:pt idx="3">
                  <c:v>0.69758492696745145</c:v>
                </c:pt>
                <c:pt idx="4">
                  <c:v>0.59049772993335004</c:v>
                </c:pt>
                <c:pt idx="5">
                  <c:v>0.37480026296304719</c:v>
                </c:pt>
                <c:pt idx="6">
                  <c:v>0.64181417698095311</c:v>
                </c:pt>
                <c:pt idx="7">
                  <c:v>0.50556248114922842</c:v>
                </c:pt>
                <c:pt idx="8">
                  <c:v>0.81494650827312309</c:v>
                </c:pt>
              </c:numCache>
            </c:numRef>
          </c:val>
          <c:smooth val="0"/>
        </c:ser>
        <c:dLbls>
          <c:showLegendKey val="0"/>
          <c:showVal val="0"/>
          <c:showCatName val="0"/>
          <c:showSerName val="0"/>
          <c:showPercent val="0"/>
          <c:showBubbleSize val="0"/>
        </c:dLbls>
        <c:marker val="1"/>
        <c:smooth val="0"/>
        <c:axId val="275074024"/>
        <c:axId val="277431064"/>
      </c:lineChart>
      <c:catAx>
        <c:axId val="277429104"/>
        <c:scaling>
          <c:orientation val="minMax"/>
        </c:scaling>
        <c:delete val="0"/>
        <c:axPos val="b"/>
        <c:numFmt formatCode="General" sourceLinked="0"/>
        <c:majorTickMark val="none"/>
        <c:minorTickMark val="none"/>
        <c:tickLblPos val="nextTo"/>
        <c:txPr>
          <a:bodyPr/>
          <a:lstStyle/>
          <a:p>
            <a:pPr>
              <a:defRPr sz="1400"/>
            </a:pPr>
            <a:endParaRPr lang="es-ES"/>
          </a:p>
        </c:txPr>
        <c:crossAx val="277430672"/>
        <c:crosses val="autoZero"/>
        <c:auto val="1"/>
        <c:lblAlgn val="ctr"/>
        <c:lblOffset val="100"/>
        <c:noMultiLvlLbl val="0"/>
      </c:catAx>
      <c:valAx>
        <c:axId val="277430672"/>
        <c:scaling>
          <c:orientation val="minMax"/>
        </c:scaling>
        <c:delete val="0"/>
        <c:axPos val="l"/>
        <c:numFmt formatCode="#,##0" sourceLinked="1"/>
        <c:majorTickMark val="none"/>
        <c:minorTickMark val="none"/>
        <c:tickLblPos val="nextTo"/>
        <c:crossAx val="277429104"/>
        <c:crosses val="autoZero"/>
        <c:crossBetween val="between"/>
        <c:dispUnits>
          <c:builtInUnit val="thousands"/>
          <c:dispUnitsLbl>
            <c:layout>
              <c:manualLayout>
                <c:xMode val="edge"/>
                <c:yMode val="edge"/>
                <c:x val="6.2576856840028811E-3"/>
                <c:y val="0.44525021266666615"/>
              </c:manualLayout>
            </c:layout>
          </c:dispUnitsLbl>
        </c:dispUnits>
      </c:valAx>
      <c:valAx>
        <c:axId val="277431064"/>
        <c:scaling>
          <c:orientation val="minMax"/>
          <c:max val="0.9"/>
        </c:scaling>
        <c:delete val="0"/>
        <c:axPos val="r"/>
        <c:numFmt formatCode="0%" sourceLinked="1"/>
        <c:majorTickMark val="out"/>
        <c:minorTickMark val="none"/>
        <c:tickLblPos val="nextTo"/>
        <c:crossAx val="275074024"/>
        <c:crosses val="max"/>
        <c:crossBetween val="between"/>
      </c:valAx>
      <c:catAx>
        <c:axId val="275074024"/>
        <c:scaling>
          <c:orientation val="minMax"/>
        </c:scaling>
        <c:delete val="1"/>
        <c:axPos val="b"/>
        <c:numFmt formatCode="General" sourceLinked="1"/>
        <c:majorTickMark val="out"/>
        <c:minorTickMark val="none"/>
        <c:tickLblPos val="nextTo"/>
        <c:crossAx val="277431064"/>
        <c:crosses val="autoZero"/>
        <c:auto val="1"/>
        <c:lblAlgn val="ctr"/>
        <c:lblOffset val="100"/>
        <c:noMultiLvlLbl val="0"/>
      </c:catAx>
    </c:plotArea>
    <c:legend>
      <c:legendPos val="r"/>
      <c:layout>
        <c:manualLayout>
          <c:xMode val="edge"/>
          <c:yMode val="edge"/>
          <c:x val="0.24742817025178618"/>
          <c:y val="4.3655772827960591E-2"/>
          <c:w val="0.55871947836468927"/>
          <c:h val="7.683929962716794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290462255481318E-2"/>
          <c:y val="8.1884288620703002E-2"/>
          <c:w val="0.89911225095358105"/>
          <c:h val="0.67867021401191285"/>
        </c:manualLayout>
      </c:layout>
      <c:barChart>
        <c:barDir val="col"/>
        <c:grouping val="clustered"/>
        <c:varyColors val="0"/>
        <c:ser>
          <c:idx val="0"/>
          <c:order val="0"/>
          <c:tx>
            <c:strRef>
              <c:f>'G6.RS'!$G$3</c:f>
              <c:strCache>
                <c:ptCount val="1"/>
                <c:pt idx="0">
                  <c:v>Total Femenino</c:v>
                </c:pt>
              </c:strCache>
            </c:strRef>
          </c:tx>
          <c:invertIfNegative val="0"/>
          <c:dLbls>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'G6.RS'!$A$4:$A$35</c:f>
              <c:strCache>
                <c:ptCount val="32"/>
                <c:pt idx="0">
                  <c:v>AZUA</c:v>
                </c:pt>
                <c:pt idx="1">
                  <c:v>BAHORUCO</c:v>
                </c:pt>
                <c:pt idx="2">
                  <c:v>BARAHONA</c:v>
                </c:pt>
                <c:pt idx="3">
                  <c:v>DAJABON</c:v>
                </c:pt>
                <c:pt idx="4">
                  <c:v>DISTRITO NACIONAL</c:v>
                </c:pt>
                <c:pt idx="5">
                  <c:v>DUARTE</c:v>
                </c:pt>
                <c:pt idx="6">
                  <c:v>EL SEYBO</c:v>
                </c:pt>
                <c:pt idx="7">
                  <c:v>ELIAS PIÑA</c:v>
                </c:pt>
                <c:pt idx="8">
                  <c:v>ESPAILLAT</c:v>
                </c:pt>
                <c:pt idx="9">
                  <c:v>HATO MAYOR DEL REY</c:v>
                </c:pt>
                <c:pt idx="10">
                  <c:v>HERMANA MIRABAL</c:v>
                </c:pt>
                <c:pt idx="11">
                  <c:v>INDEPENDENCIA</c:v>
                </c:pt>
                <c:pt idx="12">
                  <c:v>LA ALTAGRACIA</c:v>
                </c:pt>
                <c:pt idx="13">
                  <c:v>LA ROMANA</c:v>
                </c:pt>
                <c:pt idx="14">
                  <c:v>LA VEGA</c:v>
                </c:pt>
                <c:pt idx="15">
                  <c:v>MARIA TRINIDAD SANCHEZ</c:v>
                </c:pt>
                <c:pt idx="16">
                  <c:v>MONSEÑOR NOUEL</c:v>
                </c:pt>
                <c:pt idx="17">
                  <c:v>MONTE PLATA</c:v>
                </c:pt>
                <c:pt idx="18">
                  <c:v>MONTECRISTI</c:v>
                </c:pt>
                <c:pt idx="19">
                  <c:v>PEDERNALES</c:v>
                </c:pt>
                <c:pt idx="20">
                  <c:v>PERAVIA</c:v>
                </c:pt>
                <c:pt idx="21">
                  <c:v>PUERTO PLATA</c:v>
                </c:pt>
                <c:pt idx="22">
                  <c:v>SAMANA</c:v>
                </c:pt>
                <c:pt idx="23">
                  <c:v>SAN CRISTOBAL</c:v>
                </c:pt>
                <c:pt idx="24">
                  <c:v>SAN JOSE DE OCOA</c:v>
                </c:pt>
                <c:pt idx="25">
                  <c:v>SAN JUAN DE LA MAGUANA</c:v>
                </c:pt>
                <c:pt idx="26">
                  <c:v>SAN PEDRO DE MACORIS</c:v>
                </c:pt>
                <c:pt idx="27">
                  <c:v>SANCHEZ RAMIREZ</c:v>
                </c:pt>
                <c:pt idx="28">
                  <c:v>SANTIAGO DE LOS CABALLEROS</c:v>
                </c:pt>
                <c:pt idx="29">
                  <c:v>SANTIAGO RODRIGUEZ</c:v>
                </c:pt>
                <c:pt idx="30">
                  <c:v>SANTO DOMINGO</c:v>
                </c:pt>
                <c:pt idx="31">
                  <c:v>VALVERDE</c:v>
                </c:pt>
              </c:strCache>
            </c:strRef>
          </c:cat>
          <c:val>
            <c:numRef>
              <c:f>'G6.RS'!$G$4:$G$35</c:f>
              <c:numCache>
                <c:formatCode>_(* #,##0_);_(* \(#,##0\);_(* "-"_);_(@_)</c:formatCode>
                <c:ptCount val="32"/>
                <c:pt idx="0">
                  <c:v>44120</c:v>
                </c:pt>
                <c:pt idx="1">
                  <c:v>24384</c:v>
                </c:pt>
                <c:pt idx="2">
                  <c:v>46051</c:v>
                </c:pt>
                <c:pt idx="3">
                  <c:v>11898</c:v>
                </c:pt>
                <c:pt idx="4">
                  <c:v>105163</c:v>
                </c:pt>
                <c:pt idx="5">
                  <c:v>55984</c:v>
                </c:pt>
                <c:pt idx="6">
                  <c:v>12766</c:v>
                </c:pt>
                <c:pt idx="7">
                  <c:v>10930</c:v>
                </c:pt>
                <c:pt idx="8">
                  <c:v>35189</c:v>
                </c:pt>
                <c:pt idx="9">
                  <c:v>17094</c:v>
                </c:pt>
                <c:pt idx="10">
                  <c:v>19101</c:v>
                </c:pt>
                <c:pt idx="11">
                  <c:v>9385</c:v>
                </c:pt>
                <c:pt idx="12">
                  <c:v>20860</c:v>
                </c:pt>
                <c:pt idx="13">
                  <c:v>22957</c:v>
                </c:pt>
                <c:pt idx="14">
                  <c:v>75162</c:v>
                </c:pt>
                <c:pt idx="15">
                  <c:v>28205</c:v>
                </c:pt>
                <c:pt idx="16">
                  <c:v>28137</c:v>
                </c:pt>
                <c:pt idx="17">
                  <c:v>51723</c:v>
                </c:pt>
                <c:pt idx="18">
                  <c:v>18760</c:v>
                </c:pt>
                <c:pt idx="19">
                  <c:v>4012</c:v>
                </c:pt>
                <c:pt idx="20">
                  <c:v>34687</c:v>
                </c:pt>
                <c:pt idx="21">
                  <c:v>43379</c:v>
                </c:pt>
                <c:pt idx="22">
                  <c:v>17810</c:v>
                </c:pt>
                <c:pt idx="23">
                  <c:v>96028</c:v>
                </c:pt>
                <c:pt idx="24">
                  <c:v>14972</c:v>
                </c:pt>
                <c:pt idx="25">
                  <c:v>53750</c:v>
                </c:pt>
                <c:pt idx="26">
                  <c:v>44558</c:v>
                </c:pt>
                <c:pt idx="27">
                  <c:v>33142</c:v>
                </c:pt>
                <c:pt idx="28">
                  <c:v>85984</c:v>
                </c:pt>
                <c:pt idx="29">
                  <c:v>10720</c:v>
                </c:pt>
                <c:pt idx="30">
                  <c:v>268955</c:v>
                </c:pt>
                <c:pt idx="31">
                  <c:v>25369</c:v>
                </c:pt>
              </c:numCache>
            </c:numRef>
          </c:val>
        </c:ser>
        <c:ser>
          <c:idx val="1"/>
          <c:order val="1"/>
          <c:tx>
            <c:strRef>
              <c:f>'G6.RS'!$H$3</c:f>
              <c:strCache>
                <c:ptCount val="1"/>
                <c:pt idx="0">
                  <c:v>Total Masculino</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'G6.RS'!$A$4:$A$35</c:f>
              <c:strCache>
                <c:ptCount val="32"/>
                <c:pt idx="0">
                  <c:v>AZUA</c:v>
                </c:pt>
                <c:pt idx="1">
                  <c:v>BAHORUCO</c:v>
                </c:pt>
                <c:pt idx="2">
                  <c:v>BARAHONA</c:v>
                </c:pt>
                <c:pt idx="3">
                  <c:v>DAJABON</c:v>
                </c:pt>
                <c:pt idx="4">
                  <c:v>DISTRITO NACIONAL</c:v>
                </c:pt>
                <c:pt idx="5">
                  <c:v>DUARTE</c:v>
                </c:pt>
                <c:pt idx="6">
                  <c:v>EL SEYBO</c:v>
                </c:pt>
                <c:pt idx="7">
                  <c:v>ELIAS PIÑA</c:v>
                </c:pt>
                <c:pt idx="8">
                  <c:v>ESPAILLAT</c:v>
                </c:pt>
                <c:pt idx="9">
                  <c:v>HATO MAYOR DEL REY</c:v>
                </c:pt>
                <c:pt idx="10">
                  <c:v>HERMANA MIRABAL</c:v>
                </c:pt>
                <c:pt idx="11">
                  <c:v>INDEPENDENCIA</c:v>
                </c:pt>
                <c:pt idx="12">
                  <c:v>LA ALTAGRACIA</c:v>
                </c:pt>
                <c:pt idx="13">
                  <c:v>LA ROMANA</c:v>
                </c:pt>
                <c:pt idx="14">
                  <c:v>LA VEGA</c:v>
                </c:pt>
                <c:pt idx="15">
                  <c:v>MARIA TRINIDAD SANCHEZ</c:v>
                </c:pt>
                <c:pt idx="16">
                  <c:v>MONSEÑOR NOUEL</c:v>
                </c:pt>
                <c:pt idx="17">
                  <c:v>MONTE PLATA</c:v>
                </c:pt>
                <c:pt idx="18">
                  <c:v>MONTECRISTI</c:v>
                </c:pt>
                <c:pt idx="19">
                  <c:v>PEDERNALES</c:v>
                </c:pt>
                <c:pt idx="20">
                  <c:v>PERAVIA</c:v>
                </c:pt>
                <c:pt idx="21">
                  <c:v>PUERTO PLATA</c:v>
                </c:pt>
                <c:pt idx="22">
                  <c:v>SAMANA</c:v>
                </c:pt>
                <c:pt idx="23">
                  <c:v>SAN CRISTOBAL</c:v>
                </c:pt>
                <c:pt idx="24">
                  <c:v>SAN JOSE DE OCOA</c:v>
                </c:pt>
                <c:pt idx="25">
                  <c:v>SAN JUAN DE LA MAGUANA</c:v>
                </c:pt>
                <c:pt idx="26">
                  <c:v>SAN PEDRO DE MACORIS</c:v>
                </c:pt>
                <c:pt idx="27">
                  <c:v>SANCHEZ RAMIREZ</c:v>
                </c:pt>
                <c:pt idx="28">
                  <c:v>SANTIAGO DE LOS CABALLEROS</c:v>
                </c:pt>
                <c:pt idx="29">
                  <c:v>SANTIAGO RODRIGUEZ</c:v>
                </c:pt>
                <c:pt idx="30">
                  <c:v>SANTO DOMINGO</c:v>
                </c:pt>
                <c:pt idx="31">
                  <c:v>VALVERDE</c:v>
                </c:pt>
              </c:strCache>
            </c:strRef>
          </c:cat>
          <c:val>
            <c:numRef>
              <c:f>'G6.RS'!$H$4:$H$35</c:f>
              <c:numCache>
                <c:formatCode>_(* #,##0_);_(* \(#,##0\);_(* "-"_);_(@_)</c:formatCode>
                <c:ptCount val="32"/>
                <c:pt idx="0">
                  <c:v>39800</c:v>
                </c:pt>
                <c:pt idx="1">
                  <c:v>22402</c:v>
                </c:pt>
                <c:pt idx="2">
                  <c:v>41693</c:v>
                </c:pt>
                <c:pt idx="3">
                  <c:v>11280</c:v>
                </c:pt>
                <c:pt idx="4">
                  <c:v>76861</c:v>
                </c:pt>
                <c:pt idx="5">
                  <c:v>51191</c:v>
                </c:pt>
                <c:pt idx="6">
                  <c:v>11336</c:v>
                </c:pt>
                <c:pt idx="7">
                  <c:v>10960</c:v>
                </c:pt>
                <c:pt idx="8">
                  <c:v>29781</c:v>
                </c:pt>
                <c:pt idx="9">
                  <c:v>14649</c:v>
                </c:pt>
                <c:pt idx="10">
                  <c:v>18432</c:v>
                </c:pt>
                <c:pt idx="11">
                  <c:v>9016</c:v>
                </c:pt>
                <c:pt idx="12">
                  <c:v>15179</c:v>
                </c:pt>
                <c:pt idx="13">
                  <c:v>14053</c:v>
                </c:pt>
                <c:pt idx="14">
                  <c:v>68437</c:v>
                </c:pt>
                <c:pt idx="15">
                  <c:v>26907</c:v>
                </c:pt>
                <c:pt idx="16">
                  <c:v>22904</c:v>
                </c:pt>
                <c:pt idx="17">
                  <c:v>44740</c:v>
                </c:pt>
                <c:pt idx="18">
                  <c:v>16850</c:v>
                </c:pt>
                <c:pt idx="19">
                  <c:v>4128</c:v>
                </c:pt>
                <c:pt idx="20">
                  <c:v>26345</c:v>
                </c:pt>
                <c:pt idx="21">
                  <c:v>35296</c:v>
                </c:pt>
                <c:pt idx="22">
                  <c:v>15340</c:v>
                </c:pt>
                <c:pt idx="23">
                  <c:v>69563</c:v>
                </c:pt>
                <c:pt idx="24">
                  <c:v>15040</c:v>
                </c:pt>
                <c:pt idx="25">
                  <c:v>50332</c:v>
                </c:pt>
                <c:pt idx="26">
                  <c:v>29098</c:v>
                </c:pt>
                <c:pt idx="27">
                  <c:v>30071</c:v>
                </c:pt>
                <c:pt idx="28">
                  <c:v>62714</c:v>
                </c:pt>
                <c:pt idx="29">
                  <c:v>10443</c:v>
                </c:pt>
                <c:pt idx="30">
                  <c:v>191518</c:v>
                </c:pt>
                <c:pt idx="31">
                  <c:v>21280</c:v>
                </c:pt>
              </c:numCache>
            </c:numRef>
          </c:val>
        </c:ser>
        <c:dLbls>
          <c:showLegendKey val="0"/>
          <c:showVal val="0"/>
          <c:showCatName val="0"/>
          <c:showSerName val="0"/>
          <c:showPercent val="0"/>
          <c:showBubbleSize val="0"/>
        </c:dLbls>
        <c:gapWidth val="150"/>
        <c:axId val="275075592"/>
        <c:axId val="275075984"/>
      </c:barChart>
      <c:catAx>
        <c:axId val="275075592"/>
        <c:scaling>
          <c:orientation val="minMax"/>
        </c:scaling>
        <c:delete val="0"/>
        <c:axPos val="b"/>
        <c:numFmt formatCode="General" sourceLinked="0"/>
        <c:majorTickMark val="out"/>
        <c:minorTickMark val="none"/>
        <c:tickLblPos val="nextTo"/>
        <c:crossAx val="275075984"/>
        <c:crosses val="autoZero"/>
        <c:auto val="1"/>
        <c:lblAlgn val="ctr"/>
        <c:lblOffset val="100"/>
        <c:noMultiLvlLbl val="0"/>
      </c:catAx>
      <c:valAx>
        <c:axId val="275075984"/>
        <c:scaling>
          <c:orientation val="minMax"/>
        </c:scaling>
        <c:delete val="0"/>
        <c:axPos val="l"/>
        <c:numFmt formatCode="_(* #,##0_);_(* \(#,##0\);_(* &quot;-&quot;_);_(@_)" sourceLinked="1"/>
        <c:majorTickMark val="out"/>
        <c:minorTickMark val="none"/>
        <c:tickLblPos val="nextTo"/>
        <c:crossAx val="275075592"/>
        <c:crosses val="autoZero"/>
        <c:crossBetween val="between"/>
      </c:valAx>
    </c:plotArea>
    <c:legend>
      <c:legendPos val="r"/>
      <c:layout>
        <c:manualLayout>
          <c:xMode val="edge"/>
          <c:yMode val="edge"/>
          <c:x val="0.32554092083987235"/>
          <c:y val="3.7775592626417116E-2"/>
          <c:w val="0.48056237032365112"/>
          <c:h val="7.9871287026512694E-2"/>
        </c:manualLayout>
      </c:layout>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2372497555459E-2"/>
          <c:y val="0.18560902161508033"/>
          <c:w val="0.88219391693685345"/>
          <c:h val="0.56612111835346512"/>
        </c:manualLayout>
      </c:layout>
      <c:lineChart>
        <c:grouping val="stacked"/>
        <c:varyColors val="0"/>
        <c:ser>
          <c:idx val="0"/>
          <c:order val="0"/>
          <c:tx>
            <c:strRef>
              <c:f>'G7.RS'!$D$3</c:f>
              <c:strCache>
                <c:ptCount val="1"/>
                <c:pt idx="0">
                  <c:v>Relación Dependencia</c:v>
                </c:pt>
              </c:strCache>
            </c:strRef>
          </c:tx>
          <c:spPr>
            <a:ln w="6350">
              <a:noFill/>
            </a:ln>
          </c:spPr>
          <c:marker>
            <c:symbol val="circle"/>
            <c:size val="13"/>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'G7.RS'!$A$4:$A$12</c:f>
              <c:strCache>
                <c:ptCount val="9"/>
                <c:pt idx="0">
                  <c:v>Región 0</c:v>
                </c:pt>
                <c:pt idx="1">
                  <c:v>Región I</c:v>
                </c:pt>
                <c:pt idx="2">
                  <c:v>Región II</c:v>
                </c:pt>
                <c:pt idx="3">
                  <c:v>Región III</c:v>
                </c:pt>
                <c:pt idx="4">
                  <c:v>Región IV</c:v>
                </c:pt>
                <c:pt idx="5">
                  <c:v>Región V</c:v>
                </c:pt>
                <c:pt idx="6">
                  <c:v>Región VI</c:v>
                </c:pt>
                <c:pt idx="7">
                  <c:v>Región VII</c:v>
                </c:pt>
                <c:pt idx="8">
                  <c:v>Región VIII</c:v>
                </c:pt>
              </c:strCache>
            </c:strRef>
          </c:cat>
          <c:val>
            <c:numRef>
              <c:f>'G7.RS'!$D$4:$D$12</c:f>
              <c:numCache>
                <c:formatCode>_(* #,##0.00_);_(* \(#,##0.00\);_(* "-"??_);_(@_)</c:formatCode>
                <c:ptCount val="9"/>
                <c:pt idx="0">
                  <c:v>0.83011456790612659</c:v>
                </c:pt>
                <c:pt idx="1">
                  <c:v>1.0279336230738838</c:v>
                </c:pt>
                <c:pt idx="2">
                  <c:v>0.62633236164578654</c:v>
                </c:pt>
                <c:pt idx="3">
                  <c:v>0.86381964222855134</c:v>
                </c:pt>
                <c:pt idx="4">
                  <c:v>1.1393127996706114</c:v>
                </c:pt>
                <c:pt idx="5">
                  <c:v>0.72968864750388551</c:v>
                </c:pt>
                <c:pt idx="6">
                  <c:v>1.264793474038586</c:v>
                </c:pt>
                <c:pt idx="7">
                  <c:v>0.9247727065405783</c:v>
                </c:pt>
                <c:pt idx="8">
                  <c:v>0.89881219761850406</c:v>
                </c:pt>
              </c:numCache>
            </c:numRef>
          </c:val>
          <c:smooth val="0"/>
        </c:ser>
        <c:dLbls>
          <c:showLegendKey val="0"/>
          <c:showVal val="0"/>
          <c:showCatName val="0"/>
          <c:showSerName val="0"/>
          <c:showPercent val="0"/>
          <c:showBubbleSize val="0"/>
        </c:dLbls>
        <c:marker val="1"/>
        <c:smooth val="0"/>
        <c:axId val="275074808"/>
        <c:axId val="275076376"/>
      </c:lineChart>
      <c:catAx>
        <c:axId val="275074808"/>
        <c:scaling>
          <c:orientation val="minMax"/>
        </c:scaling>
        <c:delete val="0"/>
        <c:axPos val="b"/>
        <c:numFmt formatCode="General" sourceLinked="0"/>
        <c:majorTickMark val="out"/>
        <c:minorTickMark val="none"/>
        <c:tickLblPos val="nextTo"/>
        <c:txPr>
          <a:bodyPr rot="-2700000" vert="horz"/>
          <a:lstStyle/>
          <a:p>
            <a:pPr>
              <a:defRPr sz="1400"/>
            </a:pPr>
            <a:endParaRPr lang="es-ES"/>
          </a:p>
        </c:txPr>
        <c:crossAx val="275076376"/>
        <c:crosses val="autoZero"/>
        <c:auto val="1"/>
        <c:lblAlgn val="ctr"/>
        <c:lblOffset val="100"/>
        <c:noMultiLvlLbl val="0"/>
      </c:catAx>
      <c:valAx>
        <c:axId val="275076376"/>
        <c:scaling>
          <c:orientation val="minMax"/>
        </c:scaling>
        <c:delete val="0"/>
        <c:axPos val="l"/>
        <c:numFmt formatCode="_(* #,##0.00_);_(* \(#,##0.00\);_(* &quot;-&quot;??_);_(@_)" sourceLinked="1"/>
        <c:majorTickMark val="out"/>
        <c:minorTickMark val="none"/>
        <c:tickLblPos val="nextTo"/>
        <c:crossAx val="275074808"/>
        <c:crosses val="autoZero"/>
        <c:crossBetween val="between"/>
      </c:valAx>
    </c:plotArea>
    <c:legend>
      <c:legendPos val="r"/>
      <c:layout>
        <c:manualLayout>
          <c:xMode val="edge"/>
          <c:yMode val="edge"/>
          <c:x val="0.35534825793834601"/>
          <c:y val="6.0020061414526829E-2"/>
          <c:w val="0.33957850856878186"/>
          <c:h val="6.1807004513709969E-2"/>
        </c:manualLayout>
      </c:layout>
      <c:overlay val="0"/>
      <c:txPr>
        <a:bodyPr/>
        <a:lstStyle/>
        <a:p>
          <a:pPr>
            <a:defRPr sz="1600"/>
          </a:pPr>
          <a:endParaRPr lang="es-ES"/>
        </a:p>
      </c:txPr>
    </c:legend>
    <c:plotVisOnly val="1"/>
    <c:dispBlanksAs val="zero"/>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74902061574647"/>
          <c:y val="8.5674608848698514E-2"/>
          <c:w val="0.72368741344517873"/>
          <c:h val="0.79904394762037656"/>
        </c:manualLayout>
      </c:layout>
      <c:barChart>
        <c:barDir val="bar"/>
        <c:grouping val="clustered"/>
        <c:varyColors val="0"/>
        <c:ser>
          <c:idx val="0"/>
          <c:order val="0"/>
          <c:tx>
            <c:strRef>
              <c:f>'G8.RS'!$Q$5</c:f>
              <c:strCache>
                <c:ptCount val="1"/>
                <c:pt idx="0">
                  <c:v>Femenino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'G8.RS'!$P$6:$P$24</c:f>
              <c:strCache>
                <c:ptCount val="19"/>
                <c:pt idx="0">
                  <c:v>0-1</c:v>
                </c:pt>
                <c:pt idx="1">
                  <c:v>2-4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'G8.RS'!$Q$6:$Q$24</c:f>
              <c:numCache>
                <c:formatCode>#,##0</c:formatCode>
                <c:ptCount val="19"/>
                <c:pt idx="0">
                  <c:v>4550</c:v>
                </c:pt>
                <c:pt idx="1">
                  <c:v>22450</c:v>
                </c:pt>
                <c:pt idx="2">
                  <c:v>72853</c:v>
                </c:pt>
                <c:pt idx="3">
                  <c:v>118610</c:v>
                </c:pt>
                <c:pt idx="4">
                  <c:v>121364</c:v>
                </c:pt>
                <c:pt idx="5">
                  <c:v>108538</c:v>
                </c:pt>
                <c:pt idx="6">
                  <c:v>100884</c:v>
                </c:pt>
                <c:pt idx="7">
                  <c:v>104370</c:v>
                </c:pt>
                <c:pt idx="8">
                  <c:v>106755</c:v>
                </c:pt>
                <c:pt idx="9">
                  <c:v>107611</c:v>
                </c:pt>
                <c:pt idx="10">
                  <c:v>99539</c:v>
                </c:pt>
                <c:pt idx="11">
                  <c:v>85644</c:v>
                </c:pt>
                <c:pt idx="12">
                  <c:v>74006</c:v>
                </c:pt>
                <c:pt idx="13">
                  <c:v>65513</c:v>
                </c:pt>
                <c:pt idx="14">
                  <c:v>51865</c:v>
                </c:pt>
                <c:pt idx="15">
                  <c:v>43710</c:v>
                </c:pt>
                <c:pt idx="16">
                  <c:v>35165</c:v>
                </c:pt>
                <c:pt idx="17">
                  <c:v>24697</c:v>
                </c:pt>
                <c:pt idx="18">
                  <c:v>23101</c:v>
                </c:pt>
              </c:numCache>
            </c:numRef>
          </c:val>
        </c:ser>
        <c:ser>
          <c:idx val="1"/>
          <c:order val="1"/>
          <c:tx>
            <c:strRef>
              <c:f>'G8.RS'!$R$5</c:f>
              <c:strCache>
                <c:ptCount val="1"/>
                <c:pt idx="0">
                  <c:v>Masculino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'G8.RS'!$P$6:$P$24</c:f>
              <c:strCache>
                <c:ptCount val="19"/>
                <c:pt idx="0">
                  <c:v>0-1</c:v>
                </c:pt>
                <c:pt idx="1">
                  <c:v>2-4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'G8.RS'!$R$6:$R$24</c:f>
              <c:numCache>
                <c:formatCode>General</c:formatCode>
                <c:ptCount val="19"/>
                <c:pt idx="0">
                  <c:v>-4787</c:v>
                </c:pt>
                <c:pt idx="1">
                  <c:v>-23812</c:v>
                </c:pt>
                <c:pt idx="2">
                  <c:v>-76241</c:v>
                </c:pt>
                <c:pt idx="3">
                  <c:v>-123056</c:v>
                </c:pt>
                <c:pt idx="4">
                  <c:v>-121721</c:v>
                </c:pt>
                <c:pt idx="5">
                  <c:v>-78778</c:v>
                </c:pt>
                <c:pt idx="6">
                  <c:v>-66998</c:v>
                </c:pt>
                <c:pt idx="7">
                  <c:v>-67337</c:v>
                </c:pt>
                <c:pt idx="8">
                  <c:v>-72594</c:v>
                </c:pt>
                <c:pt idx="9">
                  <c:v>-77536</c:v>
                </c:pt>
                <c:pt idx="10">
                  <c:v>-75299</c:v>
                </c:pt>
                <c:pt idx="11">
                  <c:v>-66993</c:v>
                </c:pt>
                <c:pt idx="12">
                  <c:v>-57932</c:v>
                </c:pt>
                <c:pt idx="13">
                  <c:v>-49819</c:v>
                </c:pt>
                <c:pt idx="14">
                  <c:v>-41951</c:v>
                </c:pt>
                <c:pt idx="15">
                  <c:v>-35500</c:v>
                </c:pt>
                <c:pt idx="16">
                  <c:v>-26668</c:v>
                </c:pt>
                <c:pt idx="17">
                  <c:v>-20483</c:v>
                </c:pt>
                <c:pt idx="18">
                  <c:v>-20118</c:v>
                </c:pt>
              </c:numCache>
            </c:numRef>
          </c:val>
        </c:ser>
        <c:dLbls>
          <c:showLegendKey val="0"/>
          <c:showVal val="0"/>
          <c:showCatName val="0"/>
          <c:showSerName val="0"/>
          <c:showPercent val="0"/>
          <c:showBubbleSize val="0"/>
        </c:dLbls>
        <c:gapWidth val="0"/>
        <c:overlap val="100"/>
        <c:axId val="275077160"/>
        <c:axId val="275077552"/>
      </c:barChart>
      <c:catAx>
        <c:axId val="275077160"/>
        <c:scaling>
          <c:orientation val="minMax"/>
        </c:scaling>
        <c:delete val="0"/>
        <c:axPos val="l"/>
        <c:numFmt formatCode="General" sourceLinked="0"/>
        <c:majorTickMark val="out"/>
        <c:minorTickMark val="none"/>
        <c:tickLblPos val="nextTo"/>
        <c:crossAx val="275077552"/>
        <c:crosses val="autoZero"/>
        <c:auto val="1"/>
        <c:lblAlgn val="ctr"/>
        <c:lblOffset val="100"/>
        <c:noMultiLvlLbl val="0"/>
      </c:catAx>
      <c:valAx>
        <c:axId val="275077552"/>
        <c:scaling>
          <c:orientation val="minMax"/>
        </c:scaling>
        <c:delete val="0"/>
        <c:axPos val="b"/>
        <c:numFmt formatCode="#,##0" sourceLinked="1"/>
        <c:majorTickMark val="out"/>
        <c:minorTickMark val="none"/>
        <c:tickLblPos val="nextTo"/>
        <c:crossAx val="275077160"/>
        <c:crosses val="autoZero"/>
        <c:crossBetween val="between"/>
      </c:valAx>
      <c:spPr>
        <a:noFill/>
        <a:ln w="25400">
          <a:noFill/>
        </a:ln>
      </c:spPr>
    </c:plotArea>
    <c:legend>
      <c:legendPos val="r"/>
      <c:layout>
        <c:manualLayout>
          <c:xMode val="edge"/>
          <c:yMode val="edge"/>
          <c:x val="0.21839030791882724"/>
          <c:y val="2.371443569553806E-2"/>
          <c:w val="0.5217126068373934"/>
          <c:h val="5.56670961584347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336186442042677E-2"/>
          <c:y val="0.14304456046079056"/>
          <c:w val="0.89784168999676017"/>
          <c:h val="0.74934419884750991"/>
        </c:manualLayout>
      </c:layout>
      <c:barChart>
        <c:barDir val="col"/>
        <c:grouping val="clustered"/>
        <c:varyColors val="0"/>
        <c:ser>
          <c:idx val="1"/>
          <c:order val="0"/>
          <c:tx>
            <c:strRef>
              <c:f>'G9.RS'!$E$3</c:f>
              <c:strCache>
                <c:ptCount val="1"/>
                <c:pt idx="0">
                  <c:v>Población Pobre  ICV1 y ICV 2 SIUBEN</c:v>
                </c:pt>
              </c:strCache>
            </c:strRef>
          </c:tx>
          <c:spPr>
            <a:solidFill>
              <a:schemeClr val="accent5">
                <a:lumMod val="50000"/>
              </a:schemeClr>
            </a:solidFill>
          </c:spPr>
          <c:invertIfNegative val="0"/>
          <c:dLbls>
            <c:dLbl>
              <c:idx val="1"/>
              <c:layout>
                <c:manualLayout>
                  <c:x val="0"/>
                  <c:y val="7.544778557778943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5447785577788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1854660875654641E-3"/>
                  <c:y val="4.9864847470716955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30023302918191E-4"/>
                  <c:y val="-2.514926185926314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09053596711837E-2"/>
                  <c:y val="2.263433567333673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0309053596711837E-2"/>
                  <c:y val="5.53283760903788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'G9.RS'!$A$4:$A$12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'G9.RS'!$E$4:$E$12</c:f>
              <c:numCache>
                <c:formatCode>#,##0</c:formatCode>
                <c:ptCount val="9"/>
                <c:pt idx="0">
                  <c:v>891561</c:v>
                </c:pt>
                <c:pt idx="1">
                  <c:v>414089</c:v>
                </c:pt>
                <c:pt idx="2">
                  <c:v>425792</c:v>
                </c:pt>
                <c:pt idx="3">
                  <c:v>234358</c:v>
                </c:pt>
                <c:pt idx="4">
                  <c:v>186900</c:v>
                </c:pt>
                <c:pt idx="5">
                  <c:v>347299</c:v>
                </c:pt>
                <c:pt idx="6">
                  <c:v>147805</c:v>
                </c:pt>
                <c:pt idx="7">
                  <c:v>182773</c:v>
                </c:pt>
                <c:pt idx="8">
                  <c:v>224797</c:v>
                </c:pt>
              </c:numCache>
            </c:numRef>
          </c:val>
        </c:ser>
        <c:ser>
          <c:idx val="0"/>
          <c:order val="1"/>
          <c:tx>
            <c:strRef>
              <c:f>'G9.RS'!$D$3</c:f>
              <c:strCache>
                <c:ptCount val="1"/>
                <c:pt idx="0">
                  <c:v>Población RS  Cubierta</c:v>
                </c:pt>
              </c:strCache>
            </c:strRef>
          </c:tx>
          <c:invertIfNegative val="0"/>
          <c:dLbls>
            <c:dLbl>
              <c:idx val="0"/>
              <c:layout>
                <c:manualLayout>
                  <c:x val="1.7680904928599019E-3"/>
                  <c:y val="9.30956365040545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29161381399437E-6"/>
                  <c:y val="8.8152519381763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5320093211672764E-3"/>
                  <c:y val="8.047763794964198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777977844804725E-17"/>
                  <c:y val="7.4191119385456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5320093211672113E-3"/>
                  <c:y val="8.047763794964198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7.544778557778934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7.796271176371574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660046605836251E-2"/>
                  <c:y val="-1.25750269809994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'G9.RS'!$A$4:$A$12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'G9.RS'!$D$4:$D$12</c:f>
              <c:numCache>
                <c:formatCode>#,##0</c:formatCode>
                <c:ptCount val="9"/>
                <c:pt idx="0">
                  <c:v>738960</c:v>
                </c:pt>
                <c:pt idx="1">
                  <c:v>256635</c:v>
                </c:pt>
                <c:pt idx="2">
                  <c:v>292343</c:v>
                </c:pt>
                <c:pt idx="3">
                  <c:v>232970</c:v>
                </c:pt>
                <c:pt idx="4">
                  <c:v>161071</c:v>
                </c:pt>
                <c:pt idx="5">
                  <c:v>202550</c:v>
                </c:pt>
                <c:pt idx="6">
                  <c:v>209892</c:v>
                </c:pt>
                <c:pt idx="7">
                  <c:v>126600</c:v>
                </c:pt>
                <c:pt idx="8">
                  <c:v>257853</c:v>
                </c:pt>
              </c:numCache>
            </c:numRef>
          </c:val>
        </c:ser>
        <c:dLbls>
          <c:showLegendKey val="0"/>
          <c:showVal val="0"/>
          <c:showCatName val="0"/>
          <c:showSerName val="0"/>
          <c:showPercent val="0"/>
          <c:showBubbleSize val="0"/>
        </c:dLbls>
        <c:gapWidth val="39"/>
        <c:overlap val="67"/>
        <c:axId val="275078336"/>
        <c:axId val="275078728"/>
      </c:barChart>
      <c:catAx>
        <c:axId val="275078336"/>
        <c:scaling>
          <c:orientation val="minMax"/>
        </c:scaling>
        <c:delete val="0"/>
        <c:axPos val="b"/>
        <c:numFmt formatCode="General" sourceLinked="0"/>
        <c:majorTickMark val="out"/>
        <c:minorTickMark val="none"/>
        <c:tickLblPos val="nextTo"/>
        <c:txPr>
          <a:bodyPr/>
          <a:lstStyle/>
          <a:p>
            <a:pPr>
              <a:defRPr sz="1400"/>
            </a:pPr>
            <a:endParaRPr lang="es-ES"/>
          </a:p>
        </c:txPr>
        <c:crossAx val="275078728"/>
        <c:crosses val="autoZero"/>
        <c:auto val="1"/>
        <c:lblAlgn val="ctr"/>
        <c:lblOffset val="100"/>
        <c:noMultiLvlLbl val="0"/>
      </c:catAx>
      <c:valAx>
        <c:axId val="275078728"/>
        <c:scaling>
          <c:orientation val="minMax"/>
        </c:scaling>
        <c:delete val="0"/>
        <c:axPos val="l"/>
        <c:numFmt formatCode="#,##0" sourceLinked="1"/>
        <c:majorTickMark val="out"/>
        <c:minorTickMark val="none"/>
        <c:tickLblPos val="nextTo"/>
        <c:crossAx val="275078336"/>
        <c:crosses val="autoZero"/>
        <c:crossBetween val="between"/>
      </c:valAx>
    </c:plotArea>
    <c:legend>
      <c:legendPos val="r"/>
      <c:layout>
        <c:manualLayout>
          <c:xMode val="edge"/>
          <c:yMode val="edge"/>
          <c:x val="0.22317203438408023"/>
          <c:y val="6.9293215156211063E-2"/>
          <c:w val="0.63859234757735339"/>
          <c:h val="7.76735674920951E-2"/>
        </c:manualLayout>
      </c:layout>
      <c:overlay val="0"/>
      <c:txPr>
        <a:bodyPr/>
        <a:lstStyle/>
        <a:p>
          <a:pPr>
            <a:defRPr sz="18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5.7675505156942281E-2"/>
          <c:y val="0.16777851304705524"/>
          <c:w val="0.89590723814069917"/>
          <c:h val="0.67930258534769117"/>
        </c:manualLayout>
      </c:layout>
      <c:barChart>
        <c:barDir val="col"/>
        <c:grouping val="clustered"/>
        <c:varyColors val="0"/>
        <c:ser>
          <c:idx val="1"/>
          <c:order val="0"/>
          <c:tx>
            <c:strRef>
              <c:f>'G9.RS'!$B$3</c:f>
              <c:strCache>
                <c:ptCount val="1"/>
                <c:pt idx="0">
                  <c:v>Población Pobre  Según % pobreza</c:v>
                </c:pt>
              </c:strCache>
            </c:strRef>
          </c:tx>
          <c:spPr>
            <a:solidFill>
              <a:schemeClr val="accent5">
                <a:lumMod val="50000"/>
              </a:schemeClr>
            </a:solidFill>
          </c:spPr>
          <c:invertIfNegative val="0"/>
          <c:dLbls>
            <c:dLbl>
              <c:idx val="4"/>
              <c:layout>
                <c:manualLayout>
                  <c:x val="-1.7204301075268817E-3"/>
                  <c:y val="5.019971744295256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892158104412478E-3"/>
                  <c:y val="4.345128269555061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'G9.RS'!$A$4:$A$12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'G9.RS'!$B$4:$B$12</c:f>
              <c:numCache>
                <c:formatCode>#,##0</c:formatCode>
                <c:ptCount val="9"/>
                <c:pt idx="0">
                  <c:v>974622</c:v>
                </c:pt>
                <c:pt idx="1">
                  <c:v>518134</c:v>
                </c:pt>
                <c:pt idx="2">
                  <c:v>510087</c:v>
                </c:pt>
                <c:pt idx="3">
                  <c:v>325986</c:v>
                </c:pt>
                <c:pt idx="4">
                  <c:v>248034</c:v>
                </c:pt>
                <c:pt idx="5">
                  <c:v>494058</c:v>
                </c:pt>
                <c:pt idx="6">
                  <c:v>215498</c:v>
                </c:pt>
                <c:pt idx="7">
                  <c:v>215844</c:v>
                </c:pt>
                <c:pt idx="8">
                  <c:v>313429</c:v>
                </c:pt>
              </c:numCache>
            </c:numRef>
          </c:val>
        </c:ser>
        <c:ser>
          <c:idx val="0"/>
          <c:order val="1"/>
          <c:tx>
            <c:strRef>
              <c:f>'G9.RS'!$D$3</c:f>
              <c:strCache>
                <c:ptCount val="1"/>
                <c:pt idx="0">
                  <c:v>Población RS  Cubierta</c:v>
                </c:pt>
              </c:strCache>
            </c:strRef>
          </c:tx>
          <c:invertIfNegative val="0"/>
          <c:dLbls>
            <c:dLbl>
              <c:idx val="4"/>
              <c:layout>
                <c:manualLayout>
                  <c:x val="2.5806451612902597E-3"/>
                  <c:y val="6.78454555889479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021499549809529E-4"/>
                  <c:y val="5.586855286215709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5784316208824968E-4"/>
                  <c:y val="6.256984708159288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4408599819923812E-3"/>
                  <c:y val="5.91549383246368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'G9.RS'!$A$4:$A$12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'G9.RS'!$D$4:$D$12</c:f>
              <c:numCache>
                <c:formatCode>#,##0</c:formatCode>
                <c:ptCount val="9"/>
                <c:pt idx="0">
                  <c:v>738960</c:v>
                </c:pt>
                <c:pt idx="1">
                  <c:v>256635</c:v>
                </c:pt>
                <c:pt idx="2">
                  <c:v>292343</c:v>
                </c:pt>
                <c:pt idx="3">
                  <c:v>232970</c:v>
                </c:pt>
                <c:pt idx="4">
                  <c:v>161071</c:v>
                </c:pt>
                <c:pt idx="5">
                  <c:v>202550</c:v>
                </c:pt>
                <c:pt idx="6">
                  <c:v>209892</c:v>
                </c:pt>
                <c:pt idx="7">
                  <c:v>126600</c:v>
                </c:pt>
                <c:pt idx="8">
                  <c:v>257853</c:v>
                </c:pt>
              </c:numCache>
            </c:numRef>
          </c:val>
        </c:ser>
        <c:dLbls>
          <c:showLegendKey val="0"/>
          <c:showVal val="0"/>
          <c:showCatName val="0"/>
          <c:showSerName val="0"/>
          <c:showPercent val="0"/>
          <c:showBubbleSize val="0"/>
        </c:dLbls>
        <c:gapWidth val="17"/>
        <c:overlap val="67"/>
        <c:axId val="275079512"/>
        <c:axId val="275079904"/>
      </c:barChart>
      <c:lineChart>
        <c:grouping val="standard"/>
        <c:varyColors val="0"/>
        <c:ser>
          <c:idx val="2"/>
          <c:order val="2"/>
          <c:tx>
            <c:strRef>
              <c:f>'G9.RS'!$C$3</c:f>
              <c:strCache>
                <c:ptCount val="1"/>
                <c:pt idx="0">
                  <c:v>% de la Población Pobre  cubierta por RS</c:v>
                </c:pt>
              </c:strCache>
            </c:strRef>
          </c:tx>
          <c:spPr>
            <a:ln>
              <a:noFill/>
            </a:ln>
          </c:spPr>
          <c:marker>
            <c:symbol val="circle"/>
            <c:size val="15"/>
            <c:spPr>
              <a:gradFill>
                <a:gsLst>
                  <a:gs pos="0">
                    <a:srgbClr val="FFF200"/>
                  </a:gs>
                  <a:gs pos="45000">
                    <a:srgbClr val="FF7A00"/>
                  </a:gs>
                  <a:gs pos="70000">
                    <a:srgbClr val="FF0300"/>
                  </a:gs>
                  <a:gs pos="100000">
                    <a:srgbClr val="4D0808"/>
                  </a:gs>
                </a:gsLst>
                <a:lin ang="5400000" scaled="0"/>
              </a:gradFill>
            </c:spPr>
          </c:marker>
          <c:dLbls>
            <c:dLbl>
              <c:idx val="0"/>
              <c:layout>
                <c:manualLayout>
                  <c:x val="-1.2151811065188178E-2"/>
                  <c:y val="3.29250034750419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1293178727228327E-2"/>
                  <c:y val="3.2925003475042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331403145866625E-2"/>
                  <c:y val="4.27963252255927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0347985532159501E-2"/>
                  <c:y val="-3.79573837474666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3090162345064E-2"/>
                  <c:y val="-3.12385879035372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0915195461449973E-2"/>
                  <c:y val="2.9709300190299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5889928472545804E-2"/>
                  <c:y val="-3.62861355766309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47625185214432E-2"/>
                  <c:y val="-3.94646893623294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4247750953899703E-2"/>
                  <c:y val="-3.453078111824475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'G9.RS'!$A$4:$A$12</c:f>
              <c:strCache>
                <c:ptCount val="9"/>
                <c:pt idx="0">
                  <c:v>REGION 0</c:v>
                </c:pt>
                <c:pt idx="1">
                  <c:v>REGION I</c:v>
                </c:pt>
                <c:pt idx="2">
                  <c:v>REGION II</c:v>
                </c:pt>
                <c:pt idx="3">
                  <c:v>REGION III</c:v>
                </c:pt>
                <c:pt idx="4">
                  <c:v>REGION IV</c:v>
                </c:pt>
                <c:pt idx="5">
                  <c:v>REGION V</c:v>
                </c:pt>
                <c:pt idx="6">
                  <c:v>REGION VI</c:v>
                </c:pt>
                <c:pt idx="7">
                  <c:v>REGION VII</c:v>
                </c:pt>
                <c:pt idx="8">
                  <c:v>REGION VIII</c:v>
                </c:pt>
              </c:strCache>
            </c:strRef>
          </c:cat>
          <c:val>
            <c:numRef>
              <c:f>'G9.RS'!$C$4:$C$12</c:f>
              <c:numCache>
                <c:formatCode>0.0%</c:formatCode>
                <c:ptCount val="9"/>
                <c:pt idx="0">
                  <c:v>0.75820164125168532</c:v>
                </c:pt>
                <c:pt idx="1">
                  <c:v>0.49530623352260228</c:v>
                </c:pt>
                <c:pt idx="2">
                  <c:v>0.57312380044972722</c:v>
                </c:pt>
                <c:pt idx="3">
                  <c:v>0.71466259287208656</c:v>
                </c:pt>
                <c:pt idx="4">
                  <c:v>0.64939080932452808</c:v>
                </c:pt>
                <c:pt idx="5">
                  <c:v>0.40997210853786398</c:v>
                </c:pt>
                <c:pt idx="6">
                  <c:v>0.97398583745556799</c:v>
                </c:pt>
                <c:pt idx="7">
                  <c:v>0.58653471951965308</c:v>
                </c:pt>
                <c:pt idx="8">
                  <c:v>0.82268392522708489</c:v>
                </c:pt>
              </c:numCache>
            </c:numRef>
          </c:val>
          <c:smooth val="0"/>
        </c:ser>
        <c:dLbls>
          <c:showLegendKey val="0"/>
          <c:showVal val="0"/>
          <c:showCatName val="0"/>
          <c:showSerName val="0"/>
          <c:showPercent val="0"/>
          <c:showBubbleSize val="0"/>
        </c:dLbls>
        <c:marker val="1"/>
        <c:smooth val="0"/>
        <c:axId val="275080688"/>
        <c:axId val="275080296"/>
      </c:lineChart>
      <c:catAx>
        <c:axId val="27507951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275079904"/>
        <c:crosses val="autoZero"/>
        <c:auto val="1"/>
        <c:lblAlgn val="ctr"/>
        <c:lblOffset val="100"/>
        <c:noMultiLvlLbl val="0"/>
      </c:catAx>
      <c:valAx>
        <c:axId val="275079904"/>
        <c:scaling>
          <c:orientation val="minMax"/>
          <c:max val="1100000"/>
        </c:scaling>
        <c:delete val="0"/>
        <c:axPos val="l"/>
        <c:numFmt formatCode="#,##0" sourceLinked="1"/>
        <c:majorTickMark val="out"/>
        <c:minorTickMark val="none"/>
        <c:tickLblPos val="nextTo"/>
        <c:crossAx val="275079512"/>
        <c:crosses val="autoZero"/>
        <c:crossBetween val="between"/>
      </c:valAx>
      <c:valAx>
        <c:axId val="275080296"/>
        <c:scaling>
          <c:orientation val="minMax"/>
          <c:max val="2"/>
        </c:scaling>
        <c:delete val="0"/>
        <c:axPos val="r"/>
        <c:numFmt formatCode="0.0%" sourceLinked="1"/>
        <c:majorTickMark val="out"/>
        <c:minorTickMark val="none"/>
        <c:tickLblPos val="nextTo"/>
        <c:crossAx val="275080688"/>
        <c:crosses val="max"/>
        <c:crossBetween val="between"/>
      </c:valAx>
      <c:catAx>
        <c:axId val="275080688"/>
        <c:scaling>
          <c:orientation val="minMax"/>
        </c:scaling>
        <c:delete val="1"/>
        <c:axPos val="b"/>
        <c:numFmt formatCode="General" sourceLinked="1"/>
        <c:majorTickMark val="out"/>
        <c:minorTickMark val="none"/>
        <c:tickLblPos val="nextTo"/>
        <c:crossAx val="275080296"/>
        <c:crosses val="autoZero"/>
        <c:auto val="1"/>
        <c:lblAlgn val="ctr"/>
        <c:lblOffset val="100"/>
        <c:noMultiLvlLbl val="0"/>
      </c:catAx>
    </c:plotArea>
    <c:legend>
      <c:legendPos val="r"/>
      <c:layout>
        <c:manualLayout>
          <c:xMode val="edge"/>
          <c:yMode val="edge"/>
          <c:x val="1.8718667396018771E-2"/>
          <c:y val="6.7236914701546024E-2"/>
          <c:w val="0.92675363056314086"/>
          <c:h val="6.6474413391523171E-2"/>
        </c:manualLayout>
      </c:layout>
      <c:overlay val="0"/>
      <c:txPr>
        <a:bodyPr/>
        <a:lstStyle/>
        <a:p>
          <a:pPr>
            <a:defRPr sz="2000"/>
          </a:pPr>
          <a:endParaRPr lang="es-ES"/>
        </a:p>
      </c:txPr>
    </c:legend>
    <c:plotVisOnly val="1"/>
    <c:dispBlanksAs val="gap"/>
    <c:showDLblsOverMax val="0"/>
  </c:chart>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16541276143352E-2"/>
          <c:y val="9.7350316296553233E-2"/>
          <c:w val="0.88638577339024871"/>
          <c:h val="0.64673240052436698"/>
        </c:manualLayout>
      </c:layout>
      <c:lineChart>
        <c:grouping val="standard"/>
        <c:varyColors val="0"/>
        <c:ser>
          <c:idx val="0"/>
          <c:order val="0"/>
          <c:tx>
            <c:strRef>
              <c:f>'G10.RS'!$A$13</c:f>
              <c:strCache>
                <c:ptCount val="1"/>
                <c:pt idx="0">
                  <c:v>Total general</c:v>
                </c:pt>
              </c:strCache>
            </c:strRef>
          </c:tx>
          <c:marker>
            <c:symbol val="circle"/>
            <c:size val="11"/>
            <c:spPr>
              <a:solidFill>
                <a:schemeClr val="bg1"/>
              </a:solidFill>
              <a:ln>
                <a:solidFill>
                  <a:schemeClr val="accent2">
                    <a:lumMod val="50000"/>
                  </a:schemeClr>
                </a:solidFill>
              </a:ln>
            </c:spPr>
          </c:marker>
          <c:dPt>
            <c:idx val="0"/>
            <c:marker>
              <c:spPr>
                <a:solidFill>
                  <a:srgbClr val="FF0000"/>
                </a:solidFill>
                <a:ln>
                  <a:solidFill>
                    <a:schemeClr val="accent2">
                      <a:lumMod val="50000"/>
                    </a:schemeClr>
                  </a:solidFill>
                </a:ln>
              </c:spPr>
            </c:marker>
            <c:bubble3D val="0"/>
          </c:dPt>
          <c:dPt>
            <c:idx val="1"/>
            <c:bubble3D val="0"/>
            <c:spPr>
              <a:ln>
                <a:noFill/>
              </a:ln>
            </c:spPr>
          </c:dPt>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'G10.RS'!$B$3:$U$3</c:f>
              <c:strCache>
                <c:ptCount val="20"/>
                <c:pt idx="0">
                  <c:v>No especificado</c:v>
                </c:pt>
                <c:pt idx="1">
                  <c:v> 0 a 1 año</c:v>
                </c:pt>
                <c:pt idx="2">
                  <c:v> 2 a 4 años</c:v>
                </c:pt>
                <c:pt idx="3">
                  <c:v> 5 a 9 años</c:v>
                </c:pt>
                <c:pt idx="4">
                  <c:v> 10 a 14 años</c:v>
                </c:pt>
                <c:pt idx="5">
                  <c:v> 15 a 19 años</c:v>
                </c:pt>
                <c:pt idx="6">
                  <c:v> 20 a 24 años</c:v>
                </c:pt>
                <c:pt idx="7">
                  <c:v> 25 a 29 años</c:v>
                </c:pt>
                <c:pt idx="8">
                  <c:v> 30 a 34 años</c:v>
                </c:pt>
                <c:pt idx="9">
                  <c:v> 35 a 39 años</c:v>
                </c:pt>
                <c:pt idx="10">
                  <c:v> 40 a 44 años</c:v>
                </c:pt>
                <c:pt idx="11">
                  <c:v> 45 a 49 años</c:v>
                </c:pt>
                <c:pt idx="12">
                  <c:v>50 a 54 años</c:v>
                </c:pt>
                <c:pt idx="13">
                  <c:v> 55 a 59 años</c:v>
                </c:pt>
                <c:pt idx="14">
                  <c:v> 60 a 64 años</c:v>
                </c:pt>
                <c:pt idx="15">
                  <c:v>65 a 69 años</c:v>
                </c:pt>
                <c:pt idx="16">
                  <c:v>70 a 74 años</c:v>
                </c:pt>
                <c:pt idx="17">
                  <c:v>75 a 79 años</c:v>
                </c:pt>
                <c:pt idx="18">
                  <c:v> 80 a 84 años</c:v>
                </c:pt>
                <c:pt idx="19">
                  <c:v> 85 o más</c:v>
                </c:pt>
              </c:strCache>
            </c:strRef>
          </c:cat>
          <c:val>
            <c:numRef>
              <c:f>'G10.RS'!$B$13:$U$13</c:f>
              <c:numCache>
                <c:formatCode>#,##0</c:formatCode>
                <c:ptCount val="20"/>
                <c:pt idx="0">
                  <c:v>26</c:v>
                </c:pt>
                <c:pt idx="1">
                  <c:v>9337</c:v>
                </c:pt>
                <c:pt idx="2">
                  <c:v>46262</c:v>
                </c:pt>
                <c:pt idx="3">
                  <c:v>149094</c:v>
                </c:pt>
                <c:pt idx="4">
                  <c:v>241666</c:v>
                </c:pt>
                <c:pt idx="5">
                  <c:v>243085</c:v>
                </c:pt>
                <c:pt idx="6">
                  <c:v>187316</c:v>
                </c:pt>
                <c:pt idx="7">
                  <c:v>167882</c:v>
                </c:pt>
                <c:pt idx="8">
                  <c:v>171707</c:v>
                </c:pt>
                <c:pt idx="9">
                  <c:v>179349</c:v>
                </c:pt>
                <c:pt idx="10">
                  <c:v>185147</c:v>
                </c:pt>
                <c:pt idx="11">
                  <c:v>174838</c:v>
                </c:pt>
                <c:pt idx="12">
                  <c:v>152637</c:v>
                </c:pt>
                <c:pt idx="13">
                  <c:v>131938</c:v>
                </c:pt>
                <c:pt idx="14">
                  <c:v>115332</c:v>
                </c:pt>
                <c:pt idx="15">
                  <c:v>93816</c:v>
                </c:pt>
                <c:pt idx="16">
                  <c:v>79210</c:v>
                </c:pt>
                <c:pt idx="17">
                  <c:v>61833</c:v>
                </c:pt>
                <c:pt idx="18">
                  <c:v>45180</c:v>
                </c:pt>
                <c:pt idx="19">
                  <c:v>43219</c:v>
                </c:pt>
              </c:numCache>
            </c:numRef>
          </c:val>
          <c:smooth val="0"/>
        </c:ser>
        <c:dLbls>
          <c:showLegendKey val="0"/>
          <c:showVal val="0"/>
          <c:showCatName val="0"/>
          <c:showSerName val="0"/>
          <c:showPercent val="0"/>
          <c:showBubbleSize val="0"/>
        </c:dLbls>
        <c:marker val="1"/>
        <c:smooth val="0"/>
        <c:axId val="275081472"/>
        <c:axId val="277956224"/>
      </c:lineChart>
      <c:catAx>
        <c:axId val="275081472"/>
        <c:scaling>
          <c:orientation val="minMax"/>
        </c:scaling>
        <c:delete val="0"/>
        <c:axPos val="b"/>
        <c:numFmt formatCode="General" sourceLinked="0"/>
        <c:majorTickMark val="out"/>
        <c:minorTickMark val="none"/>
        <c:tickLblPos val="nextTo"/>
        <c:txPr>
          <a:bodyPr/>
          <a:lstStyle/>
          <a:p>
            <a:pPr>
              <a:defRPr sz="1100"/>
            </a:pPr>
            <a:endParaRPr lang="es-ES"/>
          </a:p>
        </c:txPr>
        <c:crossAx val="277956224"/>
        <c:crosses val="autoZero"/>
        <c:auto val="1"/>
        <c:lblAlgn val="ctr"/>
        <c:lblOffset val="100"/>
        <c:noMultiLvlLbl val="0"/>
      </c:catAx>
      <c:valAx>
        <c:axId val="277956224"/>
        <c:scaling>
          <c:orientation val="minMax"/>
        </c:scaling>
        <c:delete val="0"/>
        <c:axPos val="l"/>
        <c:numFmt formatCode="#,##0" sourceLinked="1"/>
        <c:majorTickMark val="out"/>
        <c:minorTickMark val="none"/>
        <c:tickLblPos val="nextTo"/>
        <c:crossAx val="2750814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SDSS Definiciones (4)'!$E$2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(4)'!$E$3:$E$11</c:f>
              <c:numCache>
                <c:formatCode>_([$€-2]* #,##0_);_([$€-2]* \(#,##0\);_([$€-2]* "-"??_)</c:formatCode>
                <c:ptCount val="9"/>
              </c:numCache>
            </c:numRef>
          </c:val>
          <c:smooth val="0"/>
        </c:ser>
        <c:ser>
          <c:idx val="1"/>
          <c:order val="1"/>
          <c:tx>
            <c:strRef>
              <c:f>' SDSS Definiciones (4)'!$L$2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SDSS Definiciones (4)'!$A$3:$A$11</c:f>
              <c:numCache>
                <c:formatCode>_([$€-2]* #,##0_);_([$€-2]* \(#,##0\);_([$€-2]* "-"??_)</c:formatCode>
                <c:ptCount val="9"/>
              </c:numCache>
            </c:numRef>
          </c:cat>
          <c:val>
            <c:numRef>
              <c:f>' SDSS Definiciones (4)'!$L$3:$L$11</c:f>
              <c:numCache>
                <c:formatCode>_([$€-2]* #,##0_);_([$€-2]* \(#,##0\);_([$€-2]* "-"??_)</c:formatCode>
                <c:ptCount val="9"/>
              </c:numCache>
            </c:numRef>
          </c:val>
          <c:smooth val="0"/>
        </c:ser>
        <c:dLbls>
          <c:showLegendKey val="0"/>
          <c:showVal val="0"/>
          <c:showCatName val="0"/>
          <c:showSerName val="0"/>
          <c:showPercent val="0"/>
          <c:showBubbleSize val="0"/>
        </c:dLbls>
        <c:marker val="1"/>
        <c:smooth val="0"/>
        <c:axId val="240554736"/>
        <c:axId val="241667728"/>
      </c:lineChart>
      <c:catAx>
        <c:axId val="240554736"/>
        <c:scaling>
          <c:orientation val="minMax"/>
        </c:scaling>
        <c:delete val="0"/>
        <c:axPos val="b"/>
        <c:numFmt formatCode="_([$€-2]* #,##0_);_([$€-2]* \(#,##0\);_([$€-2]* &quot;-&quot;??_)" sourceLinked="1"/>
        <c:majorTickMark val="none"/>
        <c:minorTickMark val="none"/>
        <c:tickLblPos val="nextTo"/>
        <c:crossAx val="241667728"/>
        <c:crosses val="autoZero"/>
        <c:auto val="1"/>
        <c:lblAlgn val="ctr"/>
        <c:lblOffset val="100"/>
        <c:noMultiLvlLbl val="0"/>
      </c:catAx>
      <c:valAx>
        <c:axId val="241667728"/>
        <c:scaling>
          <c:orientation val="minMax"/>
        </c:scaling>
        <c:delete val="0"/>
        <c:axPos val="l"/>
        <c:numFmt formatCode="_([$€-2]* #,##0_);_([$€-2]* \(#,##0\);_([$€-2]* &quot;-&quot;??_)" sourceLinked="1"/>
        <c:majorTickMark val="none"/>
        <c:minorTickMark val="none"/>
        <c:tickLblPos val="nextTo"/>
        <c:spPr>
          <a:ln w="9525">
            <a:noFill/>
          </a:ln>
        </c:spPr>
        <c:crossAx val="240554736"/>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Régimen Especial Transitorio para la Salud de Pensionados Ley 1896-379</a:t>
            </a:r>
          </a:p>
          <a:p>
            <a:pPr>
              <a:defRPr/>
            </a:pPr>
            <a:r>
              <a:rPr lang="es-DO"/>
              <a:t>Afiliación de Pensionados al SFS</a:t>
            </a:r>
          </a:p>
        </c:rich>
      </c:tx>
      <c:layout>
        <c:manualLayout>
          <c:xMode val="edge"/>
          <c:yMode val="edge"/>
          <c:x val="0.23509908226223145"/>
          <c:y val="1.5668202575465938E-2"/>
        </c:manualLayout>
      </c:layout>
      <c:overlay val="1"/>
    </c:title>
    <c:autoTitleDeleted val="0"/>
    <c:plotArea>
      <c:layout>
        <c:manualLayout>
          <c:layoutTarget val="inner"/>
          <c:xMode val="edge"/>
          <c:yMode val="edge"/>
          <c:x val="6.4530924762339029E-2"/>
          <c:y val="0.22975285176993482"/>
          <c:w val="0.85660195734121525"/>
          <c:h val="0.63237607109857363"/>
        </c:manualLayout>
      </c:layout>
      <c:barChart>
        <c:barDir val="col"/>
        <c:grouping val="clustered"/>
        <c:varyColors val="0"/>
        <c:ser>
          <c:idx val="0"/>
          <c:order val="0"/>
          <c:tx>
            <c:strRef>
              <c:f>'IV.3.1 Afil. SFSP Anual.'!$B$3</c:f>
              <c:strCache>
                <c:ptCount val="1"/>
                <c:pt idx="0">
                  <c:v>Afiliación    Total</c:v>
                </c:pt>
              </c:strCache>
            </c:strRef>
          </c:tx>
          <c:invertIfNegative val="0"/>
          <c:dLbls>
            <c:dLbl>
              <c:idx val="0"/>
              <c:layout>
                <c:manualLayout>
                  <c:x val="-6.4481153160637229E-3"/>
                  <c:y val="7.640344304182712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7.7446138269918318E-3"/>
                  <c:y val="4.6137100441074731E-5"/>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45464759984002E-2"/>
                  <c:y val="2.662393993435176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8.9541006154861425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0613943750555507E-2"/>
                  <c:y val="5.151515397352202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solidFill>
                      <a:srgbClr val="00206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'IV.3.1 Afil. SFSP Anual.'!$A$4:$A$9</c:f>
              <c:strCache>
                <c:ptCount val="6"/>
                <c:pt idx="0">
                  <c:v>Dic. 2009</c:v>
                </c:pt>
                <c:pt idx="1">
                  <c:v>Dic. 2010</c:v>
                </c:pt>
                <c:pt idx="2">
                  <c:v>Dic. 2011</c:v>
                </c:pt>
                <c:pt idx="3">
                  <c:v>Dic. 2012</c:v>
                </c:pt>
                <c:pt idx="4">
                  <c:v>Dic. 2013</c:v>
                </c:pt>
                <c:pt idx="5">
                  <c:v>Dic. 2014</c:v>
                </c:pt>
              </c:strCache>
            </c:strRef>
          </c:cat>
          <c:val>
            <c:numRef>
              <c:f>'IV.3.1 Afil. SFSP Anual.'!$B$4:$B$9</c:f>
              <c:numCache>
                <c:formatCode>_(* #,##0_);_(* \(#,##0\);_(* "-"??_);_(@_)</c:formatCode>
                <c:ptCount val="6"/>
                <c:pt idx="0">
                  <c:v>21982</c:v>
                </c:pt>
                <c:pt idx="1">
                  <c:v>27354</c:v>
                </c:pt>
                <c:pt idx="2">
                  <c:v>29726</c:v>
                </c:pt>
                <c:pt idx="3">
                  <c:v>30703</c:v>
                </c:pt>
                <c:pt idx="4">
                  <c:v>27273</c:v>
                </c:pt>
                <c:pt idx="5">
                  <c:v>30370</c:v>
                </c:pt>
              </c:numCache>
            </c:numRef>
          </c:val>
        </c:ser>
        <c:ser>
          <c:idx val="1"/>
          <c:order val="1"/>
          <c:tx>
            <c:strRef>
              <c:f>'IV.3.1 Afil. SFSP Anual.'!$J$3</c:f>
              <c:strCache>
                <c:ptCount val="1"/>
                <c:pt idx="0">
                  <c:v>No. de Cápitas Pagadas Total</c:v>
                </c:pt>
              </c:strCache>
            </c:strRef>
          </c:tx>
          <c:spPr>
            <a:solidFill>
              <a:schemeClr val="accent3">
                <a:lumMod val="75000"/>
              </a:schemeClr>
            </a:solidFill>
          </c:spPr>
          <c:invertIfNegative val="0"/>
          <c:dLbls>
            <c:dLbl>
              <c:idx val="0"/>
              <c:layout>
                <c:manualLayout>
                  <c:x val="0"/>
                  <c:y val="4.6691092771467481E-1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7.7187548422217051E-3"/>
                  <c:y val="2.592581275662450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5960392553491458E-5"/>
                  <c:y val="-1.025660119717681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5.0081471072174538E-3"/>
                  <c:y val="4.096874449862775E-5"/>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6.982173496100281E-3"/>
                  <c:y val="5.209723465030945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1768777803158215E-2"/>
                  <c:y val="5.5555567706817343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'IV.3.1 Afil. SFSP Anual.'!$A$4:$A$9</c:f>
              <c:strCache>
                <c:ptCount val="6"/>
                <c:pt idx="0">
                  <c:v>Dic. 2009</c:v>
                </c:pt>
                <c:pt idx="1">
                  <c:v>Dic. 2010</c:v>
                </c:pt>
                <c:pt idx="2">
                  <c:v>Dic. 2011</c:v>
                </c:pt>
                <c:pt idx="3">
                  <c:v>Dic. 2012</c:v>
                </c:pt>
                <c:pt idx="4">
                  <c:v>Dic. 2013</c:v>
                </c:pt>
                <c:pt idx="5">
                  <c:v>Dic. 2014</c:v>
                </c:pt>
              </c:strCache>
            </c:strRef>
          </c:cat>
          <c:val>
            <c:numRef>
              <c:f>'IV.3.1 Afil. SFSP Anual.'!$J$4:$J$9</c:f>
              <c:numCache>
                <c:formatCode>_(* #,##0_);_(* \(#,##0\);_(* "-"_);_(@_)</c:formatCode>
                <c:ptCount val="6"/>
                <c:pt idx="0">
                  <c:v>23843</c:v>
                </c:pt>
                <c:pt idx="1">
                  <c:v>27577</c:v>
                </c:pt>
                <c:pt idx="2">
                  <c:v>29648</c:v>
                </c:pt>
                <c:pt idx="3">
                  <c:v>30884</c:v>
                </c:pt>
                <c:pt idx="4">
                  <c:v>29217</c:v>
                </c:pt>
                <c:pt idx="5">
                  <c:v>30470</c:v>
                </c:pt>
              </c:numCache>
            </c:numRef>
          </c:val>
        </c:ser>
        <c:dLbls>
          <c:showLegendKey val="0"/>
          <c:showVal val="0"/>
          <c:showCatName val="0"/>
          <c:showSerName val="0"/>
          <c:showPercent val="0"/>
          <c:showBubbleSize val="0"/>
        </c:dLbls>
        <c:gapWidth val="150"/>
        <c:axId val="277957008"/>
        <c:axId val="277957400"/>
      </c:barChart>
      <c:lineChart>
        <c:grouping val="standard"/>
        <c:varyColors val="0"/>
        <c:ser>
          <c:idx val="2"/>
          <c:order val="2"/>
          <c:tx>
            <c:strRef>
              <c:f>'IV.3.1 Afil. SFSP Anual.'!$L$3</c:f>
              <c:strCache>
                <c:ptCount val="1"/>
                <c:pt idx="0">
                  <c:v>No. de Cápitas Pagadas / Afiliación</c:v>
                </c:pt>
              </c:strCache>
            </c:strRef>
          </c:tx>
          <c:spPr>
            <a:ln w="31750">
              <a:gradFill>
                <a:gsLst>
                  <a:gs pos="0">
                    <a:srgbClr val="FFF200"/>
                  </a:gs>
                  <a:gs pos="45000">
                    <a:srgbClr val="FF7A00"/>
                  </a:gs>
                  <a:gs pos="70000">
                    <a:srgbClr val="FF0300"/>
                  </a:gs>
                  <a:gs pos="100000">
                    <a:srgbClr val="4D0808"/>
                  </a:gs>
                </a:gsLst>
                <a:lin ang="5400000" scaled="0"/>
              </a:gradFill>
              <a:prstDash val="sysDot"/>
            </a:ln>
          </c:spPr>
          <c:marker>
            <c:symbol val="circle"/>
            <c:size val="6"/>
            <c:spPr>
              <a:ln>
                <a:prstDash val="solid"/>
              </a:ln>
            </c:spPr>
          </c:marker>
          <c:dLbls>
            <c:dLbl>
              <c:idx val="0"/>
              <c:layout>
                <c:manualLayout>
                  <c:x val="-2.3859647657924043E-2"/>
                  <c:y val="-3.134751597992316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1.0594628787299817E-2"/>
                  <c:y val="-3.66633756460689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9004349988277261E-2"/>
                  <c:y val="3.534668489756653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7198808742486794E-2"/>
                  <c:y val="3.686293618530759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318182740070758E-2"/>
                  <c:y val="4.368859642643874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'IV.3.1 Afil. SFSP Anual.'!$A$4:$A$9</c:f>
              <c:strCache>
                <c:ptCount val="6"/>
                <c:pt idx="0">
                  <c:v>Dic. 2009</c:v>
                </c:pt>
                <c:pt idx="1">
                  <c:v>Dic. 2010</c:v>
                </c:pt>
                <c:pt idx="2">
                  <c:v>Dic. 2011</c:v>
                </c:pt>
                <c:pt idx="3">
                  <c:v>Dic. 2012</c:v>
                </c:pt>
                <c:pt idx="4">
                  <c:v>Dic. 2013</c:v>
                </c:pt>
                <c:pt idx="5">
                  <c:v>Dic. 2014</c:v>
                </c:pt>
              </c:strCache>
            </c:strRef>
          </c:cat>
          <c:val>
            <c:numRef>
              <c:f>'IV.3.1 Afil. SFSP Anual.'!$L$4:$L$9</c:f>
              <c:numCache>
                <c:formatCode>0.0%</c:formatCode>
                <c:ptCount val="6"/>
                <c:pt idx="0">
                  <c:v>1.0846601765080521</c:v>
                </c:pt>
                <c:pt idx="1">
                  <c:v>1.0081523725963295</c:v>
                </c:pt>
                <c:pt idx="2">
                  <c:v>0.99737603444795797</c:v>
                </c:pt>
                <c:pt idx="3">
                  <c:v>1.0058951893951731</c:v>
                </c:pt>
                <c:pt idx="4">
                  <c:v>1.071279287207128</c:v>
                </c:pt>
                <c:pt idx="5">
                  <c:v>1.0032927230819888</c:v>
                </c:pt>
              </c:numCache>
            </c:numRef>
          </c:val>
          <c:smooth val="0"/>
        </c:ser>
        <c:dLbls>
          <c:showLegendKey val="0"/>
          <c:showVal val="0"/>
          <c:showCatName val="0"/>
          <c:showSerName val="0"/>
          <c:showPercent val="0"/>
          <c:showBubbleSize val="0"/>
        </c:dLbls>
        <c:marker val="1"/>
        <c:smooth val="0"/>
        <c:axId val="277957792"/>
        <c:axId val="277958184"/>
      </c:lineChart>
      <c:catAx>
        <c:axId val="277957008"/>
        <c:scaling>
          <c:orientation val="minMax"/>
        </c:scaling>
        <c:delete val="0"/>
        <c:axPos val="b"/>
        <c:numFmt formatCode="General" sourceLinked="1"/>
        <c:majorTickMark val="none"/>
        <c:minorTickMark val="none"/>
        <c:tickLblPos val="nextTo"/>
        <c:txPr>
          <a:bodyPr/>
          <a:lstStyle/>
          <a:p>
            <a:pPr>
              <a:defRPr sz="1200"/>
            </a:pPr>
            <a:endParaRPr lang="es-ES"/>
          </a:p>
        </c:txPr>
        <c:crossAx val="277957400"/>
        <c:crosses val="autoZero"/>
        <c:auto val="1"/>
        <c:lblAlgn val="ctr"/>
        <c:lblOffset val="100"/>
        <c:noMultiLvlLbl val="0"/>
      </c:catAx>
      <c:valAx>
        <c:axId val="277957400"/>
        <c:scaling>
          <c:orientation val="minMax"/>
        </c:scaling>
        <c:delete val="0"/>
        <c:axPos val="l"/>
        <c:numFmt formatCode="_(* #,##0_);_(* \(#,##0\);_(* &quot;-&quot;??_);_(@_)" sourceLinked="1"/>
        <c:majorTickMark val="none"/>
        <c:minorTickMark val="none"/>
        <c:tickLblPos val="nextTo"/>
        <c:crossAx val="277957008"/>
        <c:crosses val="autoZero"/>
        <c:crossBetween val="between"/>
      </c:valAx>
      <c:catAx>
        <c:axId val="277957792"/>
        <c:scaling>
          <c:orientation val="minMax"/>
        </c:scaling>
        <c:delete val="1"/>
        <c:axPos val="b"/>
        <c:numFmt formatCode="General" sourceLinked="1"/>
        <c:majorTickMark val="out"/>
        <c:minorTickMark val="none"/>
        <c:tickLblPos val="nextTo"/>
        <c:crossAx val="277958184"/>
        <c:crosses val="autoZero"/>
        <c:auto val="1"/>
        <c:lblAlgn val="ctr"/>
        <c:lblOffset val="100"/>
        <c:noMultiLvlLbl val="0"/>
      </c:catAx>
      <c:valAx>
        <c:axId val="277958184"/>
        <c:scaling>
          <c:orientation val="minMax"/>
        </c:scaling>
        <c:delete val="0"/>
        <c:axPos val="r"/>
        <c:numFmt formatCode="0.0%" sourceLinked="1"/>
        <c:majorTickMark val="out"/>
        <c:minorTickMark val="none"/>
        <c:tickLblPos val="nextTo"/>
        <c:crossAx val="277957792"/>
        <c:crosses val="max"/>
        <c:crossBetween val="between"/>
      </c:valAx>
    </c:plotArea>
    <c:legend>
      <c:legendPos val="t"/>
      <c:layout>
        <c:manualLayout>
          <c:xMode val="edge"/>
          <c:yMode val="edge"/>
          <c:x val="0.13371150891564565"/>
          <c:y val="0.1111266900381558"/>
          <c:w val="0.74979506769574589"/>
          <c:h val="5.356753482737733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Régimen Especial Transitorio para la Salud de Pensionados Ley 1896 - 379</a:t>
            </a:r>
          </a:p>
          <a:p>
            <a:pPr>
              <a:defRPr sz="1600"/>
            </a:pPr>
            <a:r>
              <a:rPr lang="es-DO" sz="1600"/>
              <a:t>Afiliación de Pensionados al SFS</a:t>
            </a:r>
          </a:p>
        </c:rich>
      </c:tx>
      <c:layout>
        <c:manualLayout>
          <c:xMode val="edge"/>
          <c:yMode val="edge"/>
          <c:x val="0.24567944108242376"/>
          <c:y val="1.5077611112792997E-2"/>
        </c:manualLayout>
      </c:layout>
      <c:overlay val="0"/>
    </c:title>
    <c:autoTitleDeleted val="0"/>
    <c:plotArea>
      <c:layout>
        <c:manualLayout>
          <c:layoutTarget val="inner"/>
          <c:xMode val="edge"/>
          <c:yMode val="edge"/>
          <c:x val="7.0534001054903039E-2"/>
          <c:y val="0.23641725994212776"/>
          <c:w val="0.87484131031974155"/>
          <c:h val="0.67229754650382945"/>
        </c:manualLayout>
      </c:layout>
      <c:lineChart>
        <c:grouping val="standard"/>
        <c:varyColors val="0"/>
        <c:ser>
          <c:idx val="0"/>
          <c:order val="0"/>
          <c:tx>
            <c:strRef>
              <c:f>'IV.3.2 Afil. SFSP Mensual'!$B$3</c:f>
              <c:strCache>
                <c:ptCount val="1"/>
                <c:pt idx="0">
                  <c:v>Afiliación    Total</c:v>
                </c:pt>
              </c:strCache>
            </c:strRef>
          </c:tx>
          <c:spPr>
            <a:ln w="38100">
              <a:gradFill>
                <a:gsLst>
                  <a:gs pos="0">
                    <a:srgbClr val="825600"/>
                  </a:gs>
                  <a:gs pos="13000">
                    <a:srgbClr val="FFA800"/>
                  </a:gs>
                  <a:gs pos="28000">
                    <a:srgbClr val="825600"/>
                  </a:gs>
                  <a:gs pos="42999">
                    <a:srgbClr val="FFA800"/>
                  </a:gs>
                  <a:gs pos="58000">
                    <a:srgbClr val="825600"/>
                  </a:gs>
                  <a:gs pos="72000">
                    <a:srgbClr val="FFA800"/>
                  </a:gs>
                  <a:gs pos="87000">
                    <a:srgbClr val="825600"/>
                  </a:gs>
                  <a:gs pos="100000">
                    <a:srgbClr val="FFA800"/>
                  </a:gs>
                </a:gsLst>
                <a:lin ang="5400000" scaled="0"/>
              </a:gradFill>
            </a:ln>
          </c:spPr>
          <c:marker>
            <c:symbol val="circle"/>
            <c:size val="6"/>
            <c:spPr>
              <a:solidFill>
                <a:srgbClr val="0070C0"/>
              </a:solidFill>
              <a:ln w="38100">
                <a:gradFill>
                  <a:gsLst>
                    <a:gs pos="0">
                      <a:srgbClr val="000000"/>
                    </a:gs>
                    <a:gs pos="39999">
                      <a:srgbClr val="0A128C"/>
                    </a:gs>
                    <a:gs pos="70000">
                      <a:srgbClr val="181CC7"/>
                    </a:gs>
                    <a:gs pos="88000">
                      <a:srgbClr val="7005D4"/>
                    </a:gs>
                    <a:gs pos="100000">
                      <a:srgbClr val="8C3D91"/>
                    </a:gs>
                  </a:gsLst>
                  <a:lin ang="5400000" scaled="0"/>
                </a:gradFill>
                <a:prstDash val="sysDot"/>
              </a:ln>
            </c:spPr>
          </c:marker>
          <c:dLbls>
            <c:dLbl>
              <c:idx val="0"/>
              <c:layout>
                <c:manualLayout>
                  <c:x val="-5.1025542458078249E-2"/>
                  <c:y val="4.44588088860194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sz="1400"/>
                      <a:t>29,761</a:t>
                    </a:r>
                    <a:endParaRPr lang="en-US"/>
                  </a:p>
                </c:rich>
              </c:tx>
              <c:dLblPos val="b"/>
              <c:showLegendKey val="0"/>
              <c:showVal val="1"/>
              <c:showCatName val="0"/>
              <c:showSerName val="0"/>
              <c:showPercent val="0"/>
              <c:showBubbleSize val="0"/>
              <c:extLst>
                <c:ext xmlns:c15="http://schemas.microsoft.com/office/drawing/2012/chart" uri="{CE6537A1-D6FC-4f65-9D91-7224C49458BB}"/>
              </c:extLst>
            </c:dLbl>
            <c:dLbl>
              <c:idx val="3"/>
              <c:layout>
                <c:manualLayout>
                  <c:x val="-2.669852578202132E-2"/>
                  <c:y val="5.009191186030145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867193289940614E-2"/>
                  <c:y val="3.54266601611166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4.0100469454129747E-2"/>
                  <c:y val="3.3260968872390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2.5979053401841801E-2"/>
                  <c:y val="3.90723671622423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2.0173956835304048E-2"/>
                  <c:y val="3.529425964704543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 Afil. SFSP Mensual'!$A$6:$A$41</c:f>
              <c:strCache>
                <c:ptCount val="13"/>
                <c:pt idx="0">
                  <c:v>Dic.13</c:v>
                </c:pt>
                <c:pt idx="1">
                  <c:v>Ene.14</c:v>
                </c:pt>
                <c:pt idx="2">
                  <c:v>Feb. 14</c:v>
                </c:pt>
                <c:pt idx="3">
                  <c:v>Mar.14</c:v>
                </c:pt>
                <c:pt idx="4">
                  <c:v>Abr.14 </c:v>
                </c:pt>
                <c:pt idx="5">
                  <c:v>May.14</c:v>
                </c:pt>
                <c:pt idx="6">
                  <c:v>Jun.14</c:v>
                </c:pt>
                <c:pt idx="7">
                  <c:v>Jul.14</c:v>
                </c:pt>
                <c:pt idx="8">
                  <c:v>Ago.14</c:v>
                </c:pt>
                <c:pt idx="9">
                  <c:v>Sep.14</c:v>
                </c:pt>
                <c:pt idx="10">
                  <c:v>Oct.14</c:v>
                </c:pt>
                <c:pt idx="11">
                  <c:v>Nov.14</c:v>
                </c:pt>
                <c:pt idx="12">
                  <c:v>Dic.14</c:v>
                </c:pt>
              </c:strCache>
            </c:strRef>
          </c:cat>
          <c:val>
            <c:numRef>
              <c:f>'IV.3.2 Afil. SFSP Mensual'!$B$4:$B$41</c:f>
              <c:numCache>
                <c:formatCode>_(* #,##0_);_(* \(#,##0\);_(* "-"??_);_(@_)</c:formatCode>
                <c:ptCount val="13"/>
                <c:pt idx="0">
                  <c:v>27273</c:v>
                </c:pt>
                <c:pt idx="1">
                  <c:v>28811</c:v>
                </c:pt>
                <c:pt idx="2">
                  <c:v>29094</c:v>
                </c:pt>
                <c:pt idx="3">
                  <c:v>29266</c:v>
                </c:pt>
                <c:pt idx="4">
                  <c:v>29454</c:v>
                </c:pt>
                <c:pt idx="5">
                  <c:v>29662</c:v>
                </c:pt>
                <c:pt idx="6">
                  <c:v>29825</c:v>
                </c:pt>
                <c:pt idx="7">
                  <c:v>29976</c:v>
                </c:pt>
                <c:pt idx="8">
                  <c:v>30032</c:v>
                </c:pt>
                <c:pt idx="9">
                  <c:v>30250</c:v>
                </c:pt>
                <c:pt idx="10">
                  <c:v>30130</c:v>
                </c:pt>
                <c:pt idx="11">
                  <c:v>30169</c:v>
                </c:pt>
                <c:pt idx="12">
                  <c:v>30370</c:v>
                </c:pt>
              </c:numCache>
            </c:numRef>
          </c:val>
          <c:smooth val="0"/>
        </c:ser>
        <c:ser>
          <c:idx val="1"/>
          <c:order val="1"/>
          <c:tx>
            <c:strRef>
              <c:f>'IV.3.2 Afil. SFSP Mensual'!$J$3</c:f>
              <c:strCache>
                <c:ptCount val="1"/>
                <c:pt idx="0">
                  <c:v>No. de Cápitas Pagadas Total</c:v>
                </c:pt>
              </c:strCache>
            </c:strRef>
          </c:tx>
          <c:spPr>
            <a:ln w="38100">
              <a:gradFill>
                <a:gsLst>
                  <a:gs pos="0">
                    <a:srgbClr val="FFF200"/>
                  </a:gs>
                  <a:gs pos="45000">
                    <a:srgbClr val="FF7A00"/>
                  </a:gs>
                  <a:gs pos="70000">
                    <a:srgbClr val="FF0300"/>
                  </a:gs>
                  <a:gs pos="100000">
                    <a:srgbClr val="4D0808"/>
                  </a:gs>
                </a:gsLst>
                <a:lin ang="5400000" scaled="0"/>
              </a:gradFill>
            </a:ln>
          </c:spPr>
          <c:marker>
            <c:symbol val="circle"/>
            <c:size val="6"/>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w="38100">
                <a:gradFill>
                  <a:gsLst>
                    <a:gs pos="0">
                      <a:srgbClr val="000000"/>
                    </a:gs>
                    <a:gs pos="20000">
                      <a:srgbClr val="000040"/>
                    </a:gs>
                    <a:gs pos="50000">
                      <a:srgbClr val="400040"/>
                    </a:gs>
                    <a:gs pos="75000">
                      <a:srgbClr val="8F0040"/>
                    </a:gs>
                    <a:gs pos="89999">
                      <a:srgbClr val="F27300"/>
                    </a:gs>
                    <a:gs pos="100000">
                      <a:srgbClr val="FFBF00"/>
                    </a:gs>
                  </a:gsLst>
                  <a:lin ang="5400000" scaled="0"/>
                </a:gradFill>
              </a:ln>
            </c:spPr>
          </c:marker>
          <c:dLbls>
            <c:dLbl>
              <c:idx val="3"/>
              <c:layout>
                <c:manualLayout>
                  <c:x val="-3.17774363912686E-2"/>
                  <c:y val="-4.824860102295888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997729025133702E-2"/>
                  <c:y val="-5.285033049775385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2051545898805073E-2"/>
                  <c:y val="-4.22116038669617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3506862090091565E-2"/>
                  <c:y val="-3.20006227402968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2.4655631936521608E-2"/>
                  <c:y val="-4.030505002976559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 Afil. SFSP Mensual'!$A$6:$A$41</c:f>
              <c:strCache>
                <c:ptCount val="13"/>
                <c:pt idx="0">
                  <c:v>Dic.13</c:v>
                </c:pt>
                <c:pt idx="1">
                  <c:v>Ene.14</c:v>
                </c:pt>
                <c:pt idx="2">
                  <c:v>Feb. 14</c:v>
                </c:pt>
                <c:pt idx="3">
                  <c:v>Mar.14</c:v>
                </c:pt>
                <c:pt idx="4">
                  <c:v>Abr.14 </c:v>
                </c:pt>
                <c:pt idx="5">
                  <c:v>May.14</c:v>
                </c:pt>
                <c:pt idx="6">
                  <c:v>Jun.14</c:v>
                </c:pt>
                <c:pt idx="7">
                  <c:v>Jul.14</c:v>
                </c:pt>
                <c:pt idx="8">
                  <c:v>Ago.14</c:v>
                </c:pt>
                <c:pt idx="9">
                  <c:v>Sep.14</c:v>
                </c:pt>
                <c:pt idx="10">
                  <c:v>Oct.14</c:v>
                </c:pt>
                <c:pt idx="11">
                  <c:v>Nov.14</c:v>
                </c:pt>
                <c:pt idx="12">
                  <c:v>Dic.14</c:v>
                </c:pt>
              </c:strCache>
            </c:strRef>
          </c:cat>
          <c:val>
            <c:numRef>
              <c:f>'IV.3.2 Afil. SFSP Mensual'!$J$4:$J$41</c:f>
              <c:numCache>
                <c:formatCode>_(* #,##0_);_(* \(#,##0\);_(* "-"_);_(@_)</c:formatCode>
                <c:ptCount val="13"/>
                <c:pt idx="0">
                  <c:v>29217</c:v>
                </c:pt>
                <c:pt idx="1">
                  <c:v>29300</c:v>
                </c:pt>
                <c:pt idx="2">
                  <c:v>29117</c:v>
                </c:pt>
                <c:pt idx="3">
                  <c:v>29331</c:v>
                </c:pt>
                <c:pt idx="4">
                  <c:v>29492</c:v>
                </c:pt>
                <c:pt idx="5">
                  <c:v>29716</c:v>
                </c:pt>
                <c:pt idx="6">
                  <c:v>29898</c:v>
                </c:pt>
                <c:pt idx="7">
                  <c:v>30030</c:v>
                </c:pt>
                <c:pt idx="8">
                  <c:v>30087</c:v>
                </c:pt>
                <c:pt idx="9">
                  <c:v>30316</c:v>
                </c:pt>
                <c:pt idx="10">
                  <c:v>30389</c:v>
                </c:pt>
                <c:pt idx="11">
                  <c:v>30237</c:v>
                </c:pt>
                <c:pt idx="12">
                  <c:v>30470</c:v>
                </c:pt>
              </c:numCache>
            </c:numRef>
          </c:val>
          <c:smooth val="0"/>
        </c:ser>
        <c:dLbls>
          <c:showLegendKey val="0"/>
          <c:showVal val="0"/>
          <c:showCatName val="0"/>
          <c:showSerName val="0"/>
          <c:showPercent val="0"/>
          <c:showBubbleSize val="0"/>
        </c:dLbls>
        <c:marker val="1"/>
        <c:smooth val="0"/>
        <c:axId val="277958968"/>
        <c:axId val="277959360"/>
      </c:lineChart>
      <c:catAx>
        <c:axId val="277958968"/>
        <c:scaling>
          <c:orientation val="minMax"/>
        </c:scaling>
        <c:delete val="0"/>
        <c:axPos val="b"/>
        <c:numFmt formatCode="mmm\-yy" sourceLinked="0"/>
        <c:majorTickMark val="none"/>
        <c:minorTickMark val="none"/>
        <c:tickLblPos val="nextTo"/>
        <c:txPr>
          <a:bodyPr/>
          <a:lstStyle/>
          <a:p>
            <a:pPr>
              <a:defRPr sz="1200"/>
            </a:pPr>
            <a:endParaRPr lang="es-ES"/>
          </a:p>
        </c:txPr>
        <c:crossAx val="277959360"/>
        <c:crosses val="autoZero"/>
        <c:auto val="1"/>
        <c:lblAlgn val="ctr"/>
        <c:lblOffset val="100"/>
        <c:noMultiLvlLbl val="1"/>
      </c:catAx>
      <c:valAx>
        <c:axId val="277959360"/>
        <c:scaling>
          <c:orientation val="minMax"/>
        </c:scaling>
        <c:delete val="1"/>
        <c:axPos val="l"/>
        <c:numFmt formatCode="_(* #,##0_);_(* \(#,##0\);_(* &quot;-&quot;??_);_(@_)" sourceLinked="1"/>
        <c:majorTickMark val="out"/>
        <c:minorTickMark val="none"/>
        <c:tickLblPos val="nextTo"/>
        <c:crossAx val="277958968"/>
        <c:crosses val="autoZero"/>
        <c:crossBetween val="between"/>
      </c:valAx>
    </c:plotArea>
    <c:legend>
      <c:legendPos val="t"/>
      <c:layout>
        <c:manualLayout>
          <c:xMode val="edge"/>
          <c:yMode val="edge"/>
          <c:x val="0.20537418512948777"/>
          <c:y val="0.13041993557845008"/>
          <c:w val="0.61841325941506575"/>
          <c:h val="6.95387005559150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ES" sz="1200"/>
              <a:t>Millones RD$</a:t>
            </a:r>
          </a:p>
        </c:rich>
      </c:tx>
      <c:layout>
        <c:manualLayout>
          <c:xMode val="edge"/>
          <c:yMode val="edge"/>
          <c:x val="1.1153521799256768E-2"/>
          <c:y val="0.54483179378589819"/>
        </c:manualLayout>
      </c:layout>
      <c:overlay val="1"/>
    </c:title>
    <c:autoTitleDeleted val="0"/>
    <c:view3D>
      <c:rotX val="10"/>
      <c:rotY val="10"/>
      <c:depthPercent val="100"/>
      <c:rAngAx val="0"/>
    </c:view3D>
    <c:floor>
      <c:thickness val="0"/>
    </c:floor>
    <c:sideWall>
      <c:thickness val="0"/>
    </c:sideWall>
    <c:backWall>
      <c:thickness val="0"/>
    </c:backWall>
    <c:plotArea>
      <c:layout>
        <c:manualLayout>
          <c:layoutTarget val="inner"/>
          <c:xMode val="edge"/>
          <c:yMode val="edge"/>
          <c:x val="8.1821794765178056E-3"/>
          <c:y val="0.35765962372973831"/>
          <c:w val="0.96884185616209795"/>
          <c:h val="0.51175873222550539"/>
        </c:manualLayout>
      </c:layout>
      <c:bar3DChart>
        <c:barDir val="col"/>
        <c:grouping val="clustered"/>
        <c:varyColors val="0"/>
        <c:ser>
          <c:idx val="0"/>
          <c:order val="0"/>
          <c:tx>
            <c:strRef>
              <c:f>'IV.3.3 Disp.SFS Pens.x ARS'!$A$4</c:f>
              <c:strCache>
                <c:ptCount val="1"/>
                <c:pt idx="0">
                  <c:v>ARS SS</c:v>
                </c:pt>
              </c:strCache>
            </c:strRef>
          </c:tx>
          <c:spPr>
            <a:solidFill>
              <a:schemeClr val="accent5">
                <a:lumMod val="50000"/>
              </a:schemeClr>
            </a:solidFill>
          </c:spPr>
          <c:invertIfNegative val="0"/>
          <c:dLbls>
            <c:dLbl>
              <c:idx val="3"/>
              <c:layout>
                <c:manualLayout>
                  <c:x val="1.1743171114830216E-3"/>
                  <c:y val="-3.177570654659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 Disp.SFS Pens.x ARS'!$B$3:$G$3</c:f>
              <c:strCache>
                <c:ptCount val="6"/>
                <c:pt idx="0">
                  <c:v>Jun - Dic 2009</c:v>
                </c:pt>
                <c:pt idx="1">
                  <c:v>Ene - Dic 2010</c:v>
                </c:pt>
                <c:pt idx="2">
                  <c:v>Ene-Dic 2011</c:v>
                </c:pt>
                <c:pt idx="3">
                  <c:v>Ene-Dic. 2012</c:v>
                </c:pt>
                <c:pt idx="4">
                  <c:v>Ene-Dic. 2013</c:v>
                </c:pt>
                <c:pt idx="5">
                  <c:v>Ene-Dic. 2014</c:v>
                </c:pt>
              </c:strCache>
            </c:strRef>
          </c:cat>
          <c:val>
            <c:numRef>
              <c:f>'IV.3.3 Disp.SFS Pens.x ARS'!$B$4:$G$4</c:f>
              <c:numCache>
                <c:formatCode>_(* #,##0.00_);_(* \(#,##0.00\);_(* "-"??_);_(@_)</c:formatCode>
                <c:ptCount val="6"/>
                <c:pt idx="0">
                  <c:v>36201460.799999997</c:v>
                </c:pt>
                <c:pt idx="1">
                  <c:v>108777211.09484001</c:v>
                </c:pt>
                <c:pt idx="2" formatCode="_(* #,##0.00_);_(* \(#,##0.00\);_(* &quot;-&quot;_);_(@_)">
                  <c:v>135892922.44</c:v>
                </c:pt>
                <c:pt idx="3" formatCode="[$-1010409]#,##0.00;\-#,##0.00">
                  <c:v>141577463.36000001</c:v>
                </c:pt>
                <c:pt idx="4" formatCode="[$-1010409]#,##0.00;\-#,##0.00">
                  <c:v>134962213.24000001</c:v>
                </c:pt>
                <c:pt idx="5" formatCode="[$-1010409]#,##0.00;\-#,##0.00">
                  <c:v>127678151.16</c:v>
                </c:pt>
              </c:numCache>
            </c:numRef>
          </c:val>
        </c:ser>
        <c:ser>
          <c:idx val="2"/>
          <c:order val="1"/>
          <c:tx>
            <c:strRef>
              <c:f>'IV.3.3 Disp.SFS Pens.x ARS'!$A$6</c:f>
              <c:strCache>
                <c:ptCount val="1"/>
                <c:pt idx="0">
                  <c:v>SENASA</c:v>
                </c:pt>
              </c:strCache>
            </c:strRef>
          </c:tx>
          <c:spPr>
            <a:solidFill>
              <a:schemeClr val="accent3">
                <a:lumMod val="50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 Disp.SFS Pens.x ARS'!$B$3:$G$3</c:f>
              <c:strCache>
                <c:ptCount val="6"/>
                <c:pt idx="0">
                  <c:v>Jun - Dic 2009</c:v>
                </c:pt>
                <c:pt idx="1">
                  <c:v>Ene - Dic 2010</c:v>
                </c:pt>
                <c:pt idx="2">
                  <c:v>Ene-Dic 2011</c:v>
                </c:pt>
                <c:pt idx="3">
                  <c:v>Ene-Dic. 2012</c:v>
                </c:pt>
                <c:pt idx="4">
                  <c:v>Ene-Dic. 2013</c:v>
                </c:pt>
                <c:pt idx="5">
                  <c:v>Ene-Dic. 2014</c:v>
                </c:pt>
              </c:strCache>
            </c:strRef>
          </c:cat>
          <c:val>
            <c:numRef>
              <c:f>'IV.3.3 Disp.SFS Pens.x ARS'!$B$6:$G$6</c:f>
              <c:numCache>
                <c:formatCode>_(* #,##0.00_);_(* \(#,##0.00\);_(* "-"??_);_(@_)</c:formatCode>
                <c:ptCount val="6"/>
                <c:pt idx="0">
                  <c:v>16650888.640000001</c:v>
                </c:pt>
                <c:pt idx="1">
                  <c:v>66447232.837360002</c:v>
                </c:pt>
                <c:pt idx="2" formatCode="_(* #,##0.00_);_(* \(#,##0.00\);_(* &quot;-&quot;_);_(@_)">
                  <c:v>132172162.95999999</c:v>
                </c:pt>
                <c:pt idx="3" formatCode="[$-1010409]#,##0.00;\-#,##0.00">
                  <c:v>160917032.88</c:v>
                </c:pt>
                <c:pt idx="4" formatCode="[$-1010409]#,##0.00;\-#,##0.00">
                  <c:v>161792201.75999999</c:v>
                </c:pt>
                <c:pt idx="5" formatCode="[$-1010409]#,##0.00;\-#,##0.00">
                  <c:v>161767855.91999999</c:v>
                </c:pt>
              </c:numCache>
            </c:numRef>
          </c:val>
        </c:ser>
        <c:ser>
          <c:idx val="1"/>
          <c:order val="2"/>
          <c:tx>
            <c:strRef>
              <c:f>'IV.3.3 Disp.SFS Pens.x ARS'!$A$5</c:f>
              <c:strCache>
                <c:ptCount val="1"/>
                <c:pt idx="0">
                  <c:v>SEMMA</c:v>
                </c:pt>
              </c:strCache>
            </c:strRef>
          </c:tx>
          <c:spPr>
            <a:solidFill>
              <a:schemeClr val="accent4">
                <a:lumMod val="75000"/>
              </a:schemeClr>
            </a:solidFill>
          </c:spPr>
          <c:invertIfNegative val="0"/>
          <c:dLbls>
            <c:dLbl>
              <c:idx val="3"/>
              <c:layout>
                <c:manualLayout>
                  <c:x val="-8.2202197803823568E-3"/>
                  <c:y val="-2.330218480083720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497535733122584E-3"/>
                  <c:y val="-2.2874613550842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45565746431346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solidFill>
                      <a:schemeClr val="accent4">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 Disp.SFS Pens.x ARS'!$B$3:$G$3</c:f>
              <c:strCache>
                <c:ptCount val="6"/>
                <c:pt idx="0">
                  <c:v>Jun - Dic 2009</c:v>
                </c:pt>
                <c:pt idx="1">
                  <c:v>Ene - Dic 2010</c:v>
                </c:pt>
                <c:pt idx="2">
                  <c:v>Ene-Dic 2011</c:v>
                </c:pt>
                <c:pt idx="3">
                  <c:v>Ene-Dic. 2012</c:v>
                </c:pt>
                <c:pt idx="4">
                  <c:v>Ene-Dic. 2013</c:v>
                </c:pt>
                <c:pt idx="5">
                  <c:v>Ene-Dic. 2014</c:v>
                </c:pt>
              </c:strCache>
            </c:strRef>
          </c:cat>
          <c:val>
            <c:numRef>
              <c:f>'IV.3.3 Disp.SFS Pens.x ARS'!$B$5:$G$5</c:f>
              <c:numCache>
                <c:formatCode>_(* #,##0.00_);_(* \(#,##0.00\);_(* "-"??_);_(@_)</c:formatCode>
                <c:ptCount val="6"/>
                <c:pt idx="0">
                  <c:v>4296847.38</c:v>
                </c:pt>
                <c:pt idx="1">
                  <c:v>18395245.0678</c:v>
                </c:pt>
                <c:pt idx="2" formatCode="_(* #,##0.00_);_(* \(#,##0.00\);_(* &quot;-&quot;_);_(@_)">
                  <c:v>23880988</c:v>
                </c:pt>
                <c:pt idx="3" formatCode="[$-1010409]#,##0.00;\-#,##0.00">
                  <c:v>29141298.68</c:v>
                </c:pt>
                <c:pt idx="4" formatCode="[$-1010409]#,##0.00;\-#,##0.00">
                  <c:v>37045833.560000002</c:v>
                </c:pt>
                <c:pt idx="5" formatCode="[$-1010409]#,##0.00;\-#,##0.00">
                  <c:v>39803330.119999997</c:v>
                </c:pt>
              </c:numCache>
            </c:numRef>
          </c:val>
        </c:ser>
        <c:dLbls>
          <c:showLegendKey val="0"/>
          <c:showVal val="0"/>
          <c:showCatName val="0"/>
          <c:showSerName val="0"/>
          <c:showPercent val="0"/>
          <c:showBubbleSize val="0"/>
        </c:dLbls>
        <c:gapWidth val="142"/>
        <c:shape val="cylinder"/>
        <c:axId val="277960144"/>
        <c:axId val="277960536"/>
        <c:axId val="0"/>
      </c:bar3DChart>
      <c:catAx>
        <c:axId val="277960144"/>
        <c:scaling>
          <c:orientation val="minMax"/>
        </c:scaling>
        <c:delete val="0"/>
        <c:axPos val="b"/>
        <c:numFmt formatCode="General" sourceLinked="1"/>
        <c:majorTickMark val="none"/>
        <c:minorTickMark val="none"/>
        <c:tickLblPos val="nextTo"/>
        <c:txPr>
          <a:bodyPr/>
          <a:lstStyle/>
          <a:p>
            <a:pPr>
              <a:defRPr sz="1400"/>
            </a:pPr>
            <a:endParaRPr lang="es-ES"/>
          </a:p>
        </c:txPr>
        <c:crossAx val="277960536"/>
        <c:crosses val="autoZero"/>
        <c:auto val="1"/>
        <c:lblAlgn val="ctr"/>
        <c:lblOffset val="100"/>
        <c:noMultiLvlLbl val="0"/>
      </c:catAx>
      <c:valAx>
        <c:axId val="277960536"/>
        <c:scaling>
          <c:orientation val="minMax"/>
        </c:scaling>
        <c:delete val="0"/>
        <c:axPos val="l"/>
        <c:numFmt formatCode="_(* #,##0.00_);_(* \(#,##0.00\);_(* &quot;-&quot;??_);_(@_)" sourceLinked="1"/>
        <c:majorTickMark val="none"/>
        <c:minorTickMark val="none"/>
        <c:tickLblPos val="none"/>
        <c:crossAx val="277960144"/>
        <c:crosses val="autoZero"/>
        <c:crossBetween val="between"/>
        <c:dispUnits>
          <c:builtInUnit val="millions"/>
        </c:dispUnits>
      </c:valAx>
    </c:plotArea>
    <c:legend>
      <c:legendPos val="t"/>
      <c:layout>
        <c:manualLayout>
          <c:xMode val="edge"/>
          <c:yMode val="edge"/>
          <c:x val="0.23856923741254185"/>
          <c:y val="0.17136346800812025"/>
          <c:w val="0.54458872834492211"/>
          <c:h val="4.0160990241105046E-2"/>
        </c:manualLayout>
      </c:layout>
      <c:overlay val="0"/>
      <c:txPr>
        <a:bodyPr/>
        <a:lstStyle/>
        <a:p>
          <a:pPr>
            <a:defRPr sz="1400"/>
          </a:pPr>
          <a:endParaRPr lang="es-ES"/>
        </a:p>
      </c:txPr>
    </c:legend>
    <c:plotVisOnly val="1"/>
    <c:dispBlanksAs val="gap"/>
    <c:showDLblsOverMax val="0"/>
  </c:chart>
  <c:spPr>
    <a:ln>
      <a:noFill/>
    </a:ln>
  </c:spPr>
  <c:printSettings>
    <c:headerFooter/>
    <c:pageMargins b="0.7480314960630059" l="0.51181102362204722" r="0.51181102362204722" t="0.7480314960630059" header="0.31496062992126972" footer="0.31496062992126972"/>
    <c:pageSetup orientation="landscape"/>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3768209029671861E-4"/>
          <c:y val="0.25678014093624552"/>
          <c:w val="0.98845727216620594"/>
          <c:h val="0.56804597198447537"/>
        </c:manualLayout>
      </c:layout>
      <c:bar3DChart>
        <c:barDir val="col"/>
        <c:grouping val="clustered"/>
        <c:varyColors val="0"/>
        <c:ser>
          <c:idx val="0"/>
          <c:order val="0"/>
          <c:tx>
            <c:strRef>
              <c:f>'IV.4.1.1 Afil. a EI'!$B$3</c:f>
              <c:strCache>
                <c:ptCount val="1"/>
                <c:pt idx="0">
                  <c:v>Niños (as) Beneficiarios (as) de las EI</c:v>
                </c:pt>
              </c:strCache>
            </c:strRef>
          </c:tx>
          <c:invertIfNegative val="0"/>
          <c:dLbls>
            <c:dLbl>
              <c:idx val="0"/>
              <c:layout>
                <c:manualLayout>
                  <c:x val="7.5776127422064994E-3"/>
                  <c:y val="-1.82023116879566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455503287721E-2"/>
                  <c:y val="-1.673155911510443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582961456540493E-3"/>
                  <c:y val="-1.654713217719457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679118503351282E-3"/>
                  <c:y val="-1.87867858983336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189300806256284E-2"/>
                  <c:y val="-1.42942936182973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chemeClr val="accent2">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'IV.4.1.1 Afil. a EI'!$A$4:$A$9</c:f>
              <c:strCache>
                <c:ptCount val="5"/>
                <c:pt idx="0">
                  <c:v>Dic.09</c:v>
                </c:pt>
                <c:pt idx="1">
                  <c:v>Dic.10</c:v>
                </c:pt>
                <c:pt idx="2">
                  <c:v>Dic.11</c:v>
                </c:pt>
                <c:pt idx="3">
                  <c:v>Dic.12</c:v>
                </c:pt>
                <c:pt idx="4">
                  <c:v>Dic.13</c:v>
                </c:pt>
              </c:strCache>
            </c:strRef>
          </c:cat>
          <c:val>
            <c:numRef>
              <c:f>'IV.4.1.1 Afil. a EI'!$B$4:$B$9</c:f>
              <c:numCache>
                <c:formatCode>#,##0</c:formatCode>
                <c:ptCount val="5"/>
                <c:pt idx="0">
                  <c:v>1814</c:v>
                </c:pt>
                <c:pt idx="1">
                  <c:v>4131</c:v>
                </c:pt>
                <c:pt idx="2">
                  <c:v>4901</c:v>
                </c:pt>
                <c:pt idx="3">
                  <c:v>4963</c:v>
                </c:pt>
                <c:pt idx="4">
                  <c:v>6516</c:v>
                </c:pt>
              </c:numCache>
            </c:numRef>
          </c:val>
        </c:ser>
        <c:ser>
          <c:idx val="1"/>
          <c:order val="1"/>
          <c:tx>
            <c:strRef>
              <c:f>'IV.4.1.1 Afil. a EI'!$C$3</c:f>
              <c:strCache>
                <c:ptCount val="1"/>
                <c:pt idx="0">
                  <c:v>Niños cubiertos en pagos retroactivos</c:v>
                </c:pt>
              </c:strCache>
            </c:strRef>
          </c:tx>
          <c:spPr>
            <a:solidFill>
              <a:schemeClr val="accent3">
                <a:lumMod val="50000"/>
              </a:schemeClr>
            </a:solidFill>
          </c:spPr>
          <c:invertIfNegative val="0"/>
          <c:dLbls>
            <c:dLbl>
              <c:idx val="0"/>
              <c:delete val="1"/>
              <c:extLst>
                <c:ext xmlns:c15="http://schemas.microsoft.com/office/drawing/2012/chart" uri="{CE6537A1-D6FC-4f65-9D91-7224C49458BB}"/>
              </c:extLst>
            </c:dLbl>
            <c:dLbl>
              <c:idx val="1"/>
              <c:layout>
                <c:manualLayout>
                  <c:x val="1.0925997060524892E-2"/>
                  <c:y val="-2.321817771071018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520336658777611E-3"/>
                  <c:y val="-1.69439636355743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6613201215334874E-3"/>
                  <c:y val="-1.685585032958074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3585734408341711E-2"/>
                  <c:y val="-1.6336335563768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'IV.4.1.1 Afil. a EI'!$A$4:$A$9</c:f>
              <c:strCache>
                <c:ptCount val="5"/>
                <c:pt idx="0">
                  <c:v>Dic.09</c:v>
                </c:pt>
                <c:pt idx="1">
                  <c:v>Dic.10</c:v>
                </c:pt>
                <c:pt idx="2">
                  <c:v>Dic.11</c:v>
                </c:pt>
                <c:pt idx="3">
                  <c:v>Dic.12</c:v>
                </c:pt>
                <c:pt idx="4">
                  <c:v>Dic.13</c:v>
                </c:pt>
              </c:strCache>
            </c:strRef>
          </c:cat>
          <c:val>
            <c:numRef>
              <c:f>'IV.4.1.1 Afil. a EI'!$C$4:$C$9</c:f>
            </c:numRef>
          </c:val>
        </c:ser>
        <c:ser>
          <c:idx val="2"/>
          <c:order val="2"/>
          <c:tx>
            <c:strRef>
              <c:f>'IV.4.1.1 Afil. a EI'!$D$3</c:f>
              <c:strCache>
                <c:ptCount val="1"/>
                <c:pt idx="0">
                  <c:v>Estancias habilitadas</c:v>
                </c:pt>
              </c:strCache>
            </c:strRef>
          </c:tx>
          <c:spPr>
            <a:solidFill>
              <a:srgbClr val="002060"/>
            </a:solidFill>
          </c:spPr>
          <c:invertIfNegative val="0"/>
          <c:dLbls>
            <c:dLbl>
              <c:idx val="0"/>
              <c:layout>
                <c:manualLayout>
                  <c:x val="9.1542354373897357E-3"/>
                  <c:y val="-1.837853829994380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947442730647454E-3"/>
                  <c:y val="-2.04204194547104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782049340285117E-3"/>
                  <c:y val="-2.4504503345652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1325105643794823E-3"/>
                  <c:y val="-2.042041945471048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0571562722278082E-3"/>
                  <c:y val="-2.65465452911236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20817453451755E-2"/>
                  <c:y val="-2.65465410226865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'IV.4.1.1 Afil. a EI'!$A$4:$A$9</c:f>
              <c:strCache>
                <c:ptCount val="5"/>
                <c:pt idx="0">
                  <c:v>Dic.09</c:v>
                </c:pt>
                <c:pt idx="1">
                  <c:v>Dic.10</c:v>
                </c:pt>
                <c:pt idx="2">
                  <c:v>Dic.11</c:v>
                </c:pt>
                <c:pt idx="3">
                  <c:v>Dic.12</c:v>
                </c:pt>
                <c:pt idx="4">
                  <c:v>Dic.13</c:v>
                </c:pt>
              </c:strCache>
            </c:strRef>
          </c:cat>
          <c:val>
            <c:numRef>
              <c:f>'IV.4.1.1 Afil. a EI'!$D$4:$D$9</c:f>
              <c:numCache>
                <c:formatCode>#,##0</c:formatCode>
                <c:ptCount val="5"/>
                <c:pt idx="0">
                  <c:v>32</c:v>
                </c:pt>
                <c:pt idx="1">
                  <c:v>86</c:v>
                </c:pt>
                <c:pt idx="2">
                  <c:v>87</c:v>
                </c:pt>
                <c:pt idx="3">
                  <c:v>91</c:v>
                </c:pt>
                <c:pt idx="4">
                  <c:v>93</c:v>
                </c:pt>
              </c:numCache>
            </c:numRef>
          </c:val>
        </c:ser>
        <c:dLbls>
          <c:showLegendKey val="0"/>
          <c:showVal val="0"/>
          <c:showCatName val="0"/>
          <c:showSerName val="0"/>
          <c:showPercent val="0"/>
          <c:showBubbleSize val="0"/>
        </c:dLbls>
        <c:gapWidth val="20"/>
        <c:shape val="cylinder"/>
        <c:axId val="277961320"/>
        <c:axId val="277961712"/>
        <c:axId val="0"/>
      </c:bar3DChart>
      <c:catAx>
        <c:axId val="277961320"/>
        <c:scaling>
          <c:orientation val="minMax"/>
        </c:scaling>
        <c:delete val="0"/>
        <c:axPos val="b"/>
        <c:numFmt formatCode="mmm\-yy" sourceLinked="0"/>
        <c:majorTickMark val="none"/>
        <c:minorTickMark val="none"/>
        <c:tickLblPos val="nextTo"/>
        <c:txPr>
          <a:bodyPr/>
          <a:lstStyle/>
          <a:p>
            <a:pPr>
              <a:defRPr sz="1600"/>
            </a:pPr>
            <a:endParaRPr lang="es-ES"/>
          </a:p>
        </c:txPr>
        <c:crossAx val="277961712"/>
        <c:crosses val="autoZero"/>
        <c:auto val="1"/>
        <c:lblAlgn val="ctr"/>
        <c:lblOffset val="100"/>
        <c:noMultiLvlLbl val="1"/>
      </c:catAx>
      <c:valAx>
        <c:axId val="277961712"/>
        <c:scaling>
          <c:orientation val="minMax"/>
        </c:scaling>
        <c:delete val="1"/>
        <c:axPos val="l"/>
        <c:numFmt formatCode="#,##0" sourceLinked="1"/>
        <c:majorTickMark val="out"/>
        <c:minorTickMark val="none"/>
        <c:tickLblPos val="nextTo"/>
        <c:crossAx val="277961320"/>
        <c:crosses val="autoZero"/>
        <c:crossBetween val="between"/>
      </c:valAx>
    </c:plotArea>
    <c:legend>
      <c:legendPos val="t"/>
      <c:layout>
        <c:manualLayout>
          <c:xMode val="edge"/>
          <c:yMode val="edge"/>
          <c:x val="0"/>
          <c:y val="7.6676411653722479E-2"/>
          <c:w val="0.98393254762242532"/>
          <c:h val="4.289532532462451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Estancias Infantiles (EI) del Régimen Contributivo (RC)</a:t>
            </a:r>
          </a:p>
          <a:p>
            <a:pPr>
              <a:defRPr/>
            </a:pPr>
            <a:r>
              <a:rPr lang="es-DO"/>
              <a:t>Dispersión a las Estancias Infantiles </a:t>
            </a:r>
          </a:p>
        </c:rich>
      </c:tx>
      <c:layout>
        <c:manualLayout>
          <c:xMode val="edge"/>
          <c:yMode val="edge"/>
          <c:x val="0.29702368811818103"/>
          <c:y val="2.5297620529716239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0343050746395717E-2"/>
          <c:y val="0.22191012970508348"/>
          <c:w val="0.89715026661589403"/>
          <c:h val="0.64978830672269328"/>
        </c:manualLayout>
      </c:layout>
      <c:bar3DChart>
        <c:barDir val="col"/>
        <c:grouping val="clustered"/>
        <c:varyColors val="0"/>
        <c:ser>
          <c:idx val="1"/>
          <c:order val="0"/>
          <c:tx>
            <c:strRef>
              <c:f>'IV.4.1.2 Afil. a EI (2)'!$B$3</c:f>
              <c:strCache>
                <c:ptCount val="1"/>
                <c:pt idx="0">
                  <c:v>Dispersión AEISS</c:v>
                </c:pt>
              </c:strCache>
            </c:strRef>
          </c:tx>
          <c:spPr>
            <a:solidFill>
              <a:schemeClr val="accent5">
                <a:lumMod val="50000"/>
              </a:schemeClr>
            </a:solidFill>
          </c:spPr>
          <c:invertIfNegative val="0"/>
          <c:dLbls>
            <c:dLbl>
              <c:idx val="0"/>
              <c:layout>
                <c:manualLayout>
                  <c:x val="1.2114015460154509E-2"/>
                  <c:y val="-2.152353079305463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8013742359585E-2"/>
                  <c:y val="-3.1089544478856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8013742359585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90025766924222E-2"/>
                  <c:y val="-2.86980410574061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14015460154533E-2"/>
                  <c:y val="-3.5872551321757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14015460154533E-2"/>
                  <c:y val="-2.86980410574060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'IV.4.1.2 Afil. a EI (2)'!$A$7:$A$12</c:f>
              <c:numCache>
                <c:formatCode>0</c:formatCode>
                <c:ptCount val="6"/>
                <c:pt idx="0">
                  <c:v>2009</c:v>
                </c:pt>
                <c:pt idx="1">
                  <c:v>2010</c:v>
                </c:pt>
                <c:pt idx="2">
                  <c:v>2011</c:v>
                </c:pt>
                <c:pt idx="3">
                  <c:v>2012</c:v>
                </c:pt>
                <c:pt idx="4">
                  <c:v>2013</c:v>
                </c:pt>
                <c:pt idx="5">
                  <c:v>2014</c:v>
                </c:pt>
              </c:numCache>
            </c:numRef>
          </c:cat>
          <c:val>
            <c:numRef>
              <c:f>'IV.4.1.2 Afil. a EI (2)'!$B$4:$B$12</c:f>
              <c:numCache>
                <c:formatCode>#,##0.00</c:formatCode>
                <c:ptCount val="6"/>
                <c:pt idx="0">
                  <c:v>16656000</c:v>
                </c:pt>
                <c:pt idx="1">
                  <c:v>68030000</c:v>
                </c:pt>
                <c:pt idx="2">
                  <c:v>168385579.84999999</c:v>
                </c:pt>
                <c:pt idx="3">
                  <c:v>182376500</c:v>
                </c:pt>
                <c:pt idx="4">
                  <c:v>141194000</c:v>
                </c:pt>
                <c:pt idx="5">
                  <c:v>262429320</c:v>
                </c:pt>
              </c:numCache>
            </c:numRef>
          </c:val>
        </c:ser>
        <c:dLbls>
          <c:showLegendKey val="0"/>
          <c:showVal val="0"/>
          <c:showCatName val="0"/>
          <c:showSerName val="0"/>
          <c:showPercent val="0"/>
          <c:showBubbleSize val="0"/>
        </c:dLbls>
        <c:gapWidth val="51"/>
        <c:shape val="cylinder"/>
        <c:axId val="277962496"/>
        <c:axId val="277962888"/>
        <c:axId val="0"/>
      </c:bar3DChart>
      <c:catAx>
        <c:axId val="277962496"/>
        <c:scaling>
          <c:orientation val="minMax"/>
        </c:scaling>
        <c:delete val="0"/>
        <c:axPos val="b"/>
        <c:numFmt formatCode="0" sourceLinked="1"/>
        <c:majorTickMark val="out"/>
        <c:minorTickMark val="none"/>
        <c:tickLblPos val="nextTo"/>
        <c:txPr>
          <a:bodyPr/>
          <a:lstStyle/>
          <a:p>
            <a:pPr>
              <a:defRPr sz="1600"/>
            </a:pPr>
            <a:endParaRPr lang="es-ES"/>
          </a:p>
        </c:txPr>
        <c:crossAx val="277962888"/>
        <c:crosses val="autoZero"/>
        <c:auto val="1"/>
        <c:lblAlgn val="ctr"/>
        <c:lblOffset val="100"/>
        <c:noMultiLvlLbl val="0"/>
      </c:catAx>
      <c:valAx>
        <c:axId val="277962888"/>
        <c:scaling>
          <c:orientation val="minMax"/>
        </c:scaling>
        <c:delete val="0"/>
        <c:axPos val="l"/>
        <c:numFmt formatCode="#,##0.00" sourceLinked="1"/>
        <c:majorTickMark val="out"/>
        <c:minorTickMark val="none"/>
        <c:tickLblPos val="nextTo"/>
        <c:crossAx val="277962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floor>
    <c:sideWall>
      <c:thickness val="0"/>
    </c:sideWall>
    <c:backWall>
      <c:thickness val="0"/>
    </c:backWall>
    <c:plotArea>
      <c:layout>
        <c:manualLayout>
          <c:layoutTarget val="inner"/>
          <c:xMode val="edge"/>
          <c:yMode val="edge"/>
          <c:x val="3.7384356277557164E-3"/>
          <c:y val="0.17000688441826664"/>
          <c:w val="0.97237244767049669"/>
          <c:h val="0.74949584968981131"/>
        </c:manualLayout>
      </c:layout>
      <c:bar3DChart>
        <c:barDir val="col"/>
        <c:grouping val="standard"/>
        <c:varyColors val="0"/>
        <c:ser>
          <c:idx val="0"/>
          <c:order val="0"/>
          <c:tx>
            <c:strRef>
              <c:f>'IV.4.1.3 Evol. afil. EI'!$B$3</c:f>
              <c:strCache>
                <c:ptCount val="1"/>
                <c:pt idx="0">
                  <c:v>Jun-09</c:v>
                </c:pt>
              </c:strCache>
            </c:strRef>
          </c:tx>
          <c:invertIfNegative val="0"/>
          <c:dLbls>
            <c:dLbl>
              <c:idx val="0"/>
              <c:layout>
                <c:manualLayout>
                  <c:x val="0"/>
                  <c:y val="0.1421653395025379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036622267206005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695053027528635E-3"/>
                  <c:y val="0.1161917133185556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19733603236023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105166589871441E-17"/>
                  <c:y val="5.923555812605746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EI'!$B$4:$B$11</c:f>
              <c:numCache>
                <c:formatCode>_(* #,##0_);_(* \(#,##0\);_(* "-"_);_(@_)</c:formatCode>
                <c:ptCount val="5"/>
                <c:pt idx="0">
                  <c:v>3455</c:v>
                </c:pt>
                <c:pt idx="1">
                  <c:v>2854</c:v>
                </c:pt>
                <c:pt idx="2">
                  <c:v>2350</c:v>
                </c:pt>
                <c:pt idx="3">
                  <c:v>818</c:v>
                </c:pt>
                <c:pt idx="4">
                  <c:v>601</c:v>
                </c:pt>
              </c:numCache>
            </c:numRef>
          </c:val>
        </c:ser>
        <c:ser>
          <c:idx val="1"/>
          <c:order val="1"/>
          <c:tx>
            <c:strRef>
              <c:f>'IV.4.1.3 Evol. afil. EI'!$C$3</c:f>
              <c:strCache>
                <c:ptCount val="1"/>
                <c:pt idx="0">
                  <c:v>Dec-09</c:v>
                </c:pt>
              </c:strCache>
            </c:strRef>
          </c:tx>
          <c:spPr>
            <a:solidFill>
              <a:schemeClr val="accent4">
                <a:lumMod val="60000"/>
                <a:lumOff val="40000"/>
              </a:schemeClr>
            </a:solidFill>
          </c:spPr>
          <c:invertIfNegative val="0"/>
          <c:dLbls>
            <c:dLbl>
              <c:idx val="0"/>
              <c:layout>
                <c:manualLayout>
                  <c:x val="0"/>
                  <c:y val="8.29297813764804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832531959233E-3"/>
                  <c:y val="3.8503112781937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7234975958776848E-2"/>
                  <c:y val="-1.18471116252114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8907108512538351E-3"/>
                  <c:y val="2.369422325042298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47768930016919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EI'!$C$4:$C$11</c:f>
              <c:numCache>
                <c:formatCode>_(* #,##0_);_(* \(#,##0\);_(* "-"_);_(@_)</c:formatCode>
                <c:ptCount val="5"/>
                <c:pt idx="0">
                  <c:v>4500</c:v>
                </c:pt>
                <c:pt idx="1">
                  <c:v>2414</c:v>
                </c:pt>
                <c:pt idx="2">
                  <c:v>3952</c:v>
                </c:pt>
                <c:pt idx="3">
                  <c:v>403</c:v>
                </c:pt>
                <c:pt idx="4">
                  <c:v>2086</c:v>
                </c:pt>
              </c:numCache>
            </c:numRef>
          </c:val>
        </c:ser>
        <c:ser>
          <c:idx val="2"/>
          <c:order val="2"/>
          <c:tx>
            <c:strRef>
              <c:f>'IV.4.1.3 Evol. afil. EI'!$D$3</c:f>
              <c:strCache>
                <c:ptCount val="1"/>
                <c:pt idx="0">
                  <c:v>Dec-10</c:v>
                </c:pt>
              </c:strCache>
            </c:strRef>
          </c:tx>
          <c:invertIfNegative val="0"/>
          <c:dLbls>
            <c:dLbl>
              <c:idx val="0"/>
              <c:layout>
                <c:manualLayout>
                  <c:x val="-1.2969036170846593E-3"/>
                  <c:y val="7.1082669751268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83253195922814E-3"/>
                  <c:y val="2.96177790630287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0473614904384E-2"/>
                  <c:y val="0"/>
                </c:manualLayout>
              </c:layout>
              <c:tx>
                <c:rich>
                  <a:bodyPr/>
                  <a:lstStyle/>
                  <a:p>
                    <a:r>
                      <a:rPr lang="en-US"/>
                      <a:t> 4,963</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1.2969036170846118E-3"/>
                  <c:y val="3.554133487563458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105166589871441E-17"/>
                  <c:y val="0.1214328941584177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EI'!$D$4:$D$11</c:f>
              <c:numCache>
                <c:formatCode>_(* #,##0_);_(* \(#,##0\);_(* "-"_);_(@_)</c:formatCode>
                <c:ptCount val="5"/>
                <c:pt idx="0">
                  <c:v>5164</c:v>
                </c:pt>
                <c:pt idx="1">
                  <c:v>1033</c:v>
                </c:pt>
                <c:pt idx="2">
                  <c:v>4843</c:v>
                </c:pt>
                <c:pt idx="3">
                  <c:v>750</c:v>
                </c:pt>
                <c:pt idx="4">
                  <c:v>4131</c:v>
                </c:pt>
              </c:numCache>
            </c:numRef>
          </c:val>
        </c:ser>
        <c:ser>
          <c:idx val="3"/>
          <c:order val="3"/>
          <c:tx>
            <c:strRef>
              <c:f>'IV.4.1.3 Evol. afil. EI'!$E$3</c:f>
              <c:strCache>
                <c:ptCount val="1"/>
                <c:pt idx="0">
                  <c:v>Dec-11</c:v>
                </c:pt>
              </c:strCache>
            </c:strRef>
          </c:tx>
          <c:spPr>
            <a:solidFill>
              <a:schemeClr val="accent6">
                <a:lumMod val="60000"/>
                <a:lumOff val="40000"/>
              </a:schemeClr>
            </a:solidFill>
          </c:spPr>
          <c:invertIfNegative val="0"/>
          <c:dLbls>
            <c:dLbl>
              <c:idx val="0"/>
              <c:layout>
                <c:manualLayout>
                  <c:x val="2.5938072341691759E-3"/>
                  <c:y val="1.480888953151434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2.5938072341691282E-3"/>
                  <c:y val="2.369422325042293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969036170845166E-3"/>
                  <c:y val="7.996800347017757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EI'!$E$4:$E$11</c:f>
              <c:numCache>
                <c:formatCode>_(* #,##0_);_(* \(#,##0\);_(* "-"_);_(@_)</c:formatCode>
                <c:ptCount val="5"/>
                <c:pt idx="0">
                  <c:v>5042</c:v>
                </c:pt>
                <c:pt idx="1">
                  <c:v>141</c:v>
                </c:pt>
                <c:pt idx="2">
                  <c:v>5020</c:v>
                </c:pt>
                <c:pt idx="3">
                  <c:v>804</c:v>
                </c:pt>
                <c:pt idx="4">
                  <c:v>4901</c:v>
                </c:pt>
              </c:numCache>
            </c:numRef>
          </c:val>
        </c:ser>
        <c:ser>
          <c:idx val="4"/>
          <c:order val="4"/>
          <c:tx>
            <c:strRef>
              <c:f>'IV.4.1.3 Evol. afil. EI'!$F$3</c:f>
              <c:strCache>
                <c:ptCount val="1"/>
                <c:pt idx="0">
                  <c:v>Mar-12</c:v>
                </c:pt>
              </c:strCache>
            </c:strRef>
          </c:tx>
          <c:invertIfNegative val="0"/>
          <c:dLbls>
            <c:dLbl>
              <c:idx val="0"/>
              <c:layout>
                <c:manualLayout>
                  <c:x val="5.1876144683383994E-3"/>
                  <c:y val="1.184711162521149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4845180854230583E-3"/>
                  <c:y val="7.10826697512689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7814217025076703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814217025076703E-3"/>
                  <c:y val="2.7149317176547573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EI'!$F$4:$F$11</c:f>
              <c:numCache>
                <c:formatCode>_(* #,##0_);_(* \(#,##0\);_(* "-"_);_(@_)</c:formatCode>
                <c:ptCount val="5"/>
                <c:pt idx="0">
                  <c:v>5097</c:v>
                </c:pt>
                <c:pt idx="1">
                  <c:v>134</c:v>
                </c:pt>
                <c:pt idx="2">
                  <c:v>5247</c:v>
                </c:pt>
                <c:pt idx="3">
                  <c:v>815</c:v>
                </c:pt>
                <c:pt idx="4">
                  <c:v>4963</c:v>
                </c:pt>
              </c:numCache>
            </c:numRef>
          </c:val>
        </c:ser>
        <c:ser>
          <c:idx val="5"/>
          <c:order val="5"/>
          <c:tx>
            <c:strRef>
              <c:f>'IV.4.1.3 Evol. afil. EI'!$G$3</c:f>
              <c:strCache>
                <c:ptCount val="1"/>
                <c:pt idx="0">
                  <c:v>Nov.13</c:v>
                </c:pt>
              </c:strCache>
            </c:strRef>
          </c:tx>
          <c:invertIfNegative val="0"/>
          <c:dLbls>
            <c:dLbl>
              <c:idx val="1"/>
              <c:layout>
                <c:manualLayout>
                  <c:x val="0"/>
                  <c:y val="-3.38169209511922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'IV.4.1.3 Evol. afil. EI'!$A$4:$A$11</c:f>
              <c:strCache>
                <c:ptCount val="5"/>
                <c:pt idx="0">
                  <c:v>Total NN atendidos por el IDSS</c:v>
                </c:pt>
                <c:pt idx="1">
                  <c:v>NN No afiliados</c:v>
                </c:pt>
                <c:pt idx="2">
                  <c:v>NN validados por AEISS</c:v>
                </c:pt>
                <c:pt idx="3">
                  <c:v>Niños estatus pendiente</c:v>
                </c:pt>
                <c:pt idx="4">
                  <c:v>Niños Estatus Ok-Ok/ Nómina TSS</c:v>
                </c:pt>
              </c:strCache>
            </c:strRef>
          </c:cat>
          <c:val>
            <c:numRef>
              <c:f>'IV.4.1.3 Evol. afil. EI'!$G$4:$G$11</c:f>
              <c:numCache>
                <c:formatCode>_(* #,##0_);_(* \(#,##0\);_(* "-"_);_(@_)</c:formatCode>
                <c:ptCount val="5"/>
                <c:pt idx="0">
                  <c:v>8001</c:v>
                </c:pt>
                <c:pt idx="1">
                  <c:v>1406</c:v>
                </c:pt>
                <c:pt idx="2">
                  <c:v>6475</c:v>
                </c:pt>
                <c:pt idx="3">
                  <c:v>1238</c:v>
                </c:pt>
                <c:pt idx="4">
                  <c:v>6595</c:v>
                </c:pt>
              </c:numCache>
            </c:numRef>
          </c:val>
        </c:ser>
        <c:dLbls>
          <c:showLegendKey val="0"/>
          <c:showVal val="1"/>
          <c:showCatName val="0"/>
          <c:showSerName val="0"/>
          <c:showPercent val="0"/>
          <c:showBubbleSize val="0"/>
        </c:dLbls>
        <c:gapWidth val="150"/>
        <c:shape val="box"/>
        <c:axId val="277963672"/>
        <c:axId val="281527544"/>
        <c:axId val="278581384"/>
      </c:bar3DChart>
      <c:catAx>
        <c:axId val="277963672"/>
        <c:scaling>
          <c:orientation val="minMax"/>
        </c:scaling>
        <c:delete val="0"/>
        <c:axPos val="b"/>
        <c:numFmt formatCode="General" sourceLinked="0"/>
        <c:majorTickMark val="none"/>
        <c:minorTickMark val="none"/>
        <c:tickLblPos val="nextTo"/>
        <c:crossAx val="281527544"/>
        <c:crosses val="autoZero"/>
        <c:auto val="1"/>
        <c:lblAlgn val="ctr"/>
        <c:lblOffset val="100"/>
        <c:noMultiLvlLbl val="0"/>
      </c:catAx>
      <c:valAx>
        <c:axId val="281527544"/>
        <c:scaling>
          <c:orientation val="minMax"/>
        </c:scaling>
        <c:delete val="1"/>
        <c:axPos val="l"/>
        <c:numFmt formatCode="_(* #,##0_);_(* \(#,##0\);_(* &quot;-&quot;_);_(@_)" sourceLinked="1"/>
        <c:majorTickMark val="out"/>
        <c:minorTickMark val="none"/>
        <c:tickLblPos val="nextTo"/>
        <c:crossAx val="277963672"/>
        <c:crosses val="autoZero"/>
        <c:crossBetween val="between"/>
      </c:valAx>
      <c:serAx>
        <c:axId val="278581384"/>
        <c:scaling>
          <c:orientation val="minMax"/>
        </c:scaling>
        <c:delete val="1"/>
        <c:axPos val="b"/>
        <c:majorTickMark val="out"/>
        <c:minorTickMark val="none"/>
        <c:tickLblPos val="nextTo"/>
        <c:crossAx val="281527544"/>
        <c:crosses val="autoZero"/>
      </c:serAx>
    </c:plotArea>
    <c:legend>
      <c:legendPos val="t"/>
      <c:layout>
        <c:manualLayout>
          <c:xMode val="edge"/>
          <c:yMode val="edge"/>
          <c:x val="0.1193282076310591"/>
          <c:y val="6.174674442541251E-2"/>
          <c:w val="0.71425681449679079"/>
          <c:h val="5.559167750325097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8569317036664661E-2"/>
          <c:y val="0.18527135940085124"/>
          <c:w val="0.89146769790221103"/>
          <c:h val="0.66656394115075757"/>
        </c:manualLayout>
      </c:layout>
      <c:bar3DChart>
        <c:barDir val="col"/>
        <c:grouping val="clustered"/>
        <c:varyColors val="0"/>
        <c:ser>
          <c:idx val="0"/>
          <c:order val="0"/>
          <c:tx>
            <c:strRef>
              <c:f>'Rec. y dip. EI'!$B$5</c:f>
              <c:strCache>
                <c:ptCount val="1"/>
                <c:pt idx="0">
                  <c:v>Recaudo</c:v>
                </c:pt>
              </c:strCache>
            </c:strRef>
          </c:tx>
          <c:invertIfNegative val="0"/>
          <c:dLbls>
            <c:dLbl>
              <c:idx val="0"/>
              <c:layout>
                <c:manualLayout>
                  <c:x val="2.3343633635088067E-3"/>
                  <c:y val="0.11705790008852661"/>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343633635088067E-3"/>
                  <c:y val="0.1010954591673639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343633635088067E-3"/>
                  <c:y val="9.84350523471721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67181681754404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3343633635088067E-3"/>
                  <c:y val="9.84350523471722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15450452632142E-3"/>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015450452632142E-3"/>
                  <c:y val="9.577464552697859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015450452632142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1816817544047E-3"/>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5015450452632142E-3"/>
                  <c:y val="0.1010954591673638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3343633635088067E-3"/>
                  <c:y val="9.8435052347172272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671816817544047E-3"/>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334363363508806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3343633635088067E-3"/>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2.334363363508806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0"/>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2.3343633635088067E-3"/>
                  <c:y val="0.10641627280775152"/>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0"/>
                  <c:y val="0.10375586598755769"/>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1.1671816817544899E-3"/>
                  <c:y val="0.10109545916736389"/>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1.1671816817543201E-3"/>
                  <c:y val="0.10109545916736389"/>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2.334363363508806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1.167181681754404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167181681754404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1671816817544899E-3"/>
                  <c:y val="0.10641627280775152"/>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3.5015450452632142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2.3343633635088067E-3"/>
                  <c:y val="0.10109545916736389"/>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3343633635088067E-3"/>
                  <c:y val="0.10109545916736389"/>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1.167181681754404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1.1671816817544047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3.5015450452632142E-3"/>
                  <c:y val="9.8435052347172217E-2"/>
                </c:manualLayout>
              </c:layout>
              <c:showLegendKey val="0"/>
              <c:showVal val="1"/>
              <c:showCatName val="0"/>
              <c:showSerName val="0"/>
              <c:showPercent val="0"/>
              <c:showBubbleSize val="0"/>
              <c:extLst>
                <c:ext xmlns:c15="http://schemas.microsoft.com/office/drawing/2012/chart" uri="{CE6537A1-D6FC-4f65-9D91-7224C49458BB}"/>
              </c:extLst>
            </c:dLbl>
            <c:dLbl>
              <c:idx val="30"/>
              <c:layout>
                <c:manualLayout>
                  <c:x val="1.1793270833950521E-3"/>
                  <c:y val="0.1117370864481400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'Rec. y dip. EI'!$A$6:$A$36</c:f>
              <c:numCache>
                <c:formatCode>mmm\-yy</c:formatCode>
                <c:ptCount val="31"/>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numCache>
            </c:numRef>
          </c:cat>
          <c:val>
            <c:numRef>
              <c:f>'Rec. y dip. EI'!$B$6:$B$36</c:f>
              <c:numCache>
                <c:formatCode>_(* #,##0.00_);_(* \(#,##0.00\);_(* "-"??_);_(@_)</c:formatCode>
                <c:ptCount val="31"/>
                <c:pt idx="0">
                  <c:v>13371740.48</c:v>
                </c:pt>
                <c:pt idx="1">
                  <c:v>13957203.32</c:v>
                </c:pt>
                <c:pt idx="2">
                  <c:v>13653957.85</c:v>
                </c:pt>
                <c:pt idx="3">
                  <c:v>14634734.99</c:v>
                </c:pt>
                <c:pt idx="4">
                  <c:v>13768309.390000001</c:v>
                </c:pt>
                <c:pt idx="5">
                  <c:v>13918559.760000005</c:v>
                </c:pt>
                <c:pt idx="6">
                  <c:v>14543958.959999993</c:v>
                </c:pt>
                <c:pt idx="7">
                  <c:v>14271628.619999999</c:v>
                </c:pt>
                <c:pt idx="8">
                  <c:v>14667783.74</c:v>
                </c:pt>
                <c:pt idx="9">
                  <c:v>14387367.960000001</c:v>
                </c:pt>
                <c:pt idx="10">
                  <c:v>14345087.779999999</c:v>
                </c:pt>
                <c:pt idx="11">
                  <c:v>16291893.77</c:v>
                </c:pt>
                <c:pt idx="12">
                  <c:v>13433533.34</c:v>
                </c:pt>
                <c:pt idx="13">
                  <c:v>15191177.880000001</c:v>
                </c:pt>
                <c:pt idx="14">
                  <c:v>15163114.470000001</c:v>
                </c:pt>
                <c:pt idx="15">
                  <c:v>16064377.960000001</c:v>
                </c:pt>
                <c:pt idx="16">
                  <c:v>14897663.92</c:v>
                </c:pt>
                <c:pt idx="17">
                  <c:v>15259790.42</c:v>
                </c:pt>
                <c:pt idx="18">
                  <c:v>16099853.1</c:v>
                </c:pt>
                <c:pt idx="19">
                  <c:v>15975035.499999998</c:v>
                </c:pt>
                <c:pt idx="20">
                  <c:v>16284876.52</c:v>
                </c:pt>
                <c:pt idx="21">
                  <c:v>16372105.83</c:v>
                </c:pt>
                <c:pt idx="22">
                  <c:v>16570516.6</c:v>
                </c:pt>
                <c:pt idx="23">
                  <c:v>16547273.359999999</c:v>
                </c:pt>
                <c:pt idx="24">
                  <c:v>16842259.350000001</c:v>
                </c:pt>
                <c:pt idx="25">
                  <c:v>16954328.859999999</c:v>
                </c:pt>
                <c:pt idx="26">
                  <c:v>17245523.649999999</c:v>
                </c:pt>
                <c:pt idx="27">
                  <c:v>18652775.23</c:v>
                </c:pt>
                <c:pt idx="28">
                  <c:v>16272491.18</c:v>
                </c:pt>
                <c:pt idx="29">
                  <c:v>17115139.73</c:v>
                </c:pt>
                <c:pt idx="30">
                  <c:v>17930804.312591817</c:v>
                </c:pt>
              </c:numCache>
            </c:numRef>
          </c:val>
        </c:ser>
        <c:ser>
          <c:idx val="1"/>
          <c:order val="1"/>
          <c:tx>
            <c:strRef>
              <c:f>'Rec. y dip. EI'!$C$5</c:f>
              <c:strCache>
                <c:ptCount val="1"/>
                <c:pt idx="0">
                  <c:v>Dispersión</c:v>
                </c:pt>
              </c:strCache>
            </c:strRef>
          </c:tx>
          <c:spPr>
            <a:solidFill>
              <a:srgbClr val="00B050"/>
            </a:solidFill>
          </c:spPr>
          <c:invertIfNegative val="0"/>
          <c:dLbls>
            <c:dLbl>
              <c:idx val="0"/>
              <c:spPr/>
              <c:txPr>
                <a:bodyPr rot="0" vert="horz"/>
                <a:lstStyle/>
                <a:p>
                  <a:pPr>
                    <a:defRPr lang="en-US" sz="1200"/>
                  </a:pPr>
                  <a:endParaRPr lang="es-ES"/>
                </a:p>
              </c:txPr>
              <c:showLegendKey val="0"/>
              <c:showVal val="1"/>
              <c:showCatName val="0"/>
              <c:showSerName val="0"/>
              <c:showPercent val="0"/>
              <c:showBubbleSize val="0"/>
            </c:dLbl>
            <c:dLbl>
              <c:idx val="1"/>
              <c:spPr/>
              <c:txPr>
                <a:bodyPr rot="0" vert="horz"/>
                <a:lstStyle/>
                <a:p>
                  <a:pPr>
                    <a:defRPr lang="en-US" sz="1200"/>
                  </a:pPr>
                  <a:endParaRPr lang="es-ES"/>
                </a:p>
              </c:txPr>
              <c:showLegendKey val="0"/>
              <c:showVal val="1"/>
              <c:showCatName val="0"/>
              <c:showSerName val="0"/>
              <c:showPercent val="0"/>
              <c:showBubbleSize val="0"/>
            </c:dLbl>
            <c:dLbl>
              <c:idx val="2"/>
              <c:spPr/>
              <c:txPr>
                <a:bodyPr rot="0" vert="horz"/>
                <a:lstStyle/>
                <a:p>
                  <a:pPr>
                    <a:defRPr lang="en-US" sz="1200"/>
                  </a:pPr>
                  <a:endParaRPr lang="es-ES"/>
                </a:p>
              </c:txPr>
              <c:showLegendKey val="0"/>
              <c:showVal val="1"/>
              <c:showCatName val="0"/>
              <c:showSerName val="0"/>
              <c:showPercent val="0"/>
              <c:showBubbleSize val="0"/>
            </c:dLbl>
            <c:dLbl>
              <c:idx val="3"/>
              <c:spPr/>
              <c:txPr>
                <a:bodyPr rot="0" vert="horz"/>
                <a:lstStyle/>
                <a:p>
                  <a:pPr>
                    <a:defRPr lang="en-US" sz="1200"/>
                  </a:pPr>
                  <a:endParaRPr lang="es-ES"/>
                </a:p>
              </c:txPr>
              <c:showLegendKey val="0"/>
              <c:showVal val="1"/>
              <c:showCatName val="0"/>
              <c:showSerName val="0"/>
              <c:showPercent val="0"/>
              <c:showBubbleSize val="0"/>
            </c:dLbl>
            <c:dLbl>
              <c:idx val="4"/>
              <c:spPr/>
              <c:txPr>
                <a:bodyPr rot="0" vert="horz"/>
                <a:lstStyle/>
                <a:p>
                  <a:pPr>
                    <a:defRPr lang="en-US" sz="1200"/>
                  </a:pPr>
                  <a:endParaRPr lang="es-ES"/>
                </a:p>
              </c:txPr>
              <c:showLegendKey val="0"/>
              <c:showVal val="1"/>
              <c:showCatName val="0"/>
              <c:showSerName val="0"/>
              <c:showPercent val="0"/>
              <c:showBubbleSize val="0"/>
            </c:dLbl>
            <c:dLbl>
              <c:idx val="5"/>
              <c:spPr/>
              <c:txPr>
                <a:bodyPr rot="0" vert="horz"/>
                <a:lstStyle/>
                <a:p>
                  <a:pPr>
                    <a:defRPr lang="en-US" sz="1200"/>
                  </a:pPr>
                  <a:endParaRPr lang="es-ES"/>
                </a:p>
              </c:txPr>
              <c:showLegendKey val="0"/>
              <c:showVal val="1"/>
              <c:showCatName val="0"/>
              <c:showSerName val="0"/>
              <c:showPercent val="0"/>
              <c:showBubbleSize val="0"/>
            </c:dLbl>
            <c:dLbl>
              <c:idx val="6"/>
              <c:spPr/>
              <c:txPr>
                <a:bodyPr rot="0" vert="horz"/>
                <a:lstStyle/>
                <a:p>
                  <a:pPr>
                    <a:defRPr lang="en-US" sz="1200"/>
                  </a:pPr>
                  <a:endParaRPr lang="es-ES"/>
                </a:p>
              </c:txPr>
              <c:showLegendKey val="0"/>
              <c:showVal val="1"/>
              <c:showCatName val="0"/>
              <c:showSerName val="0"/>
              <c:showPercent val="0"/>
              <c:showBubbleSize val="0"/>
            </c:dLbl>
            <c:dLbl>
              <c:idx val="7"/>
              <c:spPr/>
              <c:txPr>
                <a:bodyPr rot="0" vert="horz"/>
                <a:lstStyle/>
                <a:p>
                  <a:pPr>
                    <a:defRPr lang="en-US" sz="1200"/>
                  </a:pPr>
                  <a:endParaRPr lang="es-ES"/>
                </a:p>
              </c:txPr>
              <c:showLegendKey val="0"/>
              <c:showVal val="1"/>
              <c:showCatName val="0"/>
              <c:showSerName val="0"/>
              <c:showPercent val="0"/>
              <c:showBubbleSize val="0"/>
            </c:dLbl>
            <c:dLbl>
              <c:idx val="8"/>
              <c:layout>
                <c:manualLayout>
                  <c:x val="3.6170217613702787E-3"/>
                  <c:y val="5.42028867984154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5.420288679841551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056739204566601E-3"/>
                  <c:y val="5.1739119216669259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056739204566601E-3"/>
                  <c:y val="5.6666654380161732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4113478409133202E-3"/>
                  <c:y val="6.159418954365397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2056739204566601E-3"/>
                  <c:y val="0.1034782384333386"/>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2.4113478409134082E-3"/>
                  <c:y val="0.12318837908730788"/>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1.2056739204566141E-3"/>
                  <c:y val="0.13057968183254645"/>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2.4113478409133202E-3"/>
                  <c:y val="0.13550721699603871"/>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2.4113478409133202E-3"/>
                  <c:y val="0.1502898224865157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4.8226956818266404E-3"/>
                  <c:y val="0.15768112523175418"/>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4.8226956818266404E-3"/>
                  <c:y val="0.16753619555873894"/>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1.1122015162021489E-3"/>
                  <c:y val="0.17257573081025421"/>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1.1122015162021489E-3"/>
                  <c:y val="0.17772724516280858"/>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2.1383648328225304E-3"/>
                  <c:y val="0.18133333333333901"/>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3.2075472492337212E-3"/>
                  <c:y val="0.2"/>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0691824164112437E-3"/>
                  <c:y val="0.19466666666666665"/>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3.3403764663382648E-3"/>
                  <c:y val="0.26124566531747639"/>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26"/>
              <c:layout>
                <c:manualLayout>
                  <c:x val="3.406813806448267E-3"/>
                  <c:y val="0.26338027519919488"/>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2.2712092042988428E-3"/>
                  <c:y val="0.26870108883957255"/>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28"/>
              <c:layout>
                <c:manualLayout>
                  <c:x val="2.3295888615064578E-3"/>
                  <c:y val="0.2660406820193788"/>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0.2607198683789913"/>
                </c:manualLayout>
              </c:layout>
              <c:showLegendKey val="0"/>
              <c:showVal val="1"/>
              <c:showCatName val="0"/>
              <c:showSerName val="0"/>
              <c:showPercent val="0"/>
              <c:showBubbleSize val="0"/>
              <c:extLst>
                <c:ext xmlns:c15="http://schemas.microsoft.com/office/drawing/2012/chart" uri="{CE6537A1-D6FC-4f65-9D91-7224C49458BB}"/>
              </c:extLst>
            </c:dLbl>
            <c:dLbl>
              <c:idx val="30"/>
              <c:layout>
                <c:manualLayout>
                  <c:x val="2.3586541667900951E-3"/>
                  <c:y val="0.27136149565977086"/>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'Rec. y dip. EI'!$A$6:$A$36</c:f>
              <c:numCache>
                <c:formatCode>mmm\-yy</c:formatCode>
                <c:ptCount val="31"/>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numCache>
            </c:numRef>
          </c:cat>
          <c:val>
            <c:numRef>
              <c:f>'Rec. y dip. EI'!$C$6:$C$36</c:f>
              <c:numCache>
                <c:formatCode>_(* #,##0.0_);_(* \(#,##0.0\);_(* "-"??_);_(@_)</c:formatCode>
                <c:ptCount val="31"/>
                <c:pt idx="0">
                  <c:v>0</c:v>
                </c:pt>
                <c:pt idx="1">
                  <c:v>0</c:v>
                </c:pt>
                <c:pt idx="2">
                  <c:v>0</c:v>
                </c:pt>
                <c:pt idx="3">
                  <c:v>0</c:v>
                </c:pt>
                <c:pt idx="4">
                  <c:v>0</c:v>
                </c:pt>
                <c:pt idx="5">
                  <c:v>0</c:v>
                </c:pt>
                <c:pt idx="6">
                  <c:v>0</c:v>
                </c:pt>
                <c:pt idx="7">
                  <c:v>0</c:v>
                </c:pt>
                <c:pt idx="8">
                  <c:v>1202000</c:v>
                </c:pt>
                <c:pt idx="9">
                  <c:v>1362000</c:v>
                </c:pt>
                <c:pt idx="10">
                  <c:v>1340000</c:v>
                </c:pt>
                <c:pt idx="11">
                  <c:v>1478000</c:v>
                </c:pt>
                <c:pt idx="12">
                  <c:v>1586000</c:v>
                </c:pt>
                <c:pt idx="13">
                  <c:v>2792000</c:v>
                </c:pt>
                <c:pt idx="14">
                  <c:v>3268000</c:v>
                </c:pt>
                <c:pt idx="15">
                  <c:v>3628000</c:v>
                </c:pt>
                <c:pt idx="16">
                  <c:v>3752000</c:v>
                </c:pt>
                <c:pt idx="17">
                  <c:v>4020000</c:v>
                </c:pt>
                <c:pt idx="18">
                  <c:v>4368000</c:v>
                </c:pt>
                <c:pt idx="19">
                  <c:v>4938000</c:v>
                </c:pt>
                <c:pt idx="20">
                  <c:v>4798000</c:v>
                </c:pt>
                <c:pt idx="21">
                  <c:v>4950000</c:v>
                </c:pt>
                <c:pt idx="22">
                  <c:v>5074000</c:v>
                </c:pt>
                <c:pt idx="23">
                  <c:v>5578000</c:v>
                </c:pt>
                <c:pt idx="24">
                  <c:v>5686000</c:v>
                </c:pt>
                <c:pt idx="25">
                  <c:v>8006000</c:v>
                </c:pt>
                <c:pt idx="26">
                  <c:v>0</c:v>
                </c:pt>
                <c:pt idx="27">
                  <c:v>0</c:v>
                </c:pt>
                <c:pt idx="28">
                  <c:v>8402000</c:v>
                </c:pt>
                <c:pt idx="29">
                  <c:v>8352000</c:v>
                </c:pt>
                <c:pt idx="30">
                  <c:v>8482000</c:v>
                </c:pt>
              </c:numCache>
            </c:numRef>
          </c:val>
        </c:ser>
        <c:dLbls>
          <c:showLegendKey val="0"/>
          <c:showVal val="0"/>
          <c:showCatName val="0"/>
          <c:showSerName val="0"/>
          <c:showPercent val="0"/>
          <c:showBubbleSize val="0"/>
        </c:dLbls>
        <c:gapWidth val="6"/>
        <c:shape val="cylinder"/>
        <c:axId val="281528328"/>
        <c:axId val="281528720"/>
        <c:axId val="0"/>
      </c:bar3DChart>
      <c:dateAx>
        <c:axId val="281528328"/>
        <c:scaling>
          <c:orientation val="minMax"/>
        </c:scaling>
        <c:delete val="0"/>
        <c:axPos val="b"/>
        <c:numFmt formatCode="mmm\-yy" sourceLinked="0"/>
        <c:majorTickMark val="none"/>
        <c:minorTickMark val="none"/>
        <c:tickLblPos val="nextTo"/>
        <c:txPr>
          <a:bodyPr/>
          <a:lstStyle/>
          <a:p>
            <a:pPr>
              <a:defRPr lang="en-US" sz="1050"/>
            </a:pPr>
            <a:endParaRPr lang="es-ES"/>
          </a:p>
        </c:txPr>
        <c:crossAx val="281528720"/>
        <c:crosses val="autoZero"/>
        <c:auto val="1"/>
        <c:lblOffset val="100"/>
        <c:baseTimeUnit val="months"/>
      </c:dateAx>
      <c:valAx>
        <c:axId val="28152872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81528328"/>
        <c:crosses val="autoZero"/>
        <c:crossBetween val="between"/>
        <c:dispUnits>
          <c:builtInUnit val="millions"/>
          <c:dispUnitsLbl>
            <c:txPr>
              <a:bodyPr/>
              <a:lstStyle/>
              <a:p>
                <a:pPr>
                  <a:defRPr lang="en-US"/>
                </a:pPr>
                <a:endParaRPr lang="es-ES"/>
              </a:p>
            </c:txPr>
          </c:dispUnitsLbl>
        </c:dispUnits>
      </c:valAx>
      <c:spPr>
        <a:noFill/>
        <a:ln w="25400">
          <a:noFill/>
        </a:ln>
      </c:spPr>
    </c:plotArea>
    <c:legend>
      <c:legendPos val="b"/>
      <c:layout>
        <c:manualLayout>
          <c:xMode val="edge"/>
          <c:yMode val="edge"/>
          <c:x val="0.42326206571658648"/>
          <c:y val="5.8194518513871021E-3"/>
          <c:w val="0.14680256479876358"/>
          <c:h val="4.6331419727912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39518515014056E-3"/>
          <c:y val="0.22577735368008289"/>
          <c:w val="0.97969779916582955"/>
          <c:h val="0.65888461526655229"/>
        </c:manualLayout>
      </c:layout>
      <c:bar3DChart>
        <c:barDir val="col"/>
        <c:grouping val="clustered"/>
        <c:varyColors val="0"/>
        <c:ser>
          <c:idx val="0"/>
          <c:order val="0"/>
          <c:tx>
            <c:strRef>
              <c:f>'IV.4.1.2 Afil. a EI (3)'!$B$3</c:f>
              <c:strCache>
                <c:ptCount val="1"/>
                <c:pt idx="0">
                  <c:v>Niños (as) Beneficiarios (as) de las EI</c:v>
                </c:pt>
              </c:strCache>
            </c:strRef>
          </c:tx>
          <c:invertIfNegative val="0"/>
          <c:dLbls>
            <c:spPr>
              <a:noFill/>
              <a:ln>
                <a:noFill/>
              </a:ln>
              <a:effectLst/>
            </c:spPr>
            <c:txPr>
              <a:bodyPr/>
              <a:lstStyle/>
              <a:p>
                <a:pPr>
                  <a:defRPr sz="1600" b="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'IV.4.1.2 Afil. a EI (3)'!$A$4:$A$23</c:f>
              <c:numCache>
                <c:formatCode>mmm\-yy</c:formatCode>
                <c:ptCount val="13"/>
                <c:pt idx="0">
                  <c:v>41244</c:v>
                </c:pt>
                <c:pt idx="1">
                  <c:v>41275</c:v>
                </c:pt>
                <c:pt idx="2">
                  <c:v>41306</c:v>
                </c:pt>
                <c:pt idx="3">
                  <c:v>41334</c:v>
                </c:pt>
                <c:pt idx="4">
                  <c:v>41365</c:v>
                </c:pt>
                <c:pt idx="5">
                  <c:v>41395</c:v>
                </c:pt>
                <c:pt idx="6">
                  <c:v>41426</c:v>
                </c:pt>
                <c:pt idx="7">
                  <c:v>41456</c:v>
                </c:pt>
                <c:pt idx="8">
                  <c:v>41487</c:v>
                </c:pt>
                <c:pt idx="9">
                  <c:v>41518</c:v>
                </c:pt>
                <c:pt idx="10">
                  <c:v>41548</c:v>
                </c:pt>
                <c:pt idx="11">
                  <c:v>41579</c:v>
                </c:pt>
                <c:pt idx="12">
                  <c:v>41609</c:v>
                </c:pt>
              </c:numCache>
            </c:numRef>
          </c:cat>
          <c:val>
            <c:numRef>
              <c:f>'IV.4.1.2 Afil. a EI (3)'!$B$4:$B$23</c:f>
              <c:numCache>
                <c:formatCode>#,##0</c:formatCode>
                <c:ptCount val="13"/>
                <c:pt idx="0">
                  <c:v>5894</c:v>
                </c:pt>
                <c:pt idx="1">
                  <c:v>5600</c:v>
                </c:pt>
                <c:pt idx="2">
                  <c:v>5499</c:v>
                </c:pt>
                <c:pt idx="3">
                  <c:v>5507</c:v>
                </c:pt>
                <c:pt idx="4">
                  <c:v>5567</c:v>
                </c:pt>
                <c:pt idx="5">
                  <c:v>5407</c:v>
                </c:pt>
                <c:pt idx="6">
                  <c:v>5338</c:v>
                </c:pt>
                <c:pt idx="7">
                  <c:v>5294</c:v>
                </c:pt>
                <c:pt idx="8">
                  <c:v>5377</c:v>
                </c:pt>
                <c:pt idx="9">
                  <c:v>5753</c:v>
                </c:pt>
                <c:pt idx="10">
                  <c:v>6415</c:v>
                </c:pt>
                <c:pt idx="11">
                  <c:v>6595</c:v>
                </c:pt>
                <c:pt idx="12">
                  <c:v>6516</c:v>
                </c:pt>
              </c:numCache>
            </c:numRef>
          </c:val>
        </c:ser>
        <c:ser>
          <c:idx val="1"/>
          <c:order val="1"/>
          <c:tx>
            <c:strRef>
              <c:f>'IV.4.1.2 Afil. a EI (3)'!$C$3</c:f>
              <c:strCache>
                <c:ptCount val="1"/>
                <c:pt idx="0">
                  <c:v>Niños cubiertos en pagos retroactivos</c:v>
                </c:pt>
              </c:strCache>
            </c:strRef>
          </c:tx>
          <c:invertIfNegative val="0"/>
          <c:dLbls>
            <c:dLbl>
              <c:idx val="0"/>
              <c:layout>
                <c:manualLayout>
                  <c:x val="8.3481681303532486E-3"/>
                  <c:y val="-9.387726213248114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481681303532486E-3"/>
                  <c:y val="-7.0407946599360862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7395294854121239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5654454202354996E-3"/>
                  <c:y val="-4.693863106624057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481681303532486E-3"/>
                  <c:y val="-7.040794659936086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56806775294374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481681303532486E-3"/>
                  <c:y val="-2.346931553312028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3481681303532486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7395294854121239E-3"/>
                  <c:y val="-2.3469315533120286E-3"/>
                </c:manualLayout>
              </c:layout>
              <c:showLegendKey val="0"/>
              <c:showVal val="1"/>
              <c:showCatName val="0"/>
              <c:showSerName val="0"/>
              <c:showPercent val="0"/>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layout>
                <c:manualLayout>
                  <c:x val="6.9568067752942726E-3"/>
                  <c:y val="0"/>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9.7395294854121239E-3"/>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8.545167457887656E-3"/>
                  <c:y val="-1.0992563574019985E-2"/>
                </c:manualLayout>
              </c:layout>
              <c:spPr/>
              <c:txPr>
                <a:bodyPr/>
                <a:lstStyle/>
                <a:p>
                  <a:pPr>
                    <a:defRPr sz="1400" b="1">
                      <a:solidFill>
                        <a:srgbClr val="FF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layout>
                <c:manualLayout>
                  <c:x val="8.7603062934178376E-3"/>
                  <c:y val="-2.71132366180699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'IV.4.1.2 Afil. a EI (3)'!$A$4:$A$23</c:f>
              <c:numCache>
                <c:formatCode>mmm\-yy</c:formatCode>
                <c:ptCount val="13"/>
                <c:pt idx="0">
                  <c:v>41244</c:v>
                </c:pt>
                <c:pt idx="1">
                  <c:v>41275</c:v>
                </c:pt>
                <c:pt idx="2">
                  <c:v>41306</c:v>
                </c:pt>
                <c:pt idx="3">
                  <c:v>41334</c:v>
                </c:pt>
                <c:pt idx="4">
                  <c:v>41365</c:v>
                </c:pt>
                <c:pt idx="5">
                  <c:v>41395</c:v>
                </c:pt>
                <c:pt idx="6">
                  <c:v>41426</c:v>
                </c:pt>
                <c:pt idx="7">
                  <c:v>41456</c:v>
                </c:pt>
                <c:pt idx="8">
                  <c:v>41487</c:v>
                </c:pt>
                <c:pt idx="9">
                  <c:v>41518</c:v>
                </c:pt>
                <c:pt idx="10">
                  <c:v>41548</c:v>
                </c:pt>
                <c:pt idx="11">
                  <c:v>41579</c:v>
                </c:pt>
                <c:pt idx="12">
                  <c:v>41609</c:v>
                </c:pt>
              </c:numCache>
            </c:numRef>
          </c:cat>
          <c:val>
            <c:numRef>
              <c:f>'IV.4.1.2 Afil. a EI (3)'!$C$4:$C$23</c:f>
              <c:numCache>
                <c:formatCode>#,##0</c:formatCode>
                <c:ptCount val="13"/>
                <c:pt idx="0">
                  <c:v>150</c:v>
                </c:pt>
                <c:pt idx="1">
                  <c:v>156</c:v>
                </c:pt>
                <c:pt idx="2">
                  <c:v>163</c:v>
                </c:pt>
                <c:pt idx="3">
                  <c:v>172</c:v>
                </c:pt>
                <c:pt idx="4">
                  <c:v>176</c:v>
                </c:pt>
                <c:pt idx="5">
                  <c:v>120</c:v>
                </c:pt>
                <c:pt idx="6">
                  <c:v>130</c:v>
                </c:pt>
                <c:pt idx="7">
                  <c:v>140</c:v>
                </c:pt>
                <c:pt idx="8">
                  <c:v>120</c:v>
                </c:pt>
                <c:pt idx="9">
                  <c:v>125</c:v>
                </c:pt>
                <c:pt idx="10">
                  <c:v>119</c:v>
                </c:pt>
                <c:pt idx="11">
                  <c:v>149</c:v>
                </c:pt>
                <c:pt idx="12">
                  <c:v>132</c:v>
                </c:pt>
              </c:numCache>
            </c:numRef>
          </c:val>
        </c:ser>
        <c:ser>
          <c:idx val="2"/>
          <c:order val="2"/>
          <c:tx>
            <c:strRef>
              <c:f>'IV.4.1.2 Afil. a EI (3)'!$D$3</c:f>
              <c:strCache>
                <c:ptCount val="1"/>
                <c:pt idx="0">
                  <c:v>Estancias habilitadas</c:v>
                </c:pt>
              </c:strCache>
            </c:strRef>
          </c:tx>
          <c:invertIfNegative val="0"/>
          <c:dLbls>
            <c:dLbl>
              <c:idx val="0"/>
              <c:layout>
                <c:manualLayout>
                  <c:x val="7.115948212706326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1159482127063382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159482127063382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7439654751375588E-3"/>
                  <c:y val="-2.593440963175384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9299568439219047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1594821270633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019395814907283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1159482127063382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1159482127063382E-3"/>
                  <c:y val="0"/>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5.9299568439219481E-3"/>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3019395814907283E-3"/>
                  <c:y val="0"/>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7439654751375588E-3"/>
                  <c:y val="-9.5091736808572664E-17"/>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807127074090136E-2"/>
                  <c:y val="-2.593398766735967E-3"/>
                </c:manualLayout>
              </c:layout>
              <c:spPr/>
              <c:txPr>
                <a:bodyPr/>
                <a:lstStyle/>
                <a:p>
                  <a:pPr>
                    <a:defRPr sz="1400" b="1">
                      <a:solidFill>
                        <a:schemeClr val="accent3">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'IV.4.1.2 Afil. a EI (3)'!$A$4:$A$23</c:f>
              <c:numCache>
                <c:formatCode>mmm\-yy</c:formatCode>
                <c:ptCount val="13"/>
                <c:pt idx="0">
                  <c:v>41244</c:v>
                </c:pt>
                <c:pt idx="1">
                  <c:v>41275</c:v>
                </c:pt>
                <c:pt idx="2">
                  <c:v>41306</c:v>
                </c:pt>
                <c:pt idx="3">
                  <c:v>41334</c:v>
                </c:pt>
                <c:pt idx="4">
                  <c:v>41365</c:v>
                </c:pt>
                <c:pt idx="5">
                  <c:v>41395</c:v>
                </c:pt>
                <c:pt idx="6">
                  <c:v>41426</c:v>
                </c:pt>
                <c:pt idx="7">
                  <c:v>41456</c:v>
                </c:pt>
                <c:pt idx="8">
                  <c:v>41487</c:v>
                </c:pt>
                <c:pt idx="9">
                  <c:v>41518</c:v>
                </c:pt>
                <c:pt idx="10">
                  <c:v>41548</c:v>
                </c:pt>
                <c:pt idx="11">
                  <c:v>41579</c:v>
                </c:pt>
                <c:pt idx="12">
                  <c:v>41609</c:v>
                </c:pt>
              </c:numCache>
            </c:numRef>
          </c:cat>
          <c:val>
            <c:numRef>
              <c:f>'IV.4.1.2 Afil. a EI (3)'!$D$4:$D$23</c:f>
              <c:numCache>
                <c:formatCode>#,##0</c:formatCode>
                <c:ptCount val="13"/>
                <c:pt idx="0">
                  <c:v>91</c:v>
                </c:pt>
                <c:pt idx="1">
                  <c:v>90</c:v>
                </c:pt>
                <c:pt idx="2">
                  <c:v>90</c:v>
                </c:pt>
                <c:pt idx="3">
                  <c:v>90</c:v>
                </c:pt>
                <c:pt idx="4">
                  <c:v>90</c:v>
                </c:pt>
                <c:pt idx="5">
                  <c:v>86</c:v>
                </c:pt>
                <c:pt idx="6">
                  <c:v>86</c:v>
                </c:pt>
                <c:pt idx="7">
                  <c:v>86</c:v>
                </c:pt>
                <c:pt idx="8">
                  <c:v>86</c:v>
                </c:pt>
                <c:pt idx="9">
                  <c:v>90</c:v>
                </c:pt>
                <c:pt idx="10">
                  <c:v>88</c:v>
                </c:pt>
                <c:pt idx="11">
                  <c:v>94</c:v>
                </c:pt>
                <c:pt idx="12">
                  <c:v>93</c:v>
                </c:pt>
              </c:numCache>
            </c:numRef>
          </c:val>
        </c:ser>
        <c:dLbls>
          <c:showLegendKey val="0"/>
          <c:showVal val="0"/>
          <c:showCatName val="0"/>
          <c:showSerName val="0"/>
          <c:showPercent val="0"/>
          <c:showBubbleSize val="0"/>
        </c:dLbls>
        <c:gapWidth val="75"/>
        <c:shape val="cylinder"/>
        <c:axId val="281529504"/>
        <c:axId val="281529896"/>
        <c:axId val="0"/>
      </c:bar3DChart>
      <c:dateAx>
        <c:axId val="281529504"/>
        <c:scaling>
          <c:orientation val="minMax"/>
        </c:scaling>
        <c:delete val="0"/>
        <c:axPos val="b"/>
        <c:numFmt formatCode="mmm\-yy" sourceLinked="0"/>
        <c:majorTickMark val="none"/>
        <c:minorTickMark val="none"/>
        <c:tickLblPos val="nextTo"/>
        <c:txPr>
          <a:bodyPr/>
          <a:lstStyle/>
          <a:p>
            <a:pPr>
              <a:defRPr sz="1400"/>
            </a:pPr>
            <a:endParaRPr lang="es-ES"/>
          </a:p>
        </c:txPr>
        <c:crossAx val="281529896"/>
        <c:crosses val="autoZero"/>
        <c:auto val="0"/>
        <c:lblOffset val="100"/>
        <c:baseTimeUnit val="months"/>
      </c:dateAx>
      <c:valAx>
        <c:axId val="281529896"/>
        <c:scaling>
          <c:orientation val="minMax"/>
        </c:scaling>
        <c:delete val="1"/>
        <c:axPos val="r"/>
        <c:numFmt formatCode="#,##0" sourceLinked="1"/>
        <c:majorTickMark val="out"/>
        <c:minorTickMark val="none"/>
        <c:tickLblPos val="nextTo"/>
        <c:crossAx val="281529504"/>
        <c:crosses val="max"/>
        <c:crossBetween val="between"/>
      </c:valAx>
    </c:plotArea>
    <c:legend>
      <c:legendPos val="t"/>
      <c:layout>
        <c:manualLayout>
          <c:xMode val="edge"/>
          <c:yMode val="edge"/>
          <c:x val="6.2743831341896456E-2"/>
          <c:y val="7.9592633080588157E-2"/>
          <c:w val="0.90660759361844745"/>
          <c:h val="5.1576475797961562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Estancias Infantiles Habilitadas para la Afiliación de Hijos de</a:t>
            </a:r>
          </a:p>
          <a:p>
            <a:pPr>
              <a:defRPr sz="2400"/>
            </a:pPr>
            <a:r>
              <a:rPr lang="es-DO" sz="2400"/>
              <a:t> Trabajadores Afiliados al RC</a:t>
            </a:r>
          </a:p>
        </c:rich>
      </c:tx>
      <c:layout>
        <c:manualLayout>
          <c:xMode val="edge"/>
          <c:yMode val="edge"/>
          <c:x val="0.24527695382977133"/>
          <c:y val="2.811244624324748E-2"/>
        </c:manualLayout>
      </c:layout>
      <c:overlay val="1"/>
    </c:title>
    <c:autoTitleDeleted val="0"/>
    <c:plotArea>
      <c:layout>
        <c:manualLayout>
          <c:layoutTarget val="inner"/>
          <c:xMode val="edge"/>
          <c:yMode val="edge"/>
          <c:x val="5.3220603240628742E-4"/>
          <c:y val="0.37983810772689403"/>
          <c:w val="0.96724854676805694"/>
          <c:h val="0.47914676290715458"/>
        </c:manualLayout>
      </c:layout>
      <c:barChart>
        <c:barDir val="col"/>
        <c:grouping val="stacked"/>
        <c:varyColors val="0"/>
        <c:ser>
          <c:idx val="0"/>
          <c:order val="0"/>
          <c:tx>
            <c:strRef>
              <c:f>'IV.4.1.4 EI Estancias'!$B$3</c:f>
              <c:strCache>
                <c:ptCount val="1"/>
                <c:pt idx="0">
                  <c:v>Cogestión</c:v>
                </c:pt>
              </c:strCache>
            </c:strRef>
          </c:tx>
          <c:invertIfNegative val="0"/>
          <c:dLbls>
            <c:dLbl>
              <c:idx val="0"/>
              <c:layout>
                <c:manualLayout>
                  <c:x val="0"/>
                  <c:y val="7.4753445975651129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9.5141020717818777E-4"/>
                  <c:y val="2.679501826241593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184432906728570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566357927634602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8033820077552515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sz="18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'IV.4.1.4 EI Estancias'!$A$4:$A$10</c:f>
              <c:numCache>
                <c:formatCode>mmm\-yy</c:formatCode>
                <c:ptCount val="6"/>
                <c:pt idx="0">
                  <c:v>39965</c:v>
                </c:pt>
                <c:pt idx="1">
                  <c:v>40148</c:v>
                </c:pt>
                <c:pt idx="2">
                  <c:v>40513</c:v>
                </c:pt>
                <c:pt idx="3">
                  <c:v>40878</c:v>
                </c:pt>
                <c:pt idx="4">
                  <c:v>41244</c:v>
                </c:pt>
                <c:pt idx="5">
                  <c:v>41609</c:v>
                </c:pt>
              </c:numCache>
            </c:numRef>
          </c:cat>
          <c:val>
            <c:numRef>
              <c:f>'IV.4.1.4 EI Estancias'!$B$4:$B$10</c:f>
              <c:numCache>
                <c:formatCode>_(* #,##0_);_(* \(#,##0\);_(* "-"_);_(@_)</c:formatCode>
                <c:ptCount val="6"/>
                <c:pt idx="0">
                  <c:v>7</c:v>
                </c:pt>
                <c:pt idx="1">
                  <c:v>7</c:v>
                </c:pt>
                <c:pt idx="2" formatCode="#,##0">
                  <c:v>7</c:v>
                </c:pt>
                <c:pt idx="3" formatCode="#,##0">
                  <c:v>7</c:v>
                </c:pt>
                <c:pt idx="4" formatCode="#,##0">
                  <c:v>8</c:v>
                </c:pt>
                <c:pt idx="5" formatCode="#,##0">
                  <c:v>8</c:v>
                </c:pt>
              </c:numCache>
            </c:numRef>
          </c:val>
        </c:ser>
        <c:ser>
          <c:idx val="1"/>
          <c:order val="1"/>
          <c:tx>
            <c:strRef>
              <c:f>'IV.4.1.4 EI Estancias'!$C$3</c:f>
              <c:strCache>
                <c:ptCount val="1"/>
                <c:pt idx="0">
                  <c:v>Propias </c:v>
                </c:pt>
              </c:strCache>
            </c:strRef>
          </c:tx>
          <c:spPr>
            <a:solidFill>
              <a:schemeClr val="accent5">
                <a:lumMod val="50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'IV.4.1.4 EI Estancias'!$A$4:$A$10</c:f>
              <c:numCache>
                <c:formatCode>mmm\-yy</c:formatCode>
                <c:ptCount val="6"/>
                <c:pt idx="0">
                  <c:v>39965</c:v>
                </c:pt>
                <c:pt idx="1">
                  <c:v>40148</c:v>
                </c:pt>
                <c:pt idx="2">
                  <c:v>40513</c:v>
                </c:pt>
                <c:pt idx="3">
                  <c:v>40878</c:v>
                </c:pt>
                <c:pt idx="4">
                  <c:v>41244</c:v>
                </c:pt>
                <c:pt idx="5">
                  <c:v>41609</c:v>
                </c:pt>
              </c:numCache>
            </c:numRef>
          </c:cat>
          <c:val>
            <c:numRef>
              <c:f>'IV.4.1.4 EI Estancias'!$C$4:$C$10</c:f>
              <c:numCache>
                <c:formatCode>_(* #,##0_);_(* \(#,##0\);_(* "-"_);_(@_)</c:formatCode>
                <c:ptCount val="6"/>
                <c:pt idx="0">
                  <c:v>16</c:v>
                </c:pt>
                <c:pt idx="1">
                  <c:v>22</c:v>
                </c:pt>
                <c:pt idx="2">
                  <c:v>24</c:v>
                </c:pt>
                <c:pt idx="3" formatCode="#,##0">
                  <c:v>24</c:v>
                </c:pt>
                <c:pt idx="4" formatCode="#,##0">
                  <c:v>27</c:v>
                </c:pt>
                <c:pt idx="5" formatCode="#,##0">
                  <c:v>28</c:v>
                </c:pt>
              </c:numCache>
            </c:numRef>
          </c:val>
        </c:ser>
        <c:ser>
          <c:idx val="2"/>
          <c:order val="2"/>
          <c:tx>
            <c:strRef>
              <c:f>'IV.4.1.4 EI Estancias'!$D$3</c:f>
              <c:strCache>
                <c:ptCount val="1"/>
                <c:pt idx="0">
                  <c:v>Subrogadas</c:v>
                </c:pt>
              </c:strCache>
            </c:strRef>
          </c:tx>
          <c:invertIfNegative val="0"/>
          <c:dLbls>
            <c:dLbl>
              <c:idx val="0"/>
              <c:layout>
                <c:manualLayout>
                  <c:x val="9.5141020717818777E-4"/>
                  <c:y val="-1.159180419891049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'IV.4.1.4 EI Estancias'!$A$4:$A$10</c:f>
              <c:numCache>
                <c:formatCode>mmm\-yy</c:formatCode>
                <c:ptCount val="6"/>
                <c:pt idx="0">
                  <c:v>39965</c:v>
                </c:pt>
                <c:pt idx="1">
                  <c:v>40148</c:v>
                </c:pt>
                <c:pt idx="2">
                  <c:v>40513</c:v>
                </c:pt>
                <c:pt idx="3">
                  <c:v>40878</c:v>
                </c:pt>
                <c:pt idx="4">
                  <c:v>41244</c:v>
                </c:pt>
                <c:pt idx="5">
                  <c:v>41609</c:v>
                </c:pt>
              </c:numCache>
            </c:numRef>
          </c:cat>
          <c:val>
            <c:numRef>
              <c:f>'IV.4.1.4 EI Estancias'!$D$4:$D$10</c:f>
              <c:numCache>
                <c:formatCode>_(* #,##0_);_(* \(#,##0\);_(* "-"??_);_(@_)</c:formatCode>
                <c:ptCount val="6"/>
                <c:pt idx="0">
                  <c:v>1</c:v>
                </c:pt>
                <c:pt idx="1">
                  <c:v>10</c:v>
                </c:pt>
                <c:pt idx="2">
                  <c:v>55</c:v>
                </c:pt>
                <c:pt idx="3">
                  <c:v>57</c:v>
                </c:pt>
                <c:pt idx="4">
                  <c:v>57</c:v>
                </c:pt>
                <c:pt idx="5">
                  <c:v>57</c:v>
                </c:pt>
              </c:numCache>
            </c:numRef>
          </c:val>
        </c:ser>
        <c:ser>
          <c:idx val="3"/>
          <c:order val="3"/>
          <c:tx>
            <c:strRef>
              <c:f>'IV.4.1.4 EI Estancias'!$E$3</c:f>
              <c:strCache>
                <c:ptCount val="1"/>
                <c:pt idx="0">
                  <c:v>En Construcción</c:v>
                </c:pt>
              </c:strCache>
            </c:strRef>
          </c:tx>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'IV.4.1.4 EI Estancias'!$A$4:$A$10</c:f>
              <c:numCache>
                <c:formatCode>mmm\-yy</c:formatCode>
                <c:ptCount val="6"/>
                <c:pt idx="0">
                  <c:v>39965</c:v>
                </c:pt>
                <c:pt idx="1">
                  <c:v>40148</c:v>
                </c:pt>
                <c:pt idx="2">
                  <c:v>40513</c:v>
                </c:pt>
                <c:pt idx="3">
                  <c:v>40878</c:v>
                </c:pt>
                <c:pt idx="4">
                  <c:v>41244</c:v>
                </c:pt>
                <c:pt idx="5">
                  <c:v>41609</c:v>
                </c:pt>
              </c:numCache>
            </c:numRef>
          </c:cat>
          <c:val>
            <c:numRef>
              <c:f>'IV.4.1.4 EI Estancias'!$E$4:$E$10</c:f>
              <c:numCache>
                <c:formatCode>_([$€-2]* #,##0.0000_);_([$€-2]* \(#,##0.0000\);_([$€-2]* "-"??_)</c:formatCode>
                <c:ptCount val="6"/>
                <c:pt idx="3" formatCode="_(* #,##0_);_(* \(#,##0\);_(* &quot;-&quot;??_);_(@_)">
                  <c:v>5</c:v>
                </c:pt>
              </c:numCache>
            </c:numRef>
          </c:val>
        </c:ser>
        <c:dLbls>
          <c:showLegendKey val="0"/>
          <c:showVal val="0"/>
          <c:showCatName val="0"/>
          <c:showSerName val="0"/>
          <c:showPercent val="0"/>
          <c:showBubbleSize val="0"/>
        </c:dLbls>
        <c:gapWidth val="74"/>
        <c:overlap val="100"/>
        <c:axId val="281530680"/>
        <c:axId val="281531072"/>
      </c:barChart>
      <c:catAx>
        <c:axId val="281530680"/>
        <c:scaling>
          <c:orientation val="minMax"/>
        </c:scaling>
        <c:delete val="0"/>
        <c:axPos val="b"/>
        <c:numFmt formatCode="mmm\-yy" sourceLinked="1"/>
        <c:majorTickMark val="none"/>
        <c:minorTickMark val="none"/>
        <c:tickLblPos val="nextTo"/>
        <c:txPr>
          <a:bodyPr rot="0" vert="horz"/>
          <a:lstStyle/>
          <a:p>
            <a:pPr>
              <a:defRPr sz="1600"/>
            </a:pPr>
            <a:endParaRPr lang="es-ES"/>
          </a:p>
        </c:txPr>
        <c:crossAx val="281531072"/>
        <c:crosses val="autoZero"/>
        <c:auto val="0"/>
        <c:lblAlgn val="ctr"/>
        <c:lblOffset val="100"/>
        <c:noMultiLvlLbl val="0"/>
      </c:catAx>
      <c:valAx>
        <c:axId val="281531072"/>
        <c:scaling>
          <c:orientation val="minMax"/>
        </c:scaling>
        <c:delete val="1"/>
        <c:axPos val="l"/>
        <c:numFmt formatCode="_(* #,##0_);_(* \(#,##0\);_(* &quot;-&quot;_);_(@_)" sourceLinked="1"/>
        <c:majorTickMark val="out"/>
        <c:minorTickMark val="none"/>
        <c:tickLblPos val="nextTo"/>
        <c:crossAx val="281530680"/>
        <c:crosses val="autoZero"/>
        <c:crossBetween val="between"/>
      </c:valAx>
    </c:plotArea>
    <c:legend>
      <c:legendPos val="t"/>
      <c:layout>
        <c:manualLayout>
          <c:xMode val="edge"/>
          <c:yMode val="edge"/>
          <c:x val="6.00914674527172E-2"/>
          <c:y val="0.16043293462358393"/>
          <c:w val="0.90690473597018284"/>
          <c:h val="4.1265077714342305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600"/>
            </a:pPr>
            <a:r>
              <a:rPr lang="es-DO" sz="1600"/>
              <a:t>Afiliados (as) Beneficiarios por Subsidio de Maternidad, </a:t>
            </a:r>
          </a:p>
          <a:p>
            <a:pPr>
              <a:defRPr sz="1600"/>
            </a:pPr>
            <a:r>
              <a:rPr lang="es-DO" sz="1600"/>
              <a:t>Lactancia y Enfermedad Común</a:t>
            </a:r>
          </a:p>
        </c:rich>
      </c:tx>
      <c:layout>
        <c:manualLayout>
          <c:xMode val="edge"/>
          <c:yMode val="edge"/>
          <c:x val="0.27969452586561622"/>
          <c:y val="1.9444440191504771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'IV.4.2.1 Benef. subsid'!$A$4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'IV.4.2.1 Benef. subsid'!$B$3:$H$3</c:f>
              <c:numCache>
                <c:formatCode>General</c:formatCode>
                <c:ptCount val="7"/>
                <c:pt idx="0">
                  <c:v>2008</c:v>
                </c:pt>
                <c:pt idx="1">
                  <c:v>2009</c:v>
                </c:pt>
                <c:pt idx="2">
                  <c:v>2010</c:v>
                </c:pt>
                <c:pt idx="3">
                  <c:v>2011</c:v>
                </c:pt>
                <c:pt idx="4">
                  <c:v>2012</c:v>
                </c:pt>
                <c:pt idx="5">
                  <c:v>2013</c:v>
                </c:pt>
                <c:pt idx="6">
                  <c:v>2014</c:v>
                </c:pt>
              </c:numCache>
            </c:numRef>
          </c:cat>
          <c:val>
            <c:numRef>
              <c:f>'IV.4.2.1 Benef. subsid'!$B$4:$H$4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'IV.4.2.1 Benef. subsid'!$A$5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'IV.4.2.1 Benef. subsid'!$B$3:$H$3</c:f>
              <c:numCache>
                <c:formatCode>General</c:formatCode>
                <c:ptCount val="7"/>
                <c:pt idx="0">
                  <c:v>2008</c:v>
                </c:pt>
                <c:pt idx="1">
                  <c:v>2009</c:v>
                </c:pt>
                <c:pt idx="2">
                  <c:v>2010</c:v>
                </c:pt>
                <c:pt idx="3">
                  <c:v>2011</c:v>
                </c:pt>
                <c:pt idx="4">
                  <c:v>2012</c:v>
                </c:pt>
                <c:pt idx="5">
                  <c:v>2013</c:v>
                </c:pt>
                <c:pt idx="6">
                  <c:v>2014</c:v>
                </c:pt>
              </c:numCache>
            </c:numRef>
          </c:cat>
          <c:val>
            <c:numRef>
              <c:f>'IV.4.2.1 Benef. subsid'!$B$5:$H$5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'IV.4.2.1 Benef. subsid'!$A$6</c:f>
              <c:strCache>
                <c:ptCount val="1"/>
                <c:pt idx="0">
                  <c:v>Enfermedad Común</c:v>
                </c:pt>
              </c:strCache>
            </c:strRef>
          </c:tx>
          <c:spPr>
            <a:solidFill>
              <a:schemeClr val="accent5">
                <a:lumMod val="50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'IV.4.2.1 Benef. subsid'!$B$3:$H$3</c:f>
              <c:numCache>
                <c:formatCode>General</c:formatCode>
                <c:ptCount val="7"/>
                <c:pt idx="0">
                  <c:v>2008</c:v>
                </c:pt>
                <c:pt idx="1">
                  <c:v>2009</c:v>
                </c:pt>
                <c:pt idx="2">
                  <c:v>2010</c:v>
                </c:pt>
                <c:pt idx="3">
                  <c:v>2011</c:v>
                </c:pt>
                <c:pt idx="4">
                  <c:v>2012</c:v>
                </c:pt>
                <c:pt idx="5">
                  <c:v>2013</c:v>
                </c:pt>
                <c:pt idx="6">
                  <c:v>2014</c:v>
                </c:pt>
              </c:numCache>
            </c:numRef>
          </c:cat>
          <c:val>
            <c:numRef>
              <c:f>'IV.4.2.1 Benef. subsid'!$B$6:$H$6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281531856"/>
        <c:axId val="281532248"/>
        <c:axId val="0"/>
      </c:bar3DChart>
      <c:catAx>
        <c:axId val="281531856"/>
        <c:scaling>
          <c:orientation val="minMax"/>
        </c:scaling>
        <c:delete val="0"/>
        <c:axPos val="b"/>
        <c:numFmt formatCode="General" sourceLinked="1"/>
        <c:majorTickMark val="none"/>
        <c:minorTickMark val="none"/>
        <c:tickLblPos val="nextTo"/>
        <c:txPr>
          <a:bodyPr/>
          <a:lstStyle/>
          <a:p>
            <a:pPr>
              <a:defRPr sz="1200"/>
            </a:pPr>
            <a:endParaRPr lang="es-ES"/>
          </a:p>
        </c:txPr>
        <c:crossAx val="281532248"/>
        <c:crosses val="autoZero"/>
        <c:auto val="1"/>
        <c:lblAlgn val="ctr"/>
        <c:lblOffset val="100"/>
        <c:noMultiLvlLbl val="0"/>
      </c:catAx>
      <c:valAx>
        <c:axId val="281532248"/>
        <c:scaling>
          <c:orientation val="minMax"/>
        </c:scaling>
        <c:delete val="1"/>
        <c:axPos val="l"/>
        <c:numFmt formatCode="_(* #,##0_);_(* \(#,##0\);_(* &quot;-&quot;_);_(@_)" sourceLinked="1"/>
        <c:majorTickMark val="out"/>
        <c:minorTickMark val="none"/>
        <c:tickLblPos val="nextTo"/>
        <c:crossAx val="281531856"/>
        <c:crosses val="autoZero"/>
        <c:crossBetween val="between"/>
      </c:valAx>
      <c:spPr>
        <a:noFill/>
        <a:ln w="25400">
          <a:noFill/>
        </a:ln>
      </c:spPr>
    </c:plotArea>
    <c:legend>
      <c:legendPos val="t"/>
      <c:layout>
        <c:manualLayout>
          <c:xMode val="edge"/>
          <c:yMode val="edge"/>
          <c:x val="0.16949878496525342"/>
          <c:y val="0.18312222591377383"/>
          <c:w val="0.67802039168180905"/>
          <c:h val="6.968857464245541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HOME!A1"/><Relationship Id="rId5" Type="http://schemas.openxmlformats.org/officeDocument/2006/relationships/chart" Target="../charts/chart9.xml"/><Relationship Id="rId4" Type="http://schemas.openxmlformats.org/officeDocument/2006/relationships/chart" Target="../charts/chart8.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69.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4.png"/><Relationship Id="rId1" Type="http://schemas.openxmlformats.org/officeDocument/2006/relationships/hyperlink" Target="#Contenido!A52"/></Relationships>
</file>

<file path=xl/drawings/_rels/drawing104.xml.rels><?xml version="1.0" encoding="UTF-8" standalone="yes"?>
<Relationships xmlns="http://schemas.openxmlformats.org/package/2006/relationships"><Relationship Id="rId3" Type="http://schemas.openxmlformats.org/officeDocument/2006/relationships/hyperlink" Target="#Contenido!A53"/><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11.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4"/><Relationship Id="rId1" Type="http://schemas.openxmlformats.org/officeDocument/2006/relationships/chart" Target="../charts/chart73.xml"/><Relationship Id="rId4" Type="http://schemas.openxmlformats.org/officeDocument/2006/relationships/chart" Target="../charts/chart74.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5"/><Relationship Id="rId1" Type="http://schemas.openxmlformats.org/officeDocument/2006/relationships/chart" Target="../charts/chart75.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7"/><Relationship Id="rId1" Type="http://schemas.openxmlformats.org/officeDocument/2006/relationships/chart" Target="../charts/chart7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2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83.xml"/></Relationships>
</file>

<file path=xl/drawings/_rels/drawing12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84.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85.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86.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88.xml"/><Relationship Id="rId1" Type="http://schemas.openxmlformats.org/officeDocument/2006/relationships/chart" Target="../charts/chart87.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8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6"/></Relationships>
</file>

<file path=xl/drawings/_rels/drawing1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90.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91.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2"/><Relationship Id="rId1" Type="http://schemas.openxmlformats.org/officeDocument/2006/relationships/chart" Target="../charts/chart92.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7.xml.rels><?xml version="1.0" encoding="UTF-8" standalone="yes"?>
<Relationships xmlns="http://schemas.openxmlformats.org/package/2006/relationships"><Relationship Id="rId3" Type="http://schemas.openxmlformats.org/officeDocument/2006/relationships/hyperlink" Target="#Contenido!A65"/><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93.xml"/></Relationships>
</file>

<file path=xl/drawings/_rels/drawing138.xml.rels><?xml version="1.0" encoding="UTF-8" standalone="yes"?>
<Relationships xmlns="http://schemas.openxmlformats.org/package/2006/relationships"><Relationship Id="rId3" Type="http://schemas.openxmlformats.org/officeDocument/2006/relationships/hyperlink" Target="#Contenido!A66"/><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94.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67"/></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96.xml"/></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66"/><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97.xml"/></Relationships>
</file>

<file path=xl/drawings/_rels/drawing143.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8"/></Relationships>
</file>

<file path=xl/drawings/_rels/drawing14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15.png"/><Relationship Id="rId1" Type="http://schemas.openxmlformats.org/officeDocument/2006/relationships/hyperlink" Target="#Contenido!A70"/></Relationships>
</file>

<file path=xl/drawings/_rels/drawing14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INDICE!A1"/></Relationships>
</file>

<file path=xl/drawings/_rels/drawing14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7"/></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74"/><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101.xml"/></Relationships>
</file>

<file path=xl/drawings/_rels/drawing15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75"/></Relationships>
</file>

<file path=xl/drawings/_rels/drawing152.xml.rels><?xml version="1.0" encoding="UTF-8" standalone="yes"?>
<Relationships xmlns="http://schemas.openxmlformats.org/package/2006/relationships"><Relationship Id="rId3" Type="http://schemas.openxmlformats.org/officeDocument/2006/relationships/image" Target="../media/image16.gif"/><Relationship Id="rId2" Type="http://schemas.openxmlformats.org/officeDocument/2006/relationships/image" Target="../media/image4.png"/><Relationship Id="rId1" Type="http://schemas.openxmlformats.org/officeDocument/2006/relationships/hyperlink" Target="#Contenido!A76"/><Relationship Id="rId4" Type="http://schemas.openxmlformats.org/officeDocument/2006/relationships/chart" Target="../charts/chart103.xml"/></Relationships>
</file>

<file path=xl/drawings/_rels/drawing153.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image" Target="../media/image17.png"/><Relationship Id="rId1" Type="http://schemas.openxmlformats.org/officeDocument/2006/relationships/hyperlink" Target="#Contenido!A81"/></Relationships>
</file>

<file path=xl/drawings/_rels/drawing154.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image" Target="../media/image4.png"/><Relationship Id="rId1" Type="http://schemas.openxmlformats.org/officeDocument/2006/relationships/hyperlink" Target="#Contenido!A77"/></Relationships>
</file>

<file path=xl/drawings/_rels/drawing155.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78"/></Relationships>
</file>

<file path=xl/drawings/_rels/drawing156.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image" Target="../media/image4.png"/><Relationship Id="rId1" Type="http://schemas.openxmlformats.org/officeDocument/2006/relationships/hyperlink" Target="#Contenido!A78"/></Relationships>
</file>

<file path=xl/drawings/_rels/drawing158.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image" Target="../media/image4.png"/><Relationship Id="rId1" Type="http://schemas.openxmlformats.org/officeDocument/2006/relationships/hyperlink" Target="#Contenido!A79"/></Relationships>
</file>

<file path=xl/drawings/_rels/drawing160.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image" Target="../media/image4.png"/><Relationship Id="rId1" Type="http://schemas.openxmlformats.org/officeDocument/2006/relationships/hyperlink" Target="#Contenido!A80"/></Relationships>
</file>

<file path=xl/drawings/_rels/drawing161.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image" Target="../media/image18.png"/><Relationship Id="rId1" Type="http://schemas.openxmlformats.org/officeDocument/2006/relationships/hyperlink" Target="#Contenido!A81"/></Relationships>
</file>

<file path=xl/drawings/_rels/drawing163.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image" Target="../media/image4.png"/><Relationship Id="rId1" Type="http://schemas.openxmlformats.org/officeDocument/2006/relationships/hyperlink" Target="#Contenido!A78"/></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11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113.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1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Contenido!A8"/></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16.xml"/><Relationship Id="rId1" Type="http://schemas.openxmlformats.org/officeDocument/2006/relationships/chart" Target="../charts/chart115.xml"/><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image" Target="../media/image4.png"/><Relationship Id="rId1" Type="http://schemas.openxmlformats.org/officeDocument/2006/relationships/hyperlink" Target="#Contenido!A88"/><Relationship Id="rId4" Type="http://schemas.openxmlformats.org/officeDocument/2006/relationships/chart" Target="../charts/chart118.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120.xml"/><Relationship Id="rId1" Type="http://schemas.openxmlformats.org/officeDocument/2006/relationships/chart" Target="../charts/chart119.xml"/><Relationship Id="rId4"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image" Target="../media/image4.png"/><Relationship Id="rId1" Type="http://schemas.openxmlformats.org/officeDocument/2006/relationships/hyperlink" Target="#Contenido!A91"/></Relationships>
</file>

<file path=xl/drawings/_rels/drawing17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80.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image" Target="../media/image4.png"/><Relationship Id="rId1" Type="http://schemas.openxmlformats.org/officeDocument/2006/relationships/hyperlink" Target="#Contenido!A93"/></Relationships>
</file>

<file path=xl/drawings/_rels/drawing181.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image" Target="../media/image4.png"/><Relationship Id="rId1" Type="http://schemas.openxmlformats.org/officeDocument/2006/relationships/hyperlink" Target="#Contenido!A95"/></Relationships>
</file>

<file path=xl/drawings/_rels/drawing18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95"/><Relationship Id="rId1" Type="http://schemas.openxmlformats.org/officeDocument/2006/relationships/chart" Target="../charts/chart127.xml"/></Relationships>
</file>

<file path=xl/drawings/_rels/drawing18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128.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12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9"/></Relationships>
</file>

<file path=xl/drawings/_rels/drawing19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130.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99"/><Relationship Id="rId2" Type="http://schemas.openxmlformats.org/officeDocument/2006/relationships/image" Target="../media/image4.png"/><Relationship Id="rId1" Type="http://schemas.openxmlformats.org/officeDocument/2006/relationships/hyperlink" Target="#HOME!A1"/><Relationship Id="rId6" Type="http://schemas.microsoft.com/office/2007/relationships/hdphoto" Target="../media/hdphoto2.wdp"/><Relationship Id="rId5" Type="http://schemas.openxmlformats.org/officeDocument/2006/relationships/image" Target="../media/image21.png"/><Relationship Id="rId4" Type="http://schemas.openxmlformats.org/officeDocument/2006/relationships/chart" Target="../charts/chart13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132.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133.xml"/></Relationships>
</file>

<file path=xl/drawings/_rels/drawing199.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Contenido!A106"/><Relationship Id="rId1" Type="http://schemas.openxmlformats.org/officeDocument/2006/relationships/chart" Target="../charts/chart135.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136.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137.xml"/></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13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139.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image" Target="../media/image23.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11"/></Relationships>
</file>

<file path=xl/drawings/_rels/drawing2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2"/><Relationship Id="rId1" Type="http://schemas.openxmlformats.org/officeDocument/2006/relationships/chart" Target="../charts/chart141.xml"/></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3"/><Relationship Id="rId1" Type="http://schemas.openxmlformats.org/officeDocument/2006/relationships/chart" Target="../charts/chart14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Relationship Id="rId1" Type="http://schemas.openxmlformats.org/officeDocument/2006/relationships/chart" Target="../charts/chart14.xml"/></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5"/><Relationship Id="rId1" Type="http://schemas.openxmlformats.org/officeDocument/2006/relationships/chart" Target="../charts/chart143.xml"/></Relationships>
</file>

<file path=xl/drawings/_rels/drawing211.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image" Target="../media/image23.png"/><Relationship Id="rId1" Type="http://schemas.openxmlformats.org/officeDocument/2006/relationships/hyperlink" Target="#INDICE!A1"/></Relationships>
</file>

<file path=xl/drawings/_rels/drawing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145.xml"/><Relationship Id="rId4" Type="http://schemas.openxmlformats.org/officeDocument/2006/relationships/image" Target="../media/image25.gif"/></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146.xml"/></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147.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148.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149.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150.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151.xml"/></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1"/><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1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152.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153.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5"/><Relationship Id="rId1" Type="http://schemas.openxmlformats.org/officeDocument/2006/relationships/chart" Target="../charts/chart154.xml"/></Relationships>
</file>

<file path=xl/drawings/_rels/drawing2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155.xml"/></Relationships>
</file>

<file path=xl/drawings/_rels/drawing224.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image" Target="../media/image23.png"/><Relationship Id="rId1" Type="http://schemas.openxmlformats.org/officeDocument/2006/relationships/hyperlink" Target="#INDICE!A1"/></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7"/><Relationship Id="rId1" Type="http://schemas.openxmlformats.org/officeDocument/2006/relationships/chart" Target="../charts/chart157.xml"/></Relationships>
</file>

<file path=xl/drawings/_rels/drawing2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9"/><Relationship Id="rId1" Type="http://schemas.openxmlformats.org/officeDocument/2006/relationships/chart" Target="../charts/chart158.xml"/></Relationships>
</file>

<file path=xl/drawings/_rels/drawing227.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image" Target="../media/image23.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228.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image" Target="../media/image23.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161.xml"/></Relationships>
</file>

<file path=xl/drawings/_rels/drawing2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162.xml"/></Relationships>
</file>

<file path=xl/drawings/_rels/drawing231.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image" Target="../media/image4.png"/><Relationship Id="rId1" Type="http://schemas.openxmlformats.org/officeDocument/2006/relationships/hyperlink" Target="#Contenido!A134"/></Relationships>
</file>

<file path=xl/drawings/_rels/drawing2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64.xml"/><Relationship Id="rId4" Type="http://schemas.openxmlformats.org/officeDocument/2006/relationships/hyperlink" Target="#Contenido!A135"/></Relationships>
</file>

<file path=xl/drawings/_rels/drawing2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8"/><Relationship Id="rId1" Type="http://schemas.openxmlformats.org/officeDocument/2006/relationships/chart" Target="../charts/chart165.xml"/></Relationships>
</file>

<file path=xl/drawings/_rels/drawing2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9"/><Relationship Id="rId1" Type="http://schemas.openxmlformats.org/officeDocument/2006/relationships/chart" Target="../charts/chart166.xml"/></Relationships>
</file>

<file path=xl/drawings/_rels/drawing2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67.xml"/><Relationship Id="rId4" Type="http://schemas.openxmlformats.org/officeDocument/2006/relationships/hyperlink" Target="#Contenido!A140"/></Relationships>
</file>

<file path=xl/drawings/_rels/drawing2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40.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41"/></Relationships>
</file>

<file path=xl/drawings/_rels/drawing2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2"/><Relationship Id="rId1" Type="http://schemas.openxmlformats.org/officeDocument/2006/relationships/chart" Target="../charts/chart169.xml"/></Relationships>
</file>

<file path=xl/drawings/_rels/drawing244.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43"/></Relationships>
</file>

<file path=xl/drawings/_rels/drawing2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4"/><Relationship Id="rId1" Type="http://schemas.openxmlformats.org/officeDocument/2006/relationships/chart" Target="../charts/chart171.xml"/></Relationships>
</file>

<file path=xl/drawings/_rels/drawing248.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image" Target="../media/image4.png"/><Relationship Id="rId1" Type="http://schemas.openxmlformats.org/officeDocument/2006/relationships/hyperlink" Target="#HOME!A1"/><Relationship Id="rId5" Type="http://schemas.openxmlformats.org/officeDocument/2006/relationships/hyperlink" Target="#Contenido!A145"/><Relationship Id="rId4" Type="http://schemas.openxmlformats.org/officeDocument/2006/relationships/chart" Target="../charts/chart173.xml"/></Relationships>
</file>

<file path=xl/drawings/_rels/drawing250.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image" Target="../media/image26.png"/><Relationship Id="rId1" Type="http://schemas.openxmlformats.org/officeDocument/2006/relationships/hyperlink" Target="#HOME!A1"/><Relationship Id="rId5" Type="http://schemas.openxmlformats.org/officeDocument/2006/relationships/image" Target="../media/image4.png"/><Relationship Id="rId4" Type="http://schemas.openxmlformats.org/officeDocument/2006/relationships/hyperlink" Target="#Contenido!A146"/></Relationships>
</file>

<file path=xl/drawings/_rels/drawing25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75.xml"/></Relationships>
</file>

<file path=xl/drawings/_rels/drawing2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76.xml"/></Relationships>
</file>

<file path=xl/drawings/_rels/drawing2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77.xml"/></Relationships>
</file>

<file path=xl/drawings/_rels/drawing259.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image" Target="../media/image4.png"/><Relationship Id="rId1" Type="http://schemas.openxmlformats.org/officeDocument/2006/relationships/hyperlink" Target="#Contenido!A148"/></Relationships>
</file>

<file path=xl/drawings/_rels/drawing2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79.xml"/></Relationships>
</file>

<file path=xl/drawings/_rels/drawing2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80.xml"/></Relationships>
</file>

<file path=xl/drawings/_rels/drawing26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hyperlink" Target="#Contenido!A148"/><Relationship Id="rId1" Type="http://schemas.openxmlformats.org/officeDocument/2006/relationships/chart" Target="../charts/chart181.xml"/></Relationships>
</file>

<file path=xl/drawings/_rels/drawing263.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image" Target="../media/image28.png"/></Relationships>
</file>

<file path=xl/drawings/_rels/drawing264.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image" Target="../media/image29.png"/></Relationships>
</file>

<file path=xl/drawings/_rels/drawing265.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13"/></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1"/><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Contenido!A15"/></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8"/><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0"/><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4.png"/><Relationship Id="rId1" Type="http://schemas.openxmlformats.org/officeDocument/2006/relationships/hyperlink" Target="#Contenido!A24"/></Relationships>
</file>

<file path=xl/drawings/_rels/drawing45.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26"/></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27"/></Relationships>
</file>

<file path=xl/drawings/_rels/drawing5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Contenido!A27"/></Relationships>
</file>

<file path=xl/drawings/_rels/drawing5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Contenido!A28"/></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Contenido!A29"/></Relationships>
</file>

<file path=xl/drawings/_rels/drawing5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Contenido!A30"/></Relationships>
</file>

<file path=xl/drawings/_rels/drawing5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32"/></Relationships>
</file>

<file path=xl/drawings/_rels/drawing57.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32"/></Relationships>
</file>

<file path=xl/drawings/_rels/drawing5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33"/></Relationships>
</file>

<file path=xl/drawings/_rels/drawing59.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34"/></Relationships>
</file>

<file path=xl/drawings/_rels/drawing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hyperlink" Target="#HOME!A1"/><Relationship Id="rId5" Type="http://schemas.openxmlformats.org/officeDocument/2006/relationships/chart" Target="../charts/chart3.xml"/><Relationship Id="rId4"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35"/></Relationships>
</file>

<file path=xl/drawings/_rels/drawing6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37"/></Relationships>
</file>

<file path=xl/drawings/_rels/drawing6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38"/></Relationships>
</file>

<file path=xl/drawings/_rels/drawing6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38"/></Relationships>
</file>

<file path=xl/drawings/_rels/drawing6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0"/></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37"/></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1"/><Relationship Id="rId1" Type="http://schemas.openxmlformats.org/officeDocument/2006/relationships/chart" Target="../charts/chart52.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42"/></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46"/></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HOME!A1"/><Relationship Id="rId5" Type="http://schemas.openxmlformats.org/officeDocument/2006/relationships/chart" Target="../charts/chart6.xml"/><Relationship Id="rId4"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0.xml"/><Relationship Id="rId4" Type="http://schemas.openxmlformats.org/officeDocument/2006/relationships/hyperlink" Target="#HOME!A1"/></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7"/><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7"/><Relationship Id="rId1" Type="http://schemas.openxmlformats.org/officeDocument/2006/relationships/chart" Target="../charts/chart62.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7"/><Relationship Id="rId1" Type="http://schemas.openxmlformats.org/officeDocument/2006/relationships/chart" Target="../charts/chart63.xml"/></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7"/><Relationship Id="rId1" Type="http://schemas.openxmlformats.org/officeDocument/2006/relationships/chart" Target="../charts/chart64.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7"/><Relationship Id="rId1" Type="http://schemas.openxmlformats.org/officeDocument/2006/relationships/chart" Target="../charts/chart6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Contenido!A40"/></Relationships>
</file>

<file path=xl/drawings/_rels/drawing9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68.xml"/></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1142997</xdr:colOff>
      <xdr:row>91</xdr:row>
      <xdr:rowOff>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811372" cy="17668875"/>
        </a:xfrm>
        <a:prstGeom prst="rect">
          <a:avLst/>
        </a:prstGeom>
      </xdr:spPr>
    </xdr:pic>
    <xdr:clientData/>
  </xdr:twoCellAnchor>
  <xdr:twoCellAnchor editAs="oneCell">
    <xdr:from>
      <xdr:col>5</xdr:col>
      <xdr:colOff>381000</xdr:colOff>
      <xdr:row>18</xdr:row>
      <xdr:rowOff>119063</xdr:rowOff>
    </xdr:from>
    <xdr:to>
      <xdr:col>12</xdr:col>
      <xdr:colOff>1023937</xdr:colOff>
      <xdr:row>67</xdr:row>
      <xdr:rowOff>119064</xdr:rowOff>
    </xdr:to>
    <xdr:pic>
      <xdr:nvPicPr>
        <xdr:cNvPr id="4" name="3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5524500" y="3881438"/>
          <a:ext cx="9167812" cy="9334501"/>
        </a:xfrm>
        <a:prstGeom prst="rect">
          <a:avLst/>
        </a:prstGeom>
        <a:noFill/>
        <a:ln>
          <a:noFill/>
        </a:ln>
      </xdr:spPr>
    </xdr:pic>
    <xdr:clientData/>
  </xdr:twoCellAnchor>
  <xdr:twoCellAnchor>
    <xdr:from>
      <xdr:col>5</xdr:col>
      <xdr:colOff>166689</xdr:colOff>
      <xdr:row>22</xdr:row>
      <xdr:rowOff>95251</xdr:rowOff>
    </xdr:from>
    <xdr:to>
      <xdr:col>12</xdr:col>
      <xdr:colOff>952499</xdr:colOff>
      <xdr:row>64</xdr:row>
      <xdr:rowOff>0</xdr:rowOff>
    </xdr:to>
    <xdr:sp macro="" textlink="">
      <xdr:nvSpPr>
        <xdr:cNvPr id="6" name="5 Rectángulo"/>
        <xdr:cNvSpPr/>
      </xdr:nvSpPr>
      <xdr:spPr>
        <a:xfrm>
          <a:off x="5310189" y="4619626"/>
          <a:ext cx="9310685" cy="79057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DO" sz="2000" b="1">
            <a:solidFill>
              <a:schemeClr val="accent3">
                <a:lumMod val="50000"/>
              </a:schemeClr>
            </a:solidFill>
            <a:latin typeface="Baskerville Old Face" pitchFamily="18" charset="0"/>
          </a:endParaRPr>
        </a:p>
        <a:p>
          <a:pPr algn="ctr"/>
          <a:r>
            <a:rPr lang="es-DO" sz="8800" b="1">
              <a:solidFill>
                <a:schemeClr val="accent3">
                  <a:lumMod val="50000"/>
                </a:schemeClr>
              </a:solidFill>
              <a:latin typeface="Baskerville Old Face" pitchFamily="18" charset="0"/>
            </a:rPr>
            <a:t>I</a:t>
          </a:r>
          <a:r>
            <a:rPr lang="es-DO" sz="7200" b="1">
              <a:solidFill>
                <a:schemeClr val="accent5">
                  <a:lumMod val="50000"/>
                </a:schemeClr>
              </a:solidFill>
              <a:latin typeface="Baskerville Old Face" pitchFamily="18" charset="0"/>
            </a:rPr>
            <a:t>nforme </a:t>
          </a:r>
          <a:r>
            <a:rPr lang="es-DO" sz="8800" b="1">
              <a:solidFill>
                <a:schemeClr val="accent3">
                  <a:lumMod val="50000"/>
                </a:schemeClr>
              </a:solidFill>
              <a:latin typeface="Baskerville Old Face" pitchFamily="18" charset="0"/>
            </a:rPr>
            <a:t>M</a:t>
          </a:r>
          <a:r>
            <a:rPr lang="es-DO" sz="7200" b="1">
              <a:solidFill>
                <a:schemeClr val="accent5">
                  <a:lumMod val="50000"/>
                </a:schemeClr>
              </a:solidFill>
              <a:latin typeface="Baskerville Old Face" pitchFamily="18" charset="0"/>
            </a:rPr>
            <a:t>ensual</a:t>
          </a:r>
          <a:r>
            <a:rPr lang="es-DO" sz="7200" b="1" baseline="0">
              <a:solidFill>
                <a:schemeClr val="accent5">
                  <a:lumMod val="50000"/>
                </a:schemeClr>
              </a:solidFill>
              <a:latin typeface="Baskerville Old Face" pitchFamily="18" charset="0"/>
            </a:rPr>
            <a:t> </a:t>
          </a:r>
          <a:r>
            <a:rPr lang="es-DO" sz="8800" b="1" baseline="0">
              <a:solidFill>
                <a:schemeClr val="accent3">
                  <a:lumMod val="50000"/>
                </a:schemeClr>
              </a:solidFill>
              <a:latin typeface="Baskerville Old Face" pitchFamily="18" charset="0"/>
            </a:rPr>
            <a:t>S</a:t>
          </a:r>
          <a:r>
            <a:rPr lang="es-DO" sz="7200" b="1" baseline="0">
              <a:solidFill>
                <a:schemeClr val="accent5">
                  <a:lumMod val="50000"/>
                </a:schemeClr>
              </a:solidFill>
              <a:latin typeface="Baskerville Old Face" pitchFamily="18" charset="0"/>
            </a:rPr>
            <a:t>istema </a:t>
          </a:r>
          <a:r>
            <a:rPr lang="es-DO" sz="8800" b="1" baseline="0">
              <a:solidFill>
                <a:schemeClr val="accent3">
                  <a:lumMod val="50000"/>
                </a:schemeClr>
              </a:solidFill>
              <a:latin typeface="Baskerville Old Face" pitchFamily="18" charset="0"/>
            </a:rPr>
            <a:t>D</a:t>
          </a:r>
          <a:r>
            <a:rPr lang="es-DO" sz="7200" b="1" baseline="0">
              <a:solidFill>
                <a:schemeClr val="accent5">
                  <a:lumMod val="50000"/>
                </a:schemeClr>
              </a:solidFill>
              <a:latin typeface="Baskerville Old Face" pitchFamily="18" charset="0"/>
            </a:rPr>
            <a:t>ominicano </a:t>
          </a:r>
        </a:p>
        <a:p>
          <a:pPr algn="ctr"/>
          <a:r>
            <a:rPr lang="es-DO" sz="8800" b="1" baseline="0">
              <a:solidFill>
                <a:schemeClr val="accent3">
                  <a:lumMod val="50000"/>
                </a:schemeClr>
              </a:solidFill>
              <a:latin typeface="Baskerville Old Face" pitchFamily="18" charset="0"/>
            </a:rPr>
            <a:t>D</a:t>
          </a:r>
          <a:r>
            <a:rPr lang="es-DO" sz="7200" b="1" baseline="0">
              <a:solidFill>
                <a:schemeClr val="accent5">
                  <a:lumMod val="50000"/>
                </a:schemeClr>
              </a:solidFill>
              <a:latin typeface="Baskerville Old Face" pitchFamily="18" charset="0"/>
            </a:rPr>
            <a:t>e </a:t>
          </a:r>
          <a:r>
            <a:rPr lang="es-DO" sz="8800" b="1" baseline="0">
              <a:solidFill>
                <a:schemeClr val="accent3">
                  <a:lumMod val="50000"/>
                </a:schemeClr>
              </a:solidFill>
              <a:latin typeface="Baskerville Old Face" pitchFamily="18" charset="0"/>
            </a:rPr>
            <a:t>S</a:t>
          </a:r>
          <a:r>
            <a:rPr lang="es-DO" sz="7200" b="1" baseline="0">
              <a:solidFill>
                <a:schemeClr val="accent5">
                  <a:lumMod val="50000"/>
                </a:schemeClr>
              </a:solidFill>
              <a:latin typeface="Baskerville Old Face" pitchFamily="18" charset="0"/>
            </a:rPr>
            <a:t>eguridad </a:t>
          </a:r>
          <a:r>
            <a:rPr lang="es-DO" sz="8800" b="1" baseline="0">
              <a:solidFill>
                <a:schemeClr val="accent3">
                  <a:lumMod val="50000"/>
                </a:schemeClr>
              </a:solidFill>
              <a:latin typeface="Baskerville Old Face" pitchFamily="18" charset="0"/>
            </a:rPr>
            <a:t>S</a:t>
          </a:r>
          <a:r>
            <a:rPr lang="es-DO" sz="7200" b="1" baseline="0">
              <a:solidFill>
                <a:schemeClr val="accent5">
                  <a:lumMod val="50000"/>
                </a:schemeClr>
              </a:solidFill>
              <a:latin typeface="Baskerville Old Face" pitchFamily="18" charset="0"/>
            </a:rPr>
            <a:t>ocial</a:t>
          </a:r>
          <a:r>
            <a:rPr lang="es-DO" sz="6000" b="1" baseline="0">
              <a:solidFill>
                <a:schemeClr val="accent5">
                  <a:lumMod val="50000"/>
                </a:schemeClr>
              </a:solidFill>
              <a:latin typeface="Baskerville Old Face" pitchFamily="18" charset="0"/>
            </a:rPr>
            <a:t> </a:t>
          </a:r>
          <a:r>
            <a:rPr lang="es-DO" sz="6600" b="1" baseline="0">
              <a:solidFill>
                <a:schemeClr val="accent3">
                  <a:lumMod val="50000"/>
                </a:schemeClr>
              </a:solidFill>
              <a:latin typeface="Baskerville Old Face" pitchFamily="18" charset="0"/>
            </a:rPr>
            <a:t>(</a:t>
          </a:r>
          <a:r>
            <a:rPr lang="es-DO" sz="6600" b="1" baseline="0">
              <a:solidFill>
                <a:schemeClr val="accent5">
                  <a:lumMod val="50000"/>
                </a:schemeClr>
              </a:solidFill>
              <a:latin typeface="Baskerville Old Face" pitchFamily="18" charset="0"/>
              <a:ea typeface="+mn-ea"/>
              <a:cs typeface="+mn-cs"/>
            </a:rPr>
            <a:t>SDSS</a:t>
          </a:r>
          <a:r>
            <a:rPr lang="es-DO" sz="6600" b="1" baseline="0">
              <a:solidFill>
                <a:schemeClr val="accent3">
                  <a:lumMod val="50000"/>
                </a:schemeClr>
              </a:solidFill>
              <a:latin typeface="Baskerville Old Face" pitchFamily="18" charset="0"/>
            </a:rPr>
            <a:t>)</a:t>
          </a:r>
        </a:p>
        <a:p>
          <a:pPr algn="ctr"/>
          <a:endParaRPr lang="es-DO" sz="6600" b="1" baseline="0">
            <a:solidFill>
              <a:schemeClr val="accent3">
                <a:lumMod val="50000"/>
              </a:schemeClr>
            </a:solidFill>
            <a:latin typeface="Baskerville Old Face" pitchFamily="18" charset="0"/>
          </a:endParaRPr>
        </a:p>
        <a:p>
          <a:pPr algn="ctr"/>
          <a:r>
            <a:rPr lang="es-DO" sz="8800" b="1" baseline="0">
              <a:solidFill>
                <a:schemeClr val="accent3">
                  <a:lumMod val="50000"/>
                </a:schemeClr>
              </a:solidFill>
              <a:latin typeface="Baskerville Old Face" pitchFamily="18" charset="0"/>
              <a:ea typeface="+mn-ea"/>
              <a:cs typeface="+mn-cs"/>
            </a:rPr>
            <a:t>D</a:t>
          </a:r>
          <a:r>
            <a:rPr lang="es-DO" sz="6000" b="1" baseline="0">
              <a:solidFill>
                <a:schemeClr val="accent5">
                  <a:lumMod val="50000"/>
                </a:schemeClr>
              </a:solidFill>
              <a:latin typeface="Baskerville Old Face" pitchFamily="18" charset="0"/>
              <a:ea typeface="+mn-ea"/>
              <a:cs typeface="+mn-cs"/>
            </a:rPr>
            <a:t>iciembre</a:t>
          </a:r>
          <a:r>
            <a:rPr lang="es-DO" sz="7200" b="1">
              <a:solidFill>
                <a:schemeClr val="accent3">
                  <a:lumMod val="50000"/>
                </a:schemeClr>
              </a:solidFill>
              <a:latin typeface="Baskerville Old Face" pitchFamily="18" charset="0"/>
            </a:rPr>
            <a:t> </a:t>
          </a:r>
          <a:r>
            <a:rPr lang="es-DO" sz="8800" b="1">
              <a:solidFill>
                <a:schemeClr val="accent3">
                  <a:lumMod val="50000"/>
                </a:schemeClr>
              </a:solidFill>
              <a:latin typeface="Baskerville Old Face" pitchFamily="18" charset="0"/>
              <a:ea typeface="+mn-ea"/>
              <a:cs typeface="+mn-cs"/>
            </a:rPr>
            <a:t>2</a:t>
          </a:r>
          <a:r>
            <a:rPr lang="es-DO" sz="6000" b="1" baseline="0">
              <a:solidFill>
                <a:schemeClr val="accent5">
                  <a:lumMod val="50000"/>
                </a:schemeClr>
              </a:solidFill>
              <a:latin typeface="Baskerville Old Face" pitchFamily="18" charset="0"/>
            </a:rPr>
            <a:t>014</a:t>
          </a:r>
          <a:endParaRPr lang="es-DO" sz="2800" b="1" i="1">
            <a:solidFill>
              <a:sysClr val="windowText" lastClr="000000"/>
            </a:solidFill>
            <a:effectLst/>
            <a:latin typeface="+mn-lt"/>
            <a:ea typeface="+mn-ea"/>
            <a:cs typeface="+mn-cs"/>
          </a:endParaRPr>
        </a:p>
        <a:p>
          <a:pPr algn="ctr"/>
          <a:endParaRPr lang="es-DO" sz="2400" b="1" i="1">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200025</xdr:colOff>
      <xdr:row>0</xdr:row>
      <xdr:rowOff>1019175</xdr:rowOff>
    </xdr:to>
    <xdr:pic>
      <xdr:nvPicPr>
        <xdr:cNvPr id="540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6200"/>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41</xdr:row>
      <xdr:rowOff>44302</xdr:rowOff>
    </xdr:from>
    <xdr:to>
      <xdr:col>13</xdr:col>
      <xdr:colOff>177209</xdr:colOff>
      <xdr:row>68</xdr:row>
      <xdr:rowOff>121832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354419</xdr:colOff>
      <xdr:row>0</xdr:row>
      <xdr:rowOff>121832</xdr:rowOff>
    </xdr:from>
    <xdr:to>
      <xdr:col>1</xdr:col>
      <xdr:colOff>276890</xdr:colOff>
      <xdr:row>0</xdr:row>
      <xdr:rowOff>664535</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54419" y="121832"/>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0.02951</cdr:x>
      <cdr:y>0.85714</cdr:y>
    </cdr:from>
    <cdr:to>
      <cdr:x>0.98466</cdr:x>
      <cdr:y>0.98815</cdr:y>
    </cdr:to>
    <cdr:sp macro="" textlink="">
      <cdr:nvSpPr>
        <cdr:cNvPr id="2" name="1 CuadroTexto"/>
        <cdr:cNvSpPr txBox="1"/>
      </cdr:nvSpPr>
      <cdr:spPr>
        <a:xfrm xmlns:a="http://schemas.openxmlformats.org/drawingml/2006/main">
          <a:off x="299041" y="2923954"/>
          <a:ext cx="9679661" cy="446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000" b="1">
              <a:effectLst/>
              <a:latin typeface="+mn-lt"/>
              <a:ea typeface="+mn-ea"/>
              <a:cs typeface="+mn-cs"/>
            </a:rPr>
            <a:t>Nota: </a:t>
          </a:r>
          <a:r>
            <a:rPr lang="es-ES" sz="1000">
              <a:effectLst/>
              <a:latin typeface="+mn-lt"/>
              <a:ea typeface="+mn-ea"/>
              <a:cs typeface="+mn-cs"/>
            </a:rPr>
            <a:t>Los datos de la población presentados  fueron tomados de las proyecciones de la Oficina Nacional de Estadísticas (ONE) en base al censo del 2002.  Estos datos serán actualizados una vez que la Oficina Nacional de Estadísticas (ONE) actualice sus proyecciones en base censo del 2010.</a:t>
          </a:r>
          <a:endParaRPr lang="es-DO" sz="1000">
            <a:effectLst/>
            <a:latin typeface="+mn-lt"/>
            <a:ea typeface="+mn-ea"/>
            <a:cs typeface="+mn-cs"/>
          </a:endParaRPr>
        </a:p>
        <a:p xmlns:a="http://schemas.openxmlformats.org/drawingml/2006/main">
          <a:endParaRPr lang="es-DO" sz="8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383722</xdr:colOff>
      <xdr:row>0</xdr:row>
      <xdr:rowOff>302079</xdr:rowOff>
    </xdr:from>
    <xdr:to>
      <xdr:col>1</xdr:col>
      <xdr:colOff>27215</xdr:colOff>
      <xdr:row>0</xdr:row>
      <xdr:rowOff>987879</xdr:rowOff>
    </xdr:to>
    <xdr:pic>
      <xdr:nvPicPr>
        <xdr:cNvPr id="15473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722" y="302079"/>
          <a:ext cx="8953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54429</xdr:rowOff>
    </xdr:from>
    <xdr:to>
      <xdr:col>12</xdr:col>
      <xdr:colOff>258536</xdr:colOff>
      <xdr:row>49</xdr:row>
      <xdr:rowOff>40823</xdr:rowOff>
    </xdr:to>
    <xdr:graphicFrame macro="">
      <xdr:nvGraphicFramePr>
        <xdr:cNvPr id="15473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0.26036</cdr:x>
      <cdr:y>0.02474</cdr:y>
    </cdr:from>
    <cdr:to>
      <cdr:x>0.81892</cdr:x>
      <cdr:y>0.13815</cdr:y>
    </cdr:to>
    <cdr:sp macro="" textlink="">
      <cdr:nvSpPr>
        <cdr:cNvPr id="2" name="1 CuadroTexto"/>
        <cdr:cNvSpPr txBox="1"/>
      </cdr:nvSpPr>
      <cdr:spPr>
        <a:xfrm xmlns:a="http://schemas.openxmlformats.org/drawingml/2006/main">
          <a:off x="3932393" y="163284"/>
          <a:ext cx="8436450" cy="7484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1800" b="1"/>
            <a:t>Comportamiento de la Afiliación al SFS del RS con relación a la Población Pobre del País (MEPYD)</a:t>
          </a:r>
        </a:p>
      </cdr:txBody>
    </cdr:sp>
  </cdr:relSizeAnchor>
</c:userShapes>
</file>

<file path=xl/drawings/drawing104.xml><?xml version="1.0" encoding="utf-8"?>
<xdr:wsDr xmlns:xdr="http://schemas.openxmlformats.org/drawingml/2006/spreadsheetDrawing" xmlns:a="http://schemas.openxmlformats.org/drawingml/2006/main">
  <xdr:twoCellAnchor>
    <xdr:from>
      <xdr:col>20</xdr:col>
      <xdr:colOff>9525</xdr:colOff>
      <xdr:row>12</xdr:row>
      <xdr:rowOff>19050</xdr:rowOff>
    </xdr:from>
    <xdr:to>
      <xdr:col>33</xdr:col>
      <xdr:colOff>514350</xdr:colOff>
      <xdr:row>33</xdr:row>
      <xdr:rowOff>104775</xdr:rowOff>
    </xdr:to>
    <xdr:graphicFrame macro="">
      <xdr:nvGraphicFramePr>
        <xdr:cNvPr id="15581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xdr:rowOff>
    </xdr:from>
    <xdr:to>
      <xdr:col>10</xdr:col>
      <xdr:colOff>549088</xdr:colOff>
      <xdr:row>33</xdr:row>
      <xdr:rowOff>134471</xdr:rowOff>
    </xdr:to>
    <xdr:graphicFrame macro="">
      <xdr:nvGraphicFramePr>
        <xdr:cNvPr id="155818"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219075</xdr:colOff>
      <xdr:row>0</xdr:row>
      <xdr:rowOff>133350</xdr:rowOff>
    </xdr:from>
    <xdr:to>
      <xdr:col>1</xdr:col>
      <xdr:colOff>28575</xdr:colOff>
      <xdr:row>0</xdr:row>
      <xdr:rowOff>581025</xdr:rowOff>
    </xdr:to>
    <xdr:pic>
      <xdr:nvPicPr>
        <xdr:cNvPr id="155819"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 y="133350"/>
          <a:ext cx="5810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0.09177</cdr:x>
      <cdr:y>0.85931</cdr:y>
    </cdr:from>
    <cdr:to>
      <cdr:x>0.66911</cdr:x>
      <cdr:y>0.94054</cdr:y>
    </cdr:to>
    <cdr:sp macro="" textlink="">
      <cdr:nvSpPr>
        <cdr:cNvPr id="2" name="1 CuadroTexto"/>
        <cdr:cNvSpPr txBox="1"/>
      </cdr:nvSpPr>
      <cdr:spPr>
        <a:xfrm xmlns:a="http://schemas.openxmlformats.org/drawingml/2006/main">
          <a:off x="853336" y="2753117"/>
          <a:ext cx="5368477" cy="260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Fuente: One, TSS y MEPYD. Procesado por el Depto de Estadísticas CNSS</a:t>
          </a:r>
        </a:p>
      </cdr:txBody>
    </cdr:sp>
  </cdr:relSizeAnchor>
</c:userShapes>
</file>

<file path=xl/drawings/drawing106.xml><?xml version="1.0" encoding="utf-8"?>
<c:userShapes xmlns:c="http://schemas.openxmlformats.org/drawingml/2006/chart">
  <cdr:relSizeAnchor xmlns:cdr="http://schemas.openxmlformats.org/drawingml/2006/chartDrawing">
    <cdr:from>
      <cdr:x>0.03216</cdr:x>
      <cdr:y>0.85714</cdr:y>
    </cdr:from>
    <cdr:to>
      <cdr:x>0.9668</cdr:x>
      <cdr:y>0.97619</cdr:y>
    </cdr:to>
    <cdr:sp macro="" textlink="">
      <cdr:nvSpPr>
        <cdr:cNvPr id="2" name="1 CuadroTexto"/>
        <cdr:cNvSpPr txBox="1"/>
      </cdr:nvSpPr>
      <cdr:spPr>
        <a:xfrm xmlns:a="http://schemas.openxmlformats.org/drawingml/2006/main">
          <a:off x="295274" y="3086100"/>
          <a:ext cx="8582025"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900" b="1">
              <a:effectLst/>
              <a:latin typeface="+mn-lt"/>
              <a:ea typeface="+mn-ea"/>
              <a:cs typeface="+mn-cs"/>
            </a:rPr>
            <a:t>Nota: </a:t>
          </a:r>
          <a:r>
            <a:rPr lang="es-ES" sz="900">
              <a:effectLst/>
              <a:latin typeface="+mn-lt"/>
              <a:ea typeface="+mn-ea"/>
              <a:cs typeface="+mn-cs"/>
            </a:rPr>
            <a:t>Los datos de la población presentados  fueron tomados de las proyecciones de la Oficina Nacional de Estadísticas (ONE) en base al censo del 2002.  Estos datos serán actualizados una vez que la Oficina Nacional de Estadísticas (ONE) actualice sus proyecciones en base censo del 2010.</a:t>
          </a:r>
          <a:endParaRPr lang="es-DO" sz="900">
            <a:effectLst/>
            <a:latin typeface="+mn-lt"/>
            <a:ea typeface="+mn-ea"/>
            <a:cs typeface="+mn-cs"/>
          </a:endParaRPr>
        </a:p>
        <a:p xmlns:a="http://schemas.openxmlformats.org/drawingml/2006/main">
          <a:endParaRPr lang="es-DO" sz="800"/>
        </a:p>
      </cdr:txBody>
    </cdr:sp>
  </cdr:relSizeAnchor>
</c:userShapes>
</file>

<file path=xl/drawings/drawing107.xml><?xml version="1.0" encoding="utf-8"?>
<xdr:wsDr xmlns:xdr="http://schemas.openxmlformats.org/drawingml/2006/spreadsheetDrawing" xmlns:a="http://schemas.openxmlformats.org/drawingml/2006/main">
  <xdr:twoCellAnchor>
    <xdr:from>
      <xdr:col>20</xdr:col>
      <xdr:colOff>19050</xdr:colOff>
      <xdr:row>9</xdr:row>
      <xdr:rowOff>152400</xdr:rowOff>
    </xdr:from>
    <xdr:to>
      <xdr:col>40</xdr:col>
      <xdr:colOff>685800</xdr:colOff>
      <xdr:row>46</xdr:row>
      <xdr:rowOff>0</xdr:rowOff>
    </xdr:to>
    <xdr:graphicFrame macro="">
      <xdr:nvGraphicFramePr>
        <xdr:cNvPr id="156841"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314325</xdr:colOff>
      <xdr:row>0</xdr:row>
      <xdr:rowOff>123825</xdr:rowOff>
    </xdr:from>
    <xdr:to>
      <xdr:col>2</xdr:col>
      <xdr:colOff>304800</xdr:colOff>
      <xdr:row>0</xdr:row>
      <xdr:rowOff>695325</xdr:rowOff>
    </xdr:to>
    <xdr:pic>
      <xdr:nvPicPr>
        <xdr:cNvPr id="156842"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123825"/>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13</xdr:row>
      <xdr:rowOff>102054</xdr:rowOff>
    </xdr:from>
    <xdr:to>
      <xdr:col>12</xdr:col>
      <xdr:colOff>1306286</xdr:colOff>
      <xdr:row>52</xdr:row>
      <xdr:rowOff>122464</xdr:rowOff>
    </xdr:to>
    <xdr:graphicFrame macro="">
      <xdr:nvGraphicFramePr>
        <xdr:cNvPr id="15684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0.02319</cdr:x>
      <cdr:y>0.94727</cdr:y>
    </cdr:from>
    <cdr:to>
      <cdr:x>0.48909</cdr:x>
      <cdr:y>0.98552</cdr:y>
    </cdr:to>
    <cdr:sp macro="" textlink="">
      <cdr:nvSpPr>
        <cdr:cNvPr id="2" name="1 CuadroTexto"/>
        <cdr:cNvSpPr txBox="1"/>
      </cdr:nvSpPr>
      <cdr:spPr>
        <a:xfrm xmlns:a="http://schemas.openxmlformats.org/drawingml/2006/main">
          <a:off x="210283" y="4536833"/>
          <a:ext cx="4225192" cy="183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0.07491</cdr:x>
      <cdr:y>0.90098</cdr:y>
    </cdr:from>
    <cdr:to>
      <cdr:x>0.60949</cdr:x>
      <cdr:y>0.95453</cdr:y>
    </cdr:to>
    <cdr:sp macro="" textlink="">
      <cdr:nvSpPr>
        <cdr:cNvPr id="3" name="2 CuadroTexto"/>
        <cdr:cNvSpPr txBox="1"/>
      </cdr:nvSpPr>
      <cdr:spPr>
        <a:xfrm xmlns:a="http://schemas.openxmlformats.org/drawingml/2006/main">
          <a:off x="965681" y="6822536"/>
          <a:ext cx="6891003" cy="4055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a:t>
          </a:r>
          <a:r>
            <a:rPr lang="en-US" sz="1200">
              <a:latin typeface="+mn-lt"/>
              <a:ea typeface="+mn-ea"/>
              <a:cs typeface="+mn-cs"/>
            </a:rPr>
            <a:t>TSS y MEPYD. Procesado por el Depto de Estadísticas CNSS</a:t>
          </a:r>
          <a:endParaRPr lang="en-US" sz="1200"/>
        </a:p>
        <a:p xmlns:a="http://schemas.openxmlformats.org/drawingml/2006/main">
          <a:endParaRPr lang="en-US" sz="1200"/>
        </a:p>
      </cdr:txBody>
    </cdr:sp>
  </cdr:relSizeAnchor>
</c:userShapes>
</file>

<file path=xl/drawings/drawing109.xml><?xml version="1.0" encoding="utf-8"?>
<c:userShapes xmlns:c="http://schemas.openxmlformats.org/drawingml/2006/chart">
  <cdr:relSizeAnchor xmlns:cdr="http://schemas.openxmlformats.org/drawingml/2006/chartDrawing">
    <cdr:from>
      <cdr:x>0.02697</cdr:x>
      <cdr:y>0.85502</cdr:y>
    </cdr:from>
    <cdr:to>
      <cdr:x>0.95015</cdr:x>
      <cdr:y>0.93364</cdr:y>
    </cdr:to>
    <cdr:sp macro="" textlink="">
      <cdr:nvSpPr>
        <cdr:cNvPr id="2" name="1 CuadroTexto"/>
        <cdr:cNvSpPr txBox="1"/>
      </cdr:nvSpPr>
      <cdr:spPr>
        <a:xfrm xmlns:a="http://schemas.openxmlformats.org/drawingml/2006/main">
          <a:off x="399248" y="6369851"/>
          <a:ext cx="13664772" cy="585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400" b="1">
              <a:effectLst/>
              <a:latin typeface="+mn-lt"/>
              <a:ea typeface="+mn-ea"/>
              <a:cs typeface="+mn-cs"/>
            </a:rPr>
            <a:t>Nota: </a:t>
          </a:r>
          <a:r>
            <a:rPr lang="es-ES" sz="1400">
              <a:effectLst/>
              <a:latin typeface="+mn-lt"/>
              <a:ea typeface="+mn-ea"/>
              <a:cs typeface="+mn-cs"/>
            </a:rPr>
            <a:t>Los datos de la población presentados  fueron tomados de las proyecciones de la Oficina Nacional de Estadísticas (ONE) en base al censo del 200</a:t>
          </a:r>
          <a:r>
            <a:rPr lang="es-ES" sz="1400" baseline="0">
              <a:effectLst/>
              <a:latin typeface="+mn-lt"/>
              <a:ea typeface="+mn-ea"/>
              <a:cs typeface="+mn-cs"/>
            </a:rPr>
            <a:t> 2y el censo del 2010</a:t>
          </a:r>
          <a:r>
            <a:rPr lang="es-ES" sz="1400">
              <a:effectLst/>
              <a:latin typeface="+mn-lt"/>
              <a:ea typeface="+mn-ea"/>
              <a:cs typeface="+mn-cs"/>
            </a:rPr>
            <a:t>.  Estos datos serán actualizados una vez que la Oficina Nacional de Estadísticas (ONE) actualice sus proyecciones en base censo del 2010.</a:t>
          </a:r>
          <a:endParaRPr lang="es-DO" sz="1400">
            <a:effectLst/>
            <a:latin typeface="+mn-lt"/>
            <a:ea typeface="+mn-ea"/>
            <a:cs typeface="+mn-cs"/>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1</xdr:colOff>
      <xdr:row>13</xdr:row>
      <xdr:rowOff>0</xdr:rowOff>
    </xdr:from>
    <xdr:to>
      <xdr:col>12</xdr:col>
      <xdr:colOff>666750</xdr:colOff>
      <xdr:row>43</xdr:row>
      <xdr:rowOff>23812</xdr:rowOff>
    </xdr:to>
    <xdr:graphicFrame macro="">
      <xdr:nvGraphicFramePr>
        <xdr:cNvPr id="15780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578304</xdr:colOff>
      <xdr:row>0</xdr:row>
      <xdr:rowOff>242207</xdr:rowOff>
    </xdr:from>
    <xdr:to>
      <xdr:col>1</xdr:col>
      <xdr:colOff>371070</xdr:colOff>
      <xdr:row>0</xdr:row>
      <xdr:rowOff>843643</xdr:rowOff>
    </xdr:to>
    <xdr:pic>
      <xdr:nvPicPr>
        <xdr:cNvPr id="157810"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8304" y="242207"/>
          <a:ext cx="908552" cy="601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585106</xdr:colOff>
      <xdr:row>39</xdr:row>
      <xdr:rowOff>122465</xdr:rowOff>
    </xdr:from>
    <xdr:to>
      <xdr:col>5</xdr:col>
      <xdr:colOff>775606</xdr:colOff>
      <xdr:row>41</xdr:row>
      <xdr:rowOff>136073</xdr:rowOff>
    </xdr:to>
    <xdr:sp macro="" textlink="">
      <xdr:nvSpPr>
        <xdr:cNvPr id="2" name="1 CuadroTexto"/>
        <xdr:cNvSpPr txBox="1"/>
      </xdr:nvSpPr>
      <xdr:spPr>
        <a:xfrm>
          <a:off x="585106" y="11606894"/>
          <a:ext cx="5715000" cy="3946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SISALRIL y TSS</a:t>
          </a:r>
          <a:endParaRPr lang="es-DO" sz="14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134470</xdr:colOff>
      <xdr:row>17</xdr:row>
      <xdr:rowOff>56029</xdr:rowOff>
    </xdr:from>
    <xdr:to>
      <xdr:col>11</xdr:col>
      <xdr:colOff>1210235</xdr:colOff>
      <xdr:row>46</xdr:row>
      <xdr:rowOff>44824</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649381</xdr:colOff>
      <xdr:row>0</xdr:row>
      <xdr:rowOff>177053</xdr:rowOff>
    </xdr:from>
    <xdr:to>
      <xdr:col>1</xdr:col>
      <xdr:colOff>315446</xdr:colOff>
      <xdr:row>0</xdr:row>
      <xdr:rowOff>691403</xdr:rowOff>
    </xdr:to>
    <xdr:pic>
      <xdr:nvPicPr>
        <xdr:cNvPr id="158834" name="7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381" y="177053"/>
          <a:ext cx="775447"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1467968</xdr:colOff>
      <xdr:row>17</xdr:row>
      <xdr:rowOff>145675</xdr:rowOff>
    </xdr:from>
    <xdr:to>
      <xdr:col>8</xdr:col>
      <xdr:colOff>582704</xdr:colOff>
      <xdr:row>21</xdr:row>
      <xdr:rowOff>44822</xdr:rowOff>
    </xdr:to>
    <xdr:sp macro="" textlink="">
      <xdr:nvSpPr>
        <xdr:cNvPr id="2" name="1 CuadroTexto"/>
        <xdr:cNvSpPr txBox="1"/>
      </xdr:nvSpPr>
      <xdr:spPr>
        <a:xfrm>
          <a:off x="3955674" y="4616822"/>
          <a:ext cx="6409765" cy="661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600" b="1"/>
            <a:t>Seguro Familiar de Salud (SFS) del Régimen Subsidiado (RS)</a:t>
          </a:r>
        </a:p>
        <a:p>
          <a:pPr algn="ctr"/>
          <a:r>
            <a:rPr lang="es-DO" sz="1600" b="1"/>
            <a:t>Aporte  y Dispersión Anual del Gobierno Central al SFS del RS</a:t>
          </a:r>
        </a:p>
      </xdr:txBody>
    </xdr:sp>
    <xdr:clientData/>
  </xdr:twoCellAnchor>
</xdr:wsDr>
</file>

<file path=xl/drawings/drawing112.xml><?xml version="1.0" encoding="utf-8"?>
<c:userShapes xmlns:c="http://schemas.openxmlformats.org/drawingml/2006/chart">
  <cdr:relSizeAnchor xmlns:cdr="http://schemas.openxmlformats.org/drawingml/2006/chartDrawing">
    <cdr:from>
      <cdr:x>0.04475</cdr:x>
      <cdr:y>0.93732</cdr:y>
    </cdr:from>
    <cdr:to>
      <cdr:x>0.11368</cdr:x>
      <cdr:y>0.9878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95274" y="5167749"/>
          <a:ext cx="916864" cy="278309"/>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1</xdr:colOff>
      <xdr:row>43</xdr:row>
      <xdr:rowOff>83345</xdr:rowOff>
    </xdr:from>
    <xdr:to>
      <xdr:col>11</xdr:col>
      <xdr:colOff>1357312</xdr:colOff>
      <xdr:row>77</xdr:row>
      <xdr:rowOff>130969</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editAs="oneCell">
    <xdr:from>
      <xdr:col>0</xdr:col>
      <xdr:colOff>723900</xdr:colOff>
      <xdr:row>0</xdr:row>
      <xdr:rowOff>161925</xdr:rowOff>
    </xdr:from>
    <xdr:to>
      <xdr:col>1</xdr:col>
      <xdr:colOff>714375</xdr:colOff>
      <xdr:row>0</xdr:row>
      <xdr:rowOff>704850</xdr:rowOff>
    </xdr:to>
    <xdr:pic>
      <xdr:nvPicPr>
        <xdr:cNvPr id="159972"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1619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0.04916</cdr:x>
      <cdr:y>0.92091</cdr:y>
    </cdr:from>
    <cdr:to>
      <cdr:x>0.16434</cdr:x>
      <cdr:y>0.96019</cdr:y>
    </cdr:to>
    <cdr:sp macro="" textlink="">
      <cdr:nvSpPr>
        <cdr:cNvPr id="2" name="1 CuadroTexto"/>
        <cdr:cNvSpPr txBox="1"/>
      </cdr:nvSpPr>
      <cdr:spPr>
        <a:xfrm xmlns:a="http://schemas.openxmlformats.org/drawingml/2006/main">
          <a:off x="632179" y="5986650"/>
          <a:ext cx="1481071" cy="255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66674</xdr:colOff>
      <xdr:row>13</xdr:row>
      <xdr:rowOff>52386</xdr:rowOff>
    </xdr:from>
    <xdr:to>
      <xdr:col>11</xdr:col>
      <xdr:colOff>682624</xdr:colOff>
      <xdr:row>33</xdr:row>
      <xdr:rowOff>126999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0.03716</cdr:x>
      <cdr:y>0.91582</cdr:y>
    </cdr:from>
    <cdr:to>
      <cdr:x>0.44467</cdr:x>
      <cdr:y>0.97793</cdr:y>
    </cdr:to>
    <cdr:sp macro="" textlink="">
      <cdr:nvSpPr>
        <cdr:cNvPr id="2" name="1 CuadroTexto"/>
        <cdr:cNvSpPr txBox="1"/>
      </cdr:nvSpPr>
      <cdr:spPr>
        <a:xfrm xmlns:a="http://schemas.openxmlformats.org/drawingml/2006/main">
          <a:off x="355580" y="3557589"/>
          <a:ext cx="3899647" cy="241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200" b="1"/>
            <a:t>Fuente:  </a:t>
          </a:r>
          <a:r>
            <a:rPr lang="es-DO" sz="1200"/>
            <a:t>SENASA</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13</xdr:row>
      <xdr:rowOff>145676</xdr:rowOff>
    </xdr:from>
    <xdr:to>
      <xdr:col>11</xdr:col>
      <xdr:colOff>683559</xdr:colOff>
      <xdr:row>38</xdr:row>
      <xdr:rowOff>145676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0.06286</cdr:x>
      <cdr:y>0.88941</cdr:y>
    </cdr:from>
    <cdr:to>
      <cdr:x>0.46799</cdr:x>
      <cdr:y>0.96941</cdr:y>
    </cdr:to>
    <cdr:sp macro="" textlink="">
      <cdr:nvSpPr>
        <cdr:cNvPr id="2" name="1 CuadroTexto"/>
        <cdr:cNvSpPr txBox="1"/>
      </cdr:nvSpPr>
      <cdr:spPr>
        <a:xfrm xmlns:a="http://schemas.openxmlformats.org/drawingml/2006/main">
          <a:off x="605119" y="4235824"/>
          <a:ext cx="3899647"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200" b="1"/>
            <a:t>Fuente:  </a:t>
          </a:r>
          <a:r>
            <a:rPr lang="es-DO" sz="1200"/>
            <a:t>SENASA</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22411</xdr:colOff>
      <xdr:row>41</xdr:row>
      <xdr:rowOff>56030</xdr:rowOff>
    </xdr:from>
    <xdr:to>
      <xdr:col>11</xdr:col>
      <xdr:colOff>705970</xdr:colOff>
      <xdr:row>67</xdr:row>
      <xdr:rowOff>78442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56030</xdr:rowOff>
    </xdr:from>
    <xdr:to>
      <xdr:col>11</xdr:col>
      <xdr:colOff>694765</xdr:colOff>
      <xdr:row>39</xdr:row>
      <xdr:rowOff>22412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376835</xdr:colOff>
      <xdr:row>0</xdr:row>
      <xdr:rowOff>152699</xdr:rowOff>
    </xdr:from>
    <xdr:to>
      <xdr:col>10</xdr:col>
      <xdr:colOff>392205</xdr:colOff>
      <xdr:row>36</xdr:row>
      <xdr:rowOff>150405</xdr:rowOff>
    </xdr:to>
    <xdr:pic>
      <xdr:nvPicPr>
        <xdr:cNvPr id="6"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6718" t="12436" r="36135" b="40500"/>
        <a:stretch/>
      </xdr:blipFill>
      <xdr:spPr bwMode="auto">
        <a:xfrm>
          <a:off x="1900835" y="152699"/>
          <a:ext cx="6245841" cy="6855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9</xdr:row>
      <xdr:rowOff>22412</xdr:rowOff>
    </xdr:from>
    <xdr:to>
      <xdr:col>12</xdr:col>
      <xdr:colOff>425824</xdr:colOff>
      <xdr:row>30</xdr:row>
      <xdr:rowOff>44824</xdr:rowOff>
    </xdr:to>
    <xdr:sp macro="" textlink="">
      <xdr:nvSpPr>
        <xdr:cNvPr id="7" name="6 CuadroTexto"/>
        <xdr:cNvSpPr txBox="1"/>
      </xdr:nvSpPr>
      <xdr:spPr>
        <a:xfrm>
          <a:off x="1" y="1736912"/>
          <a:ext cx="9704294" cy="4022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0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rgbClr val="0070C0"/>
              </a:solidFill>
              <a:latin typeface="+mn-lt"/>
              <a:ea typeface="+mn-ea"/>
              <a:cs typeface="+mn-cs"/>
            </a:rPr>
            <a:t>E</a:t>
          </a:r>
          <a:r>
            <a:rPr lang="es-DO" sz="4400" b="1">
              <a:solidFill>
                <a:schemeClr val="accent3">
                  <a:lumMod val="50000"/>
                </a:schemeClr>
              </a:solidFill>
            </a:rPr>
            <a:t>stadísticas</a:t>
          </a:r>
          <a:r>
            <a:rPr lang="es-DO" sz="4400" b="1" baseline="0">
              <a:solidFill>
                <a:schemeClr val="accent3">
                  <a:lumMod val="50000"/>
                </a:schemeClr>
              </a:solidFill>
            </a:rPr>
            <a:t> </a:t>
          </a:r>
          <a:r>
            <a:rPr lang="es-DO" sz="6000" b="1">
              <a:solidFill>
                <a:srgbClr val="0070C0"/>
              </a:solidFill>
              <a:latin typeface="+mn-lt"/>
              <a:ea typeface="+mn-ea"/>
              <a:cs typeface="+mn-cs"/>
            </a:rPr>
            <a:t>G</a:t>
          </a:r>
          <a:r>
            <a:rPr lang="es-DO" sz="4400" b="1" baseline="0">
              <a:solidFill>
                <a:schemeClr val="accent3">
                  <a:lumMod val="50000"/>
                </a:schemeClr>
              </a:solidFill>
            </a:rPr>
            <a:t>eneral </a:t>
          </a:r>
          <a:r>
            <a:rPr lang="es-DO" sz="4400" b="1">
              <a:solidFill>
                <a:schemeClr val="accent3">
                  <a:lumMod val="50000"/>
                </a:schemeClr>
              </a:solidFill>
            </a:rPr>
            <a:t>del</a:t>
          </a:r>
          <a:r>
            <a:rPr lang="es-DO" sz="4400" b="1" baseline="0">
              <a:solidFill>
                <a:schemeClr val="accent3">
                  <a:lumMod val="50000"/>
                </a:schemeClr>
              </a:solidFill>
            </a:rPr>
            <a:t> Sistema </a:t>
          </a:r>
          <a:r>
            <a:rPr lang="es-DO" sz="6000" b="1">
              <a:solidFill>
                <a:srgbClr val="0070C0"/>
              </a:solidFill>
              <a:latin typeface="+mn-lt"/>
              <a:ea typeface="+mn-ea"/>
              <a:cs typeface="+mn-cs"/>
            </a:rPr>
            <a:t>D</a:t>
          </a:r>
          <a:r>
            <a:rPr lang="es-DO" sz="4400" b="1" baseline="0">
              <a:solidFill>
                <a:schemeClr val="accent3">
                  <a:lumMod val="50000"/>
                </a:schemeClr>
              </a:solidFill>
            </a:rPr>
            <a:t>ominicano de la </a:t>
          </a:r>
          <a:r>
            <a:rPr lang="es-DO" sz="6000" b="1">
              <a:solidFill>
                <a:srgbClr val="0070C0"/>
              </a:solidFill>
              <a:latin typeface="+mn-lt"/>
              <a:ea typeface="+mn-ea"/>
              <a:cs typeface="+mn-cs"/>
            </a:rPr>
            <a:t>S</a:t>
          </a:r>
          <a:r>
            <a:rPr lang="es-DO" sz="4400" b="1" baseline="0">
              <a:solidFill>
                <a:schemeClr val="accent3">
                  <a:lumMod val="50000"/>
                </a:schemeClr>
              </a:solidFill>
            </a:rPr>
            <a:t>eguridad </a:t>
          </a:r>
          <a:r>
            <a:rPr lang="es-DO" sz="6000" b="1">
              <a:solidFill>
                <a:srgbClr val="0070C0"/>
              </a:solidFill>
              <a:latin typeface="+mn-lt"/>
              <a:ea typeface="+mn-ea"/>
              <a:cs typeface="+mn-cs"/>
            </a:rPr>
            <a:t>S</a:t>
          </a:r>
          <a:r>
            <a:rPr lang="es-DO" sz="4400" b="1" baseline="0">
              <a:solidFill>
                <a:schemeClr val="accent3">
                  <a:lumMod val="50000"/>
                </a:schemeClr>
              </a:solidFill>
            </a:rPr>
            <a:t>ocial</a:t>
          </a:r>
          <a:endParaRPr lang="es-DO" sz="4400" b="1">
            <a:solidFill>
              <a:schemeClr val="accent3">
                <a:lumMod val="50000"/>
              </a:schemeClr>
            </a:solidFill>
          </a:endParaRPr>
        </a:p>
      </xdr:txBody>
    </xdr:sp>
    <xdr:clientData/>
  </xdr:twoCellAnchor>
</xdr:wsDr>
</file>

<file path=xl/drawings/drawing120.xml><?xml version="1.0" encoding="utf-8"?>
<c:userShapes xmlns:c="http://schemas.openxmlformats.org/drawingml/2006/chart">
  <cdr:relSizeAnchor xmlns:cdr="http://schemas.openxmlformats.org/drawingml/2006/chartDrawing">
    <cdr:from>
      <cdr:x>0.05357</cdr:x>
      <cdr:y>0.90435</cdr:y>
    </cdr:from>
    <cdr:to>
      <cdr:x>0.46298</cdr:x>
      <cdr:y>0.98093</cdr:y>
    </cdr:to>
    <cdr:sp macro="" textlink="">
      <cdr:nvSpPr>
        <cdr:cNvPr id="2" name="1 CuadroTexto"/>
        <cdr:cNvSpPr txBox="1"/>
      </cdr:nvSpPr>
      <cdr:spPr>
        <a:xfrm xmlns:a="http://schemas.openxmlformats.org/drawingml/2006/main">
          <a:off x="510241" y="4499536"/>
          <a:ext cx="3899647"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200" b="1"/>
            <a:t>Fuente:  </a:t>
          </a:r>
          <a:r>
            <a:rPr lang="es-DO" sz="1200"/>
            <a:t>SENASA</a:t>
          </a:r>
        </a:p>
      </cdr:txBody>
    </cdr:sp>
  </cdr:relSizeAnchor>
</c:userShapes>
</file>

<file path=xl/drawings/drawing121.xml><?xml version="1.0" encoding="utf-8"?>
<c:userShapes xmlns:c="http://schemas.openxmlformats.org/drawingml/2006/chart">
  <cdr:relSizeAnchor xmlns:cdr="http://schemas.openxmlformats.org/drawingml/2006/chartDrawing">
    <cdr:from>
      <cdr:x>0.03823</cdr:x>
      <cdr:y>0.897</cdr:y>
    </cdr:from>
    <cdr:to>
      <cdr:x>0.44716</cdr:x>
      <cdr:y>0.97757</cdr:y>
    </cdr:to>
    <cdr:sp macro="" textlink="">
      <cdr:nvSpPr>
        <cdr:cNvPr id="2" name="1 CuadroTexto"/>
        <cdr:cNvSpPr txBox="1"/>
      </cdr:nvSpPr>
      <cdr:spPr>
        <a:xfrm xmlns:a="http://schemas.openxmlformats.org/drawingml/2006/main">
          <a:off x="364565" y="4241800"/>
          <a:ext cx="3899647"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200" b="1"/>
            <a:t>Fuente:  </a:t>
          </a:r>
          <a:r>
            <a:rPr lang="es-DO" sz="1200"/>
            <a:t>SENASA</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36</xdr:row>
      <xdr:rowOff>71438</xdr:rowOff>
    </xdr:from>
    <xdr:to>
      <xdr:col>10</xdr:col>
      <xdr:colOff>666750</xdr:colOff>
      <xdr:row>76</xdr:row>
      <xdr:rowOff>56028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13</xdr:row>
      <xdr:rowOff>33619</xdr:rowOff>
    </xdr:from>
    <xdr:to>
      <xdr:col>11</xdr:col>
      <xdr:colOff>705971</xdr:colOff>
      <xdr:row>40</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123265</xdr:rowOff>
    </xdr:from>
    <xdr:to>
      <xdr:col>1</xdr:col>
      <xdr:colOff>147078</xdr:colOff>
      <xdr:row>0</xdr:row>
      <xdr:rowOff>549089</xdr:rowOff>
    </xdr:to>
    <xdr:pic>
      <xdr:nvPicPr>
        <xdr:cNvPr id="3" name="2 Imagen"/>
        <xdr:cNvPicPr>
          <a:picLocks noChangeAspect="1"/>
        </xdr:cNvPicPr>
      </xdr:nvPicPr>
      <xdr:blipFill>
        <a:blip xmlns:r="http://schemas.openxmlformats.org/officeDocument/2006/relationships" r:embed="rId2"/>
        <a:stretch>
          <a:fillRect/>
        </a:stretch>
      </xdr:blipFill>
      <xdr:spPr>
        <a:xfrm>
          <a:off x="291353" y="123265"/>
          <a:ext cx="718578" cy="425824"/>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36</xdr:row>
      <xdr:rowOff>77559</xdr:rowOff>
    </xdr:from>
    <xdr:to>
      <xdr:col>11</xdr:col>
      <xdr:colOff>698499</xdr:colOff>
      <xdr:row>71</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268941</xdr:colOff>
      <xdr:row>0</xdr:row>
      <xdr:rowOff>67235</xdr:rowOff>
    </xdr:from>
    <xdr:to>
      <xdr:col>0</xdr:col>
      <xdr:colOff>1006427</xdr:colOff>
      <xdr:row>0</xdr:row>
      <xdr:rowOff>593912</xdr:rowOff>
    </xdr:to>
    <xdr:pic>
      <xdr:nvPicPr>
        <xdr:cNvPr id="3" name="2 Imagen"/>
        <xdr:cNvPicPr>
          <a:picLocks noChangeAspect="1"/>
        </xdr:cNvPicPr>
      </xdr:nvPicPr>
      <xdr:blipFill>
        <a:blip xmlns:r="http://schemas.openxmlformats.org/officeDocument/2006/relationships" r:embed="rId2"/>
        <a:stretch>
          <a:fillRect/>
        </a:stretch>
      </xdr:blipFill>
      <xdr:spPr>
        <a:xfrm>
          <a:off x="268941" y="67235"/>
          <a:ext cx="737486" cy="526677"/>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22411</xdr:colOff>
      <xdr:row>13</xdr:row>
      <xdr:rowOff>56030</xdr:rowOff>
    </xdr:from>
    <xdr:to>
      <xdr:col>11</xdr:col>
      <xdr:colOff>728381</xdr:colOff>
      <xdr:row>38</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156883</xdr:colOff>
      <xdr:row>0</xdr:row>
      <xdr:rowOff>89647</xdr:rowOff>
    </xdr:from>
    <xdr:to>
      <xdr:col>0</xdr:col>
      <xdr:colOff>1026740</xdr:colOff>
      <xdr:row>0</xdr:row>
      <xdr:rowOff>605118</xdr:rowOff>
    </xdr:to>
    <xdr:pic>
      <xdr:nvPicPr>
        <xdr:cNvPr id="3" name="2 Imagen"/>
        <xdr:cNvPicPr>
          <a:picLocks noChangeAspect="1"/>
        </xdr:cNvPicPr>
      </xdr:nvPicPr>
      <xdr:blipFill>
        <a:blip xmlns:r="http://schemas.openxmlformats.org/officeDocument/2006/relationships" r:embed="rId2"/>
        <a:stretch>
          <a:fillRect/>
        </a:stretch>
      </xdr:blipFill>
      <xdr:spPr>
        <a:xfrm>
          <a:off x="156883" y="89647"/>
          <a:ext cx="869857" cy="51547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25</xdr:row>
      <xdr:rowOff>38100</xdr:rowOff>
    </xdr:from>
    <xdr:to>
      <xdr:col>12</xdr:col>
      <xdr:colOff>457200</xdr:colOff>
      <xdr:row>54</xdr:row>
      <xdr:rowOff>171449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361951</xdr:colOff>
      <xdr:row>0</xdr:row>
      <xdr:rowOff>133350</xdr:rowOff>
    </xdr:from>
    <xdr:to>
      <xdr:col>1</xdr:col>
      <xdr:colOff>57151</xdr:colOff>
      <xdr:row>0</xdr:row>
      <xdr:rowOff>528461</xdr:rowOff>
    </xdr:to>
    <xdr:pic>
      <xdr:nvPicPr>
        <xdr:cNvPr id="3" name="2 Imagen"/>
        <xdr:cNvPicPr>
          <a:picLocks noChangeAspect="1"/>
        </xdr:cNvPicPr>
      </xdr:nvPicPr>
      <xdr:blipFill>
        <a:blip xmlns:r="http://schemas.openxmlformats.org/officeDocument/2006/relationships" r:embed="rId2"/>
        <a:stretch>
          <a:fillRect/>
        </a:stretch>
      </xdr:blipFill>
      <xdr:spPr>
        <a:xfrm>
          <a:off x="361951" y="133350"/>
          <a:ext cx="666750" cy="39511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40823</xdr:colOff>
      <xdr:row>14</xdr:row>
      <xdr:rowOff>27213</xdr:rowOff>
    </xdr:from>
    <xdr:to>
      <xdr:col>12</xdr:col>
      <xdr:colOff>775607</xdr:colOff>
      <xdr:row>46</xdr:row>
      <xdr:rowOff>81642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108858</xdr:rowOff>
    </xdr:from>
    <xdr:to>
      <xdr:col>12</xdr:col>
      <xdr:colOff>870857</xdr:colOff>
      <xdr:row>105</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40820</xdr:colOff>
      <xdr:row>2</xdr:row>
      <xdr:rowOff>231322</xdr:rowOff>
    </xdr:from>
    <xdr:to>
      <xdr:col>12</xdr:col>
      <xdr:colOff>54428</xdr:colOff>
      <xdr:row>19</xdr:row>
      <xdr:rowOff>54429</xdr:rowOff>
    </xdr:to>
    <xdr:sp macro="" textlink="">
      <xdr:nvSpPr>
        <xdr:cNvPr id="4" name="3 Sol"/>
        <xdr:cNvSpPr/>
      </xdr:nvSpPr>
      <xdr:spPr>
        <a:xfrm>
          <a:off x="10080170" y="1117147"/>
          <a:ext cx="3756933" cy="3518807"/>
        </a:xfrm>
        <a:prstGeom prst="su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100">
              <a:solidFill>
                <a:schemeClr val="lt1"/>
              </a:solidFill>
              <a:effectLst/>
              <a:latin typeface="+mn-lt"/>
              <a:ea typeface="+mn-ea"/>
              <a:cs typeface="+mn-cs"/>
            </a:rPr>
            <a:t>en esta tabla existen dos escenario que debemos de discutir antes de tomar una decisión</a:t>
          </a:r>
        </a:p>
        <a:p>
          <a:pPr algn="l"/>
          <a:endParaRPr lang="es-DO" sz="1100"/>
        </a:p>
      </xdr:txBody>
    </xdr:sp>
    <xdr:clientData/>
  </xdr:twoCellAnchor>
  <xdr:twoCellAnchor editAs="oneCell">
    <xdr:from>
      <xdr:col>0</xdr:col>
      <xdr:colOff>598714</xdr:colOff>
      <xdr:row>0</xdr:row>
      <xdr:rowOff>176893</xdr:rowOff>
    </xdr:from>
    <xdr:to>
      <xdr:col>1</xdr:col>
      <xdr:colOff>192200</xdr:colOff>
      <xdr:row>0</xdr:row>
      <xdr:rowOff>693964</xdr:rowOff>
    </xdr:to>
    <xdr:pic>
      <xdr:nvPicPr>
        <xdr:cNvPr id="5" name="4 Imagen"/>
        <xdr:cNvPicPr>
          <a:picLocks noChangeAspect="1"/>
        </xdr:cNvPicPr>
      </xdr:nvPicPr>
      <xdr:blipFill>
        <a:blip xmlns:r="http://schemas.openxmlformats.org/officeDocument/2006/relationships" r:embed="rId3"/>
        <a:stretch>
          <a:fillRect/>
        </a:stretch>
      </xdr:blipFill>
      <xdr:spPr>
        <a:xfrm>
          <a:off x="598714" y="176893"/>
          <a:ext cx="872557" cy="517071"/>
        </a:xfrm>
        <a:prstGeom prst="rect">
          <a:avLst/>
        </a:prstGeom>
      </xdr:spPr>
    </xdr:pic>
    <xdr:clientData/>
  </xdr:twoCellAnchor>
</xdr:wsDr>
</file>

<file path=xl/drawings/drawing128.xml><?xml version="1.0" encoding="utf-8"?>
<c:userShapes xmlns:c="http://schemas.openxmlformats.org/drawingml/2006/chart">
  <cdr:relSizeAnchor xmlns:cdr="http://schemas.openxmlformats.org/drawingml/2006/chartDrawing">
    <cdr:from>
      <cdr:x>0.93806</cdr:x>
      <cdr:y>0.02161</cdr:y>
    </cdr:from>
    <cdr:to>
      <cdr:x>1</cdr:x>
      <cdr:y>0.15363</cdr:y>
    </cdr:to>
    <cdr:sp macro="" textlink="">
      <cdr:nvSpPr>
        <cdr:cNvPr id="2" name="1 CuadroTexto"/>
        <cdr:cNvSpPr txBox="1"/>
      </cdr:nvSpPr>
      <cdr:spPr>
        <a:xfrm xmlns:a="http://schemas.openxmlformats.org/drawingml/2006/main">
          <a:off x="14573250" y="14967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DO" sz="11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13</xdr:row>
      <xdr:rowOff>44823</xdr:rowOff>
    </xdr:from>
    <xdr:to>
      <xdr:col>21</xdr:col>
      <xdr:colOff>728383</xdr:colOff>
      <xdr:row>40</xdr:row>
      <xdr:rowOff>79375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347383</xdr:colOff>
      <xdr:row>0</xdr:row>
      <xdr:rowOff>89648</xdr:rowOff>
    </xdr:from>
    <xdr:to>
      <xdr:col>1</xdr:col>
      <xdr:colOff>467143</xdr:colOff>
      <xdr:row>0</xdr:row>
      <xdr:rowOff>638735</xdr:rowOff>
    </xdr:to>
    <xdr:pic>
      <xdr:nvPicPr>
        <xdr:cNvPr id="3" name="2 Imagen"/>
        <xdr:cNvPicPr>
          <a:picLocks noChangeAspect="1"/>
        </xdr:cNvPicPr>
      </xdr:nvPicPr>
      <xdr:blipFill>
        <a:blip xmlns:r="http://schemas.openxmlformats.org/officeDocument/2006/relationships" r:embed="rId2"/>
        <a:stretch>
          <a:fillRect/>
        </a:stretch>
      </xdr:blipFill>
      <xdr:spPr>
        <a:xfrm>
          <a:off x="347383" y="89648"/>
          <a:ext cx="926584" cy="5490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504495</xdr:colOff>
      <xdr:row>0</xdr:row>
      <xdr:rowOff>357188</xdr:rowOff>
    </xdr:from>
    <xdr:to>
      <xdr:col>1</xdr:col>
      <xdr:colOff>225718</xdr:colOff>
      <xdr:row>0</xdr:row>
      <xdr:rowOff>1500187</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495" y="357188"/>
          <a:ext cx="1626223" cy="1142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161925</xdr:rowOff>
    </xdr:from>
    <xdr:to>
      <xdr:col>14</xdr:col>
      <xdr:colOff>1309687</xdr:colOff>
      <xdr:row>55</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1452564</xdr:colOff>
      <xdr:row>53</xdr:row>
      <xdr:rowOff>142875</xdr:rowOff>
    </xdr:from>
    <xdr:to>
      <xdr:col>5</xdr:col>
      <xdr:colOff>47626</xdr:colOff>
      <xdr:row>54</xdr:row>
      <xdr:rowOff>309562</xdr:rowOff>
    </xdr:to>
    <xdr:sp macro="" textlink="">
      <xdr:nvSpPr>
        <xdr:cNvPr id="7" name="6 CuadroTexto"/>
        <xdr:cNvSpPr txBox="1"/>
      </xdr:nvSpPr>
      <xdr:spPr>
        <a:xfrm>
          <a:off x="1452564" y="23002875"/>
          <a:ext cx="828675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2400" b="1">
              <a:solidFill>
                <a:schemeClr val="dk1"/>
              </a:solidFill>
              <a:effectLst/>
              <a:latin typeface="+mn-lt"/>
              <a:ea typeface="+mn-ea"/>
              <a:cs typeface="+mn-cs"/>
            </a:rPr>
            <a:t>Fuente: </a:t>
          </a:r>
          <a:r>
            <a:rPr lang="es-DO" sz="2400">
              <a:solidFill>
                <a:schemeClr val="dk1"/>
              </a:solidFill>
              <a:effectLst/>
              <a:latin typeface="+mn-lt"/>
              <a:ea typeface="+mn-ea"/>
              <a:cs typeface="+mn-cs"/>
            </a:rPr>
            <a:t>ONE, TSS, SISALRIL</a:t>
          </a:r>
          <a:endParaRPr lang="es-DO" sz="1100"/>
        </a:p>
      </xdr:txBody>
    </xdr:sp>
    <xdr:clientData/>
  </xdr:twoCellAnchor>
</xdr:wsDr>
</file>

<file path=xl/drawings/drawing130.xml><?xml version="1.0" encoding="utf-8"?>
<c:userShapes xmlns:c="http://schemas.openxmlformats.org/drawingml/2006/chart">
  <cdr:relSizeAnchor xmlns:cdr="http://schemas.openxmlformats.org/drawingml/2006/chartDrawing">
    <cdr:from>
      <cdr:x>0.04083</cdr:x>
      <cdr:y>0.90893</cdr:y>
    </cdr:from>
    <cdr:to>
      <cdr:x>0.1894</cdr:x>
      <cdr:y>0.989</cdr:y>
    </cdr:to>
    <cdr:sp macro="" textlink="">
      <cdr:nvSpPr>
        <cdr:cNvPr id="3" name="2 CuadroTexto"/>
        <cdr:cNvSpPr txBox="1"/>
      </cdr:nvSpPr>
      <cdr:spPr>
        <a:xfrm xmlns:a="http://schemas.openxmlformats.org/drawingml/2006/main">
          <a:off x="526653" y="4706492"/>
          <a:ext cx="1916251" cy="4146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t>Fuente: </a:t>
          </a:r>
          <a:r>
            <a:rPr lang="es-DO" sz="1100"/>
            <a:t>SENASA</a:t>
          </a:r>
        </a:p>
      </cdr:txBody>
    </cdr:sp>
  </cdr:relSizeAnchor>
</c:userShapes>
</file>

<file path=xl/drawings/drawing131.xml><?xml version="1.0" encoding="utf-8"?>
<xdr:wsDr xmlns:xdr="http://schemas.openxmlformats.org/drawingml/2006/spreadsheetDrawing" xmlns:a="http://schemas.openxmlformats.org/drawingml/2006/main">
  <xdr:twoCellAnchor>
    <xdr:from>
      <xdr:col>2</xdr:col>
      <xdr:colOff>103910</xdr:colOff>
      <xdr:row>1</xdr:row>
      <xdr:rowOff>103909</xdr:rowOff>
    </xdr:from>
    <xdr:to>
      <xdr:col>11</xdr:col>
      <xdr:colOff>294409</xdr:colOff>
      <xdr:row>43</xdr:row>
      <xdr:rowOff>51954</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4235" t="11258" r="34230" b="40118"/>
        <a:stretch/>
      </xdr:blipFill>
      <xdr:spPr bwMode="auto">
        <a:xfrm>
          <a:off x="1627910" y="294409"/>
          <a:ext cx="7290954" cy="7949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173182</xdr:colOff>
      <xdr:row>9</xdr:row>
      <xdr:rowOff>103910</xdr:rowOff>
    </xdr:from>
    <xdr:to>
      <xdr:col>12</xdr:col>
      <xdr:colOff>831272</xdr:colOff>
      <xdr:row>34</xdr:row>
      <xdr:rowOff>17319</xdr:rowOff>
    </xdr:to>
    <xdr:sp macro="" textlink="">
      <xdr:nvSpPr>
        <xdr:cNvPr id="3" name="2 CuadroTexto"/>
        <xdr:cNvSpPr txBox="1"/>
      </xdr:nvSpPr>
      <xdr:spPr>
        <a:xfrm>
          <a:off x="173182" y="1818410"/>
          <a:ext cx="10044545" cy="467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Régimen Especial Transitorio </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Salud de Pensionados (RET)</a:t>
          </a:r>
          <a:br>
            <a:rPr lang="es-DO" sz="5400" b="1">
              <a:solidFill>
                <a:schemeClr val="accent3">
                  <a:lumMod val="50000"/>
                </a:schemeClr>
              </a:solidFill>
              <a:latin typeface="+mn-lt"/>
              <a:ea typeface="+mn-ea"/>
              <a:cs typeface="+mn-cs"/>
            </a:rPr>
          </a:br>
          <a:r>
            <a:rPr lang="es-DO" sz="5400" b="1">
              <a:solidFill>
                <a:schemeClr val="accent3">
                  <a:lumMod val="50000"/>
                </a:schemeClr>
              </a:solidFill>
              <a:latin typeface="+mn-lt"/>
              <a:ea typeface="+mn-ea"/>
              <a:cs typeface="+mn-cs"/>
            </a:rPr>
            <a:t>Ley 1896-379</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xdr:colOff>
      <xdr:row>9</xdr:row>
      <xdr:rowOff>123265</xdr:rowOff>
    </xdr:from>
    <xdr:to>
      <xdr:col>12</xdr:col>
      <xdr:colOff>997325</xdr:colOff>
      <xdr:row>42</xdr:row>
      <xdr:rowOff>168089</xdr:rowOff>
    </xdr:to>
    <xdr:graphicFrame macro="">
      <xdr:nvGraphicFramePr>
        <xdr:cNvPr id="16088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485215</xdr:colOff>
      <xdr:row>0</xdr:row>
      <xdr:rowOff>149040</xdr:rowOff>
    </xdr:from>
    <xdr:to>
      <xdr:col>1</xdr:col>
      <xdr:colOff>537882</xdr:colOff>
      <xdr:row>0</xdr:row>
      <xdr:rowOff>692368</xdr:rowOff>
    </xdr:to>
    <xdr:pic>
      <xdr:nvPicPr>
        <xdr:cNvPr id="160882"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215" y="149040"/>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41</xdr:row>
      <xdr:rowOff>11206</xdr:rowOff>
    </xdr:from>
    <xdr:to>
      <xdr:col>12</xdr:col>
      <xdr:colOff>1061358</xdr:colOff>
      <xdr:row>67</xdr:row>
      <xdr:rowOff>122464</xdr:rowOff>
    </xdr:to>
    <xdr:graphicFrame macro="">
      <xdr:nvGraphicFramePr>
        <xdr:cNvPr id="16190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540684</xdr:colOff>
      <xdr:row>0</xdr:row>
      <xdr:rowOff>198904</xdr:rowOff>
    </xdr:from>
    <xdr:to>
      <xdr:col>1</xdr:col>
      <xdr:colOff>504264</xdr:colOff>
      <xdr:row>0</xdr:row>
      <xdr:rowOff>806824</xdr:rowOff>
    </xdr:to>
    <xdr:pic>
      <xdr:nvPicPr>
        <xdr:cNvPr id="16190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0684" y="198904"/>
          <a:ext cx="848845" cy="607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8</xdr:row>
      <xdr:rowOff>145676</xdr:rowOff>
    </xdr:from>
    <xdr:to>
      <xdr:col>12</xdr:col>
      <xdr:colOff>1019735</xdr:colOff>
      <xdr:row>39</xdr:row>
      <xdr:rowOff>0</xdr:rowOff>
    </xdr:to>
    <xdr:graphicFrame macro="">
      <xdr:nvGraphicFramePr>
        <xdr:cNvPr id="16292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593352</xdr:colOff>
      <xdr:row>0</xdr:row>
      <xdr:rowOff>149598</xdr:rowOff>
    </xdr:from>
    <xdr:to>
      <xdr:col>1</xdr:col>
      <xdr:colOff>403413</xdr:colOff>
      <xdr:row>0</xdr:row>
      <xdr:rowOff>682998</xdr:rowOff>
    </xdr:to>
    <xdr:pic>
      <xdr:nvPicPr>
        <xdr:cNvPr id="162930"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352" y="149598"/>
          <a:ext cx="71773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0.03777</cdr:x>
      <cdr:y>0.91655</cdr:y>
    </cdr:from>
    <cdr:to>
      <cdr:x>0.35552</cdr:x>
      <cdr:y>0.99093</cdr:y>
    </cdr:to>
    <cdr:sp macro="" textlink="">
      <cdr:nvSpPr>
        <cdr:cNvPr id="4" name="3 CuadroTexto"/>
        <cdr:cNvSpPr txBox="1"/>
      </cdr:nvSpPr>
      <cdr:spPr>
        <a:xfrm xmlns:a="http://schemas.openxmlformats.org/drawingml/2006/main">
          <a:off x="464295" y="5659194"/>
          <a:ext cx="3905999" cy="459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a:t>
          </a:r>
          <a:r>
            <a:rPr lang="en-US" sz="1600"/>
            <a:t>: TSS y Portal</a:t>
          </a:r>
          <a:r>
            <a:rPr lang="en-US" sz="1600" baseline="0"/>
            <a:t> SISALRIL</a:t>
          </a:r>
          <a:endParaRPr lang="en-US" sz="1600"/>
        </a:p>
      </cdr:txBody>
    </cdr:sp>
  </cdr:relSizeAnchor>
  <cdr:relSizeAnchor xmlns:cdr="http://schemas.openxmlformats.org/drawingml/2006/chartDrawing">
    <cdr:from>
      <cdr:x>0.10399</cdr:x>
      <cdr:y>0.93248</cdr:y>
    </cdr:from>
    <cdr:to>
      <cdr:x>0.23378</cdr:x>
      <cdr:y>0.95105</cdr:y>
    </cdr:to>
    <cdr:sp macro="" textlink="">
      <cdr:nvSpPr>
        <cdr:cNvPr id="3" name="2 CuadroTexto"/>
        <cdr:cNvSpPr txBox="1"/>
      </cdr:nvSpPr>
      <cdr:spPr>
        <a:xfrm xmlns:a="http://schemas.openxmlformats.org/drawingml/2006/main">
          <a:off x="1400735" y="5065060"/>
          <a:ext cx="1748118" cy="100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0.23256</cdr:x>
      <cdr:y>0.01835</cdr:y>
    </cdr:from>
    <cdr:to>
      <cdr:x>0.83804</cdr:x>
      <cdr:y>0.14312</cdr:y>
    </cdr:to>
    <cdr:sp macro="" textlink="">
      <cdr:nvSpPr>
        <cdr:cNvPr id="2" name="1 CuadroTexto"/>
        <cdr:cNvSpPr txBox="1"/>
      </cdr:nvSpPr>
      <cdr:spPr>
        <a:xfrm xmlns:a="http://schemas.openxmlformats.org/drawingml/2006/main">
          <a:off x="3137647" y="112059"/>
          <a:ext cx="8169088" cy="7620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1800" b="1" i="0"/>
            <a:t>Régimen Especial Transitorio para la Salud de Pensionados Ley 1896 - 379</a:t>
          </a:r>
        </a:p>
        <a:p xmlns:a="http://schemas.openxmlformats.org/drawingml/2006/main">
          <a:pPr algn="ctr"/>
          <a:r>
            <a:rPr lang="es-DO" sz="1800" b="1" i="0"/>
            <a:t>Dispersión SFSP por  ARS</a:t>
          </a:r>
        </a:p>
      </cdr:txBody>
    </cdr:sp>
  </cdr:relSizeAnchor>
</c:userShapes>
</file>

<file path=xl/drawings/drawing136.xml><?xml version="1.0" encoding="utf-8"?>
<xdr:wsDr xmlns:xdr="http://schemas.openxmlformats.org/drawingml/2006/spreadsheetDrawing" xmlns:a="http://schemas.openxmlformats.org/drawingml/2006/main">
  <xdr:twoCellAnchor>
    <xdr:from>
      <xdr:col>1</xdr:col>
      <xdr:colOff>707570</xdr:colOff>
      <xdr:row>1</xdr:row>
      <xdr:rowOff>13608</xdr:rowOff>
    </xdr:from>
    <xdr:to>
      <xdr:col>13</xdr:col>
      <xdr:colOff>380998</xdr:colOff>
      <xdr:row>46</xdr:row>
      <xdr:rowOff>27216</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3690" t="11382" r="34065" b="39302"/>
        <a:stretch/>
      </xdr:blipFill>
      <xdr:spPr bwMode="auto">
        <a:xfrm>
          <a:off x="1469570" y="204108"/>
          <a:ext cx="8681357" cy="8586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748393</xdr:colOff>
      <xdr:row>13</xdr:row>
      <xdr:rowOff>176893</xdr:rowOff>
    </xdr:from>
    <xdr:to>
      <xdr:col>14</xdr:col>
      <xdr:colOff>571499</xdr:colOff>
      <xdr:row>31</xdr:row>
      <xdr:rowOff>149678</xdr:rowOff>
    </xdr:to>
    <xdr:sp macro="" textlink="">
      <xdr:nvSpPr>
        <xdr:cNvPr id="3" name="2 CuadroTexto"/>
        <xdr:cNvSpPr txBox="1"/>
      </xdr:nvSpPr>
      <xdr:spPr>
        <a:xfrm>
          <a:off x="748393" y="2653393"/>
          <a:ext cx="10355035" cy="3401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7200" b="1" baseline="0">
              <a:solidFill>
                <a:srgbClr val="0070C0"/>
              </a:solidFill>
              <a:effectLst/>
              <a:latin typeface="+mn-lt"/>
              <a:ea typeface="+mn-ea"/>
              <a:cs typeface="+mn-cs"/>
            </a:rPr>
            <a:t>E</a:t>
          </a:r>
          <a:r>
            <a:rPr lang="es-DO" sz="6000" b="1">
              <a:solidFill>
                <a:schemeClr val="accent3">
                  <a:lumMod val="50000"/>
                </a:schemeClr>
              </a:solidFill>
            </a:rPr>
            <a:t>stadísticas </a:t>
          </a:r>
          <a:r>
            <a:rPr lang="es-DO" sz="6000" b="1">
              <a:solidFill>
                <a:srgbClr val="0070C0"/>
              </a:solidFill>
            </a:rPr>
            <a:t>d</a:t>
          </a:r>
          <a:r>
            <a:rPr lang="es-DO" sz="6000" b="1">
              <a:solidFill>
                <a:schemeClr val="accent3">
                  <a:lumMod val="50000"/>
                </a:schemeClr>
              </a:solidFill>
            </a:rPr>
            <a:t>e </a:t>
          </a:r>
          <a:r>
            <a:rPr lang="es-DO" sz="6000" b="1">
              <a:solidFill>
                <a:srgbClr val="0070C0"/>
              </a:solidFill>
            </a:rPr>
            <a:t>l</a:t>
          </a:r>
          <a:r>
            <a:rPr lang="es-DO" sz="6000" b="1">
              <a:solidFill>
                <a:schemeClr val="accent3">
                  <a:lumMod val="50000"/>
                </a:schemeClr>
              </a:solidFill>
            </a:rPr>
            <a:t>as </a:t>
          </a:r>
          <a:endParaRPr lang="es-DO" sz="6600" b="1">
            <a:solidFill>
              <a:schemeClr val="accent3">
                <a:lumMod val="50000"/>
              </a:schemeClr>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7200" b="1" baseline="0">
              <a:solidFill>
                <a:srgbClr val="0070C0"/>
              </a:solidFill>
              <a:effectLst/>
              <a:latin typeface="+mn-lt"/>
              <a:ea typeface="+mn-ea"/>
              <a:cs typeface="+mn-cs"/>
            </a:rPr>
            <a:t>E</a:t>
          </a:r>
          <a:r>
            <a:rPr lang="es-DO" sz="6000" b="1">
              <a:solidFill>
                <a:schemeClr val="accent3">
                  <a:lumMod val="50000"/>
                </a:schemeClr>
              </a:solidFill>
            </a:rPr>
            <a:t>stancias </a:t>
          </a:r>
          <a:r>
            <a:rPr lang="es-DO" sz="7200" b="1" baseline="0">
              <a:solidFill>
                <a:srgbClr val="0070C0"/>
              </a:solidFill>
              <a:effectLst/>
              <a:latin typeface="+mn-lt"/>
              <a:ea typeface="+mn-ea"/>
              <a:cs typeface="+mn-cs"/>
            </a:rPr>
            <a:t>I</a:t>
          </a:r>
          <a:r>
            <a:rPr lang="es-DO" sz="6000" b="1">
              <a:solidFill>
                <a:schemeClr val="accent3">
                  <a:lumMod val="50000"/>
                </a:schemeClr>
              </a:solidFill>
            </a:rPr>
            <a:t>nfantiles </a:t>
          </a:r>
          <a:r>
            <a:rPr lang="es-DO" sz="6000" b="1">
              <a:solidFill>
                <a:srgbClr val="0070C0"/>
              </a:solidFill>
            </a:rPr>
            <a:t>(</a:t>
          </a:r>
          <a:r>
            <a:rPr lang="es-DO" sz="6000" b="1">
              <a:solidFill>
                <a:schemeClr val="accent3">
                  <a:lumMod val="50000"/>
                </a:schemeClr>
              </a:solidFill>
            </a:rPr>
            <a:t>EI</a:t>
          </a:r>
          <a:r>
            <a:rPr lang="es-DO" sz="6000" b="1">
              <a:solidFill>
                <a:srgbClr val="0070C0"/>
              </a:solidFill>
            </a:rPr>
            <a:t>)</a:t>
          </a:r>
        </a:p>
      </xdr:txBody>
    </xdr:sp>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3</xdr:col>
      <xdr:colOff>222806</xdr:colOff>
      <xdr:row>0</xdr:row>
      <xdr:rowOff>182934</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19175" y="190500"/>
          <a:ext cx="1123950" cy="73582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3</xdr:col>
      <xdr:colOff>222806</xdr:colOff>
      <xdr:row>0</xdr:row>
      <xdr:rowOff>182934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19175" y="0"/>
          <a:ext cx="1132400" cy="182934"/>
        </a:xfrm>
        <a:prstGeom prst="rect">
          <a:avLst/>
        </a:prstGeom>
        <a:ln>
          <a:noFill/>
        </a:ln>
        <a:effectLst>
          <a:softEdge rad="112500"/>
        </a:effectLst>
      </xdr:spPr>
    </xdr:pic>
    <xdr:clientData/>
  </xdr:twoCellAnchor>
  <xdr:twoCellAnchor editAs="oneCell">
    <xdr:from>
      <xdr:col>0</xdr:col>
      <xdr:colOff>657225</xdr:colOff>
      <xdr:row>0</xdr:row>
      <xdr:rowOff>152400</xdr:rowOff>
    </xdr:from>
    <xdr:to>
      <xdr:col>1</xdr:col>
      <xdr:colOff>183776</xdr:colOff>
      <xdr:row>0</xdr:row>
      <xdr:rowOff>619125</xdr:rowOff>
    </xdr:to>
    <xdr:pic>
      <xdr:nvPicPr>
        <xdr:cNvPr id="16406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1524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10</xdr:row>
      <xdr:rowOff>201705</xdr:rowOff>
    </xdr:from>
    <xdr:to>
      <xdr:col>11</xdr:col>
      <xdr:colOff>728383</xdr:colOff>
      <xdr:row>40</xdr:row>
      <xdr:rowOff>112059</xdr:rowOff>
    </xdr:to>
    <xdr:graphicFrame macro="">
      <xdr:nvGraphicFramePr>
        <xdr:cNvPr id="16406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1164660</xdr:colOff>
      <xdr:row>0</xdr:row>
      <xdr:rowOff>182934</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90600" y="0"/>
          <a:ext cx="1165780"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1164660</xdr:colOff>
      <xdr:row>0</xdr:row>
      <xdr:rowOff>182934</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90600" y="0"/>
          <a:ext cx="1165780" cy="182934"/>
        </a:xfrm>
        <a:prstGeom prst="rect">
          <a:avLst/>
        </a:prstGeom>
        <a:ln>
          <a:noFill/>
        </a:ln>
        <a:effectLst>
          <a:softEdge rad="112500"/>
        </a:effectLst>
      </xdr:spPr>
    </xdr:pic>
    <xdr:clientData/>
  </xdr:twoCellAnchor>
  <xdr:twoCellAnchor editAs="oneCell">
    <xdr:from>
      <xdr:col>0</xdr:col>
      <xdr:colOff>474008</xdr:colOff>
      <xdr:row>0</xdr:row>
      <xdr:rowOff>119965</xdr:rowOff>
    </xdr:from>
    <xdr:to>
      <xdr:col>1</xdr:col>
      <xdr:colOff>235324</xdr:colOff>
      <xdr:row>0</xdr:row>
      <xdr:rowOff>656665</xdr:rowOff>
    </xdr:to>
    <xdr:pic>
      <xdr:nvPicPr>
        <xdr:cNvPr id="211172" name="3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008" y="119965"/>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44823</xdr:rowOff>
    </xdr:from>
    <xdr:to>
      <xdr:col>8</xdr:col>
      <xdr:colOff>1792941</xdr:colOff>
      <xdr:row>44</xdr:row>
      <xdr:rowOff>112058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581025</xdr:colOff>
      <xdr:row>0</xdr:row>
      <xdr:rowOff>57150</xdr:rowOff>
    </xdr:from>
    <xdr:to>
      <xdr:col>0</xdr:col>
      <xdr:colOff>1238250</xdr:colOff>
      <xdr:row>0</xdr:row>
      <xdr:rowOff>466725</xdr:rowOff>
    </xdr:to>
    <xdr:pic>
      <xdr:nvPicPr>
        <xdr:cNvPr id="212081"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57150"/>
          <a:ext cx="6572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xdr:colOff>
      <xdr:row>11</xdr:row>
      <xdr:rowOff>117724</xdr:rowOff>
    </xdr:from>
    <xdr:to>
      <xdr:col>9</xdr:col>
      <xdr:colOff>503005</xdr:colOff>
      <xdr:row>24</xdr:row>
      <xdr:rowOff>107022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171237</xdr:colOff>
      <xdr:row>2</xdr:row>
      <xdr:rowOff>246151</xdr:rowOff>
    </xdr:from>
    <xdr:to>
      <xdr:col>9</xdr:col>
      <xdr:colOff>321068</xdr:colOff>
      <xdr:row>10</xdr:row>
      <xdr:rowOff>64214</xdr:rowOff>
    </xdr:to>
    <xdr:sp macro="" textlink="">
      <xdr:nvSpPr>
        <xdr:cNvPr id="4" name="3 Explosión 2"/>
        <xdr:cNvSpPr/>
      </xdr:nvSpPr>
      <xdr:spPr>
        <a:xfrm>
          <a:off x="7898259" y="877584"/>
          <a:ext cx="1797978" cy="888287"/>
        </a:xfrm>
        <a:prstGeom prst="irregularSeal2">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Chequear</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0.26955</cdr:x>
      <cdr:y>0.00456</cdr:y>
    </cdr:from>
    <cdr:to>
      <cdr:x>0.79392</cdr:x>
      <cdr:y>0.13936</cdr:y>
    </cdr:to>
    <cdr:sp macro="" textlink="">
      <cdr:nvSpPr>
        <cdr:cNvPr id="2" name="1 CuadroTexto"/>
        <cdr:cNvSpPr txBox="1"/>
      </cdr:nvSpPr>
      <cdr:spPr>
        <a:xfrm xmlns:a="http://schemas.openxmlformats.org/drawingml/2006/main">
          <a:off x="6540614" y="52360"/>
          <a:ext cx="12723698" cy="154784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3600" b="1"/>
            <a:t>Porcentaje de Cápitas Pagadas por Afiliados del SFS con Relación a la Población Nacional </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76200</xdr:colOff>
      <xdr:row>38</xdr:row>
      <xdr:rowOff>85725</xdr:rowOff>
    </xdr:from>
    <xdr:to>
      <xdr:col>11</xdr:col>
      <xdr:colOff>895350</xdr:colOff>
      <xdr:row>63</xdr:row>
      <xdr:rowOff>104775</xdr:rowOff>
    </xdr:to>
    <xdr:graphicFrame macro="">
      <xdr:nvGraphicFramePr>
        <xdr:cNvPr id="8010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593912</xdr:colOff>
      <xdr:row>37</xdr:row>
      <xdr:rowOff>134471</xdr:rowOff>
    </xdr:from>
    <xdr:ext cx="184731" cy="264560"/>
    <xdr:sp macro="" textlink="">
      <xdr:nvSpPr>
        <xdr:cNvPr id="4" name="3 CuadroTexto"/>
        <xdr:cNvSpPr txBox="1"/>
      </xdr:nvSpPr>
      <xdr:spPr>
        <a:xfrm>
          <a:off x="593912" y="77320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DO"/>
        </a:p>
      </xdr:txBody>
    </xdr:sp>
    <xdr:clientData/>
  </xdr:oneCellAnchor>
  <xdr:twoCellAnchor editAs="oneCell">
    <xdr:from>
      <xdr:col>0</xdr:col>
      <xdr:colOff>76200</xdr:colOff>
      <xdr:row>0</xdr:row>
      <xdr:rowOff>76200</xdr:rowOff>
    </xdr:from>
    <xdr:to>
      <xdr:col>1</xdr:col>
      <xdr:colOff>200025</xdr:colOff>
      <xdr:row>0</xdr:row>
      <xdr:rowOff>571500</xdr:rowOff>
    </xdr:to>
    <xdr:pic>
      <xdr:nvPicPr>
        <xdr:cNvPr id="80103"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76200"/>
          <a:ext cx="8858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44824</xdr:colOff>
      <xdr:row>37</xdr:row>
      <xdr:rowOff>43928</xdr:rowOff>
    </xdr:from>
    <xdr:to>
      <xdr:col>0</xdr:col>
      <xdr:colOff>235324</xdr:colOff>
      <xdr:row>37</xdr:row>
      <xdr:rowOff>145677</xdr:rowOff>
    </xdr:to>
    <xdr:sp macro="" textlink="">
      <xdr:nvSpPr>
        <xdr:cNvPr id="6" name="5 Rectángulo"/>
        <xdr:cNvSpPr/>
      </xdr:nvSpPr>
      <xdr:spPr>
        <a:xfrm>
          <a:off x="44824" y="8594016"/>
          <a:ext cx="190500" cy="101749"/>
        </a:xfrm>
        <a:prstGeom prst="rect">
          <a:avLst/>
        </a:pr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41.xml><?xml version="1.0" encoding="utf-8"?>
<c:userShapes xmlns:c="http://schemas.openxmlformats.org/drawingml/2006/chart">
  <cdr:relSizeAnchor xmlns:cdr="http://schemas.openxmlformats.org/drawingml/2006/chartDrawing">
    <cdr:from>
      <cdr:x>0.00981</cdr:x>
      <cdr:y>0.94583</cdr:y>
    </cdr:from>
    <cdr:to>
      <cdr:x>0.14524</cdr:x>
      <cdr:y>0.99668</cdr:y>
    </cdr:to>
    <cdr:sp macro="" textlink="">
      <cdr:nvSpPr>
        <cdr:cNvPr id="2" name="1 CuadroTexto"/>
        <cdr:cNvSpPr txBox="1"/>
      </cdr:nvSpPr>
      <cdr:spPr>
        <a:xfrm xmlns:a="http://schemas.openxmlformats.org/drawingml/2006/main">
          <a:off x="109710" y="4515113"/>
          <a:ext cx="1514577" cy="2427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2</xdr:col>
      <xdr:colOff>9893</xdr:colOff>
      <xdr:row>0</xdr:row>
      <xdr:rowOff>182934</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90600" y="0"/>
          <a:ext cx="1162418"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2</xdr:col>
      <xdr:colOff>9893</xdr:colOff>
      <xdr:row>0</xdr:row>
      <xdr:rowOff>182934</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90600" y="0"/>
          <a:ext cx="1162418" cy="182934"/>
        </a:xfrm>
        <a:prstGeom prst="rect">
          <a:avLst/>
        </a:prstGeom>
        <a:ln>
          <a:noFill/>
        </a:ln>
        <a:effectLst>
          <a:softEdge rad="112500"/>
        </a:effectLst>
      </xdr:spPr>
    </xdr:pic>
    <xdr:clientData/>
  </xdr:twoCellAnchor>
  <xdr:twoCellAnchor editAs="oneCell">
    <xdr:from>
      <xdr:col>0</xdr:col>
      <xdr:colOff>552450</xdr:colOff>
      <xdr:row>0</xdr:row>
      <xdr:rowOff>66675</xdr:rowOff>
    </xdr:from>
    <xdr:to>
      <xdr:col>1</xdr:col>
      <xdr:colOff>571500</xdr:colOff>
      <xdr:row>0</xdr:row>
      <xdr:rowOff>533400</xdr:rowOff>
    </xdr:to>
    <xdr:pic>
      <xdr:nvPicPr>
        <xdr:cNvPr id="4" name="3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66675"/>
          <a:ext cx="752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44823</xdr:rowOff>
    </xdr:from>
    <xdr:to>
      <xdr:col>11</xdr:col>
      <xdr:colOff>1154206</xdr:colOff>
      <xdr:row>51</xdr:row>
      <xdr:rowOff>44823</xdr:rowOff>
    </xdr:to>
    <xdr:graphicFrame macro="">
      <xdr:nvGraphicFramePr>
        <xdr:cNvPr id="5"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2</xdr:col>
      <xdr:colOff>465271</xdr:colOff>
      <xdr:row>0</xdr:row>
      <xdr:rowOff>182934</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76325" y="0"/>
          <a:ext cx="1137464"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2</xdr:col>
      <xdr:colOff>465271</xdr:colOff>
      <xdr:row>0</xdr:row>
      <xdr:rowOff>182934</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76325" y="0"/>
          <a:ext cx="1137464" cy="182934"/>
        </a:xfrm>
        <a:prstGeom prst="rect">
          <a:avLst/>
        </a:prstGeom>
        <a:ln>
          <a:noFill/>
        </a:ln>
        <a:effectLst>
          <a:softEdge rad="112500"/>
        </a:effectLst>
      </xdr:spPr>
    </xdr:pic>
    <xdr:clientData/>
  </xdr:twoCellAnchor>
  <xdr:twoCellAnchor>
    <xdr:from>
      <xdr:col>0</xdr:col>
      <xdr:colOff>27215</xdr:colOff>
      <xdr:row>10</xdr:row>
      <xdr:rowOff>231320</xdr:rowOff>
    </xdr:from>
    <xdr:to>
      <xdr:col>9</xdr:col>
      <xdr:colOff>2639786</xdr:colOff>
      <xdr:row>46</xdr:row>
      <xdr:rowOff>40821</xdr:rowOff>
    </xdr:to>
    <xdr:graphicFrame macro="">
      <xdr:nvGraphicFramePr>
        <xdr:cNvPr id="21424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270782</xdr:colOff>
      <xdr:row>0</xdr:row>
      <xdr:rowOff>148083</xdr:rowOff>
    </xdr:from>
    <xdr:to>
      <xdr:col>1</xdr:col>
      <xdr:colOff>476249</xdr:colOff>
      <xdr:row>0</xdr:row>
      <xdr:rowOff>910318</xdr:rowOff>
    </xdr:to>
    <xdr:pic>
      <xdr:nvPicPr>
        <xdr:cNvPr id="214244" name="4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782" y="148083"/>
          <a:ext cx="1021896" cy="762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734787</xdr:colOff>
      <xdr:row>20</xdr:row>
      <xdr:rowOff>95250</xdr:rowOff>
    </xdr:from>
    <xdr:to>
      <xdr:col>9</xdr:col>
      <xdr:colOff>1655961</xdr:colOff>
      <xdr:row>25</xdr:row>
      <xdr:rowOff>12788</xdr:rowOff>
    </xdr:to>
    <xdr:sp macro="" textlink="">
      <xdr:nvSpPr>
        <xdr:cNvPr id="6" name="1 Elipse"/>
        <xdr:cNvSpPr/>
      </xdr:nvSpPr>
      <xdr:spPr>
        <a:xfrm>
          <a:off x="11402787" y="5225143"/>
          <a:ext cx="921174" cy="870038"/>
        </a:xfrm>
        <a:prstGeom prst="ellipse">
          <a:avLst/>
        </a:prstGeom>
        <a:solidFill>
          <a:schemeClr val="accent5">
            <a:lumMod val="75000"/>
          </a:schemeClr>
        </a:solidFill>
      </xdr:spPr>
      <xdr:style>
        <a:lnRef idx="0">
          <a:schemeClr val="accent3"/>
        </a:lnRef>
        <a:fillRef idx="3">
          <a:schemeClr val="accent3"/>
        </a:fillRef>
        <a:effectRef idx="3">
          <a:schemeClr val="accent3"/>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DO" sz="2400"/>
            <a:t>93</a:t>
          </a:r>
        </a:p>
      </xdr:txBody>
    </xdr:sp>
    <xdr:clientData/>
  </xdr:twoCellAnchor>
</xdr:wsDr>
</file>

<file path=xl/drawings/drawing144.xml><?xml version="1.0" encoding="utf-8"?>
<c:userShapes xmlns:c="http://schemas.openxmlformats.org/drawingml/2006/chart">
  <cdr:relSizeAnchor xmlns:cdr="http://schemas.openxmlformats.org/drawingml/2006/chartDrawing">
    <cdr:from>
      <cdr:x>0.0231</cdr:x>
      <cdr:y>0.93676</cdr:y>
    </cdr:from>
    <cdr:to>
      <cdr:x>0.52642</cdr:x>
      <cdr:y>0.97993</cdr:y>
    </cdr:to>
    <cdr:sp macro="" textlink="">
      <cdr:nvSpPr>
        <cdr:cNvPr id="2" name="1 CuadroTexto"/>
        <cdr:cNvSpPr txBox="1"/>
      </cdr:nvSpPr>
      <cdr:spPr>
        <a:xfrm xmlns:a="http://schemas.openxmlformats.org/drawingml/2006/main">
          <a:off x="308289" y="6157894"/>
          <a:ext cx="6718621" cy="2837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1400" b="1"/>
            <a:t>Fuente: </a:t>
          </a:r>
          <a:r>
            <a:rPr lang="es-ES" sz="1400"/>
            <a:t>CNSS/ AEISS</a:t>
          </a:r>
        </a:p>
      </cdr:txBody>
    </cdr:sp>
  </cdr:relSizeAnchor>
  <cdr:relSizeAnchor xmlns:cdr="http://schemas.openxmlformats.org/drawingml/2006/chartDrawing">
    <cdr:from>
      <cdr:x>0.05388</cdr:x>
      <cdr:y>0.61446</cdr:y>
    </cdr:from>
    <cdr:to>
      <cdr:x>0.11373</cdr:x>
      <cdr:y>0.72058</cdr:y>
    </cdr:to>
    <cdr:sp macro="" textlink="">
      <cdr:nvSpPr>
        <cdr:cNvPr id="3" name="2 Elipse"/>
        <cdr:cNvSpPr/>
      </cdr:nvSpPr>
      <cdr:spPr>
        <a:xfrm xmlns:a="http://schemas.openxmlformats.org/drawingml/2006/main">
          <a:off x="715519" y="4163786"/>
          <a:ext cx="794875" cy="719155"/>
        </a:xfrm>
        <a:prstGeom xmlns:a="http://schemas.openxmlformats.org/drawingml/2006/main" prst="ellipse">
          <a:avLst/>
        </a:prstGeom>
        <a:solidFill xmlns:a="http://schemas.openxmlformats.org/drawingml/2006/main">
          <a:schemeClr val="accent5">
            <a:lumMod val="75000"/>
          </a:schemeClr>
        </a:solidFill>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s-DO" sz="2000"/>
            <a:t>24</a:t>
          </a:r>
        </a:p>
      </cdr:txBody>
    </cdr:sp>
  </cdr:relSizeAnchor>
  <cdr:relSizeAnchor xmlns:cdr="http://schemas.openxmlformats.org/drawingml/2006/chartDrawing">
    <cdr:from>
      <cdr:x>0.21509</cdr:x>
      <cdr:y>0.54016</cdr:y>
    </cdr:from>
    <cdr:to>
      <cdr:x>0.27869</cdr:x>
      <cdr:y>0.65498</cdr:y>
    </cdr:to>
    <cdr:sp macro="" textlink="">
      <cdr:nvSpPr>
        <cdr:cNvPr id="4" name="1 Elipse"/>
        <cdr:cNvSpPr/>
      </cdr:nvSpPr>
      <cdr:spPr>
        <a:xfrm xmlns:a="http://schemas.openxmlformats.org/drawingml/2006/main">
          <a:off x="2856551" y="3660322"/>
          <a:ext cx="844592" cy="778062"/>
        </a:xfrm>
        <a:prstGeom xmlns:a="http://schemas.openxmlformats.org/drawingml/2006/main" prst="ellipse">
          <a:avLst/>
        </a:prstGeom>
        <a:solidFill xmlns:a="http://schemas.openxmlformats.org/drawingml/2006/main">
          <a:schemeClr val="accent5">
            <a:lumMod val="75000"/>
          </a:schemeClr>
        </a:solidFill>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2400"/>
            <a:t>39</a:t>
          </a:r>
        </a:p>
      </cdr:txBody>
    </cdr:sp>
  </cdr:relSizeAnchor>
  <cdr:relSizeAnchor xmlns:cdr="http://schemas.openxmlformats.org/drawingml/2006/chartDrawing">
    <cdr:from>
      <cdr:x>0.37397</cdr:x>
      <cdr:y>0.30522</cdr:y>
    </cdr:from>
    <cdr:to>
      <cdr:x>0.43648</cdr:x>
      <cdr:y>0.42805</cdr:y>
    </cdr:to>
    <cdr:sp macro="" textlink="">
      <cdr:nvSpPr>
        <cdr:cNvPr id="5" name="1 Elipse"/>
        <cdr:cNvSpPr/>
      </cdr:nvSpPr>
      <cdr:spPr>
        <a:xfrm xmlns:a="http://schemas.openxmlformats.org/drawingml/2006/main">
          <a:off x="4966524" y="2068285"/>
          <a:ext cx="830118" cy="832346"/>
        </a:xfrm>
        <a:prstGeom xmlns:a="http://schemas.openxmlformats.org/drawingml/2006/main" prst="ellipse">
          <a:avLst/>
        </a:prstGeom>
        <a:solidFill xmlns:a="http://schemas.openxmlformats.org/drawingml/2006/main">
          <a:schemeClr val="accent5">
            <a:lumMod val="75000"/>
          </a:schemeClr>
        </a:solidFill>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2400"/>
            <a:t>86</a:t>
          </a:r>
        </a:p>
      </cdr:txBody>
    </cdr:sp>
  </cdr:relSizeAnchor>
  <cdr:relSizeAnchor xmlns:cdr="http://schemas.openxmlformats.org/drawingml/2006/chartDrawing">
    <cdr:from>
      <cdr:x>0.53176</cdr:x>
      <cdr:y>0.26707</cdr:y>
    </cdr:from>
    <cdr:to>
      <cdr:x>0.60139</cdr:x>
      <cdr:y>0.39649</cdr:y>
    </cdr:to>
    <cdr:sp macro="" textlink="">
      <cdr:nvSpPr>
        <cdr:cNvPr id="6" name="1 Elipse"/>
        <cdr:cNvSpPr/>
      </cdr:nvSpPr>
      <cdr:spPr>
        <a:xfrm xmlns:a="http://schemas.openxmlformats.org/drawingml/2006/main">
          <a:off x="7062108" y="1809751"/>
          <a:ext cx="924640" cy="877017"/>
        </a:xfrm>
        <a:prstGeom xmlns:a="http://schemas.openxmlformats.org/drawingml/2006/main" prst="ellipse">
          <a:avLst/>
        </a:prstGeom>
        <a:solidFill xmlns:a="http://schemas.openxmlformats.org/drawingml/2006/main">
          <a:schemeClr val="accent5">
            <a:lumMod val="75000"/>
          </a:schemeClr>
        </a:solidFill>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2400"/>
            <a:t>93</a:t>
          </a:r>
        </a:p>
      </cdr:txBody>
    </cdr:sp>
  </cdr:relSizeAnchor>
  <cdr:relSizeAnchor xmlns:cdr="http://schemas.openxmlformats.org/drawingml/2006/chartDrawing">
    <cdr:from>
      <cdr:x>0.69734</cdr:x>
      <cdr:y>0.27542</cdr:y>
    </cdr:from>
    <cdr:to>
      <cdr:x>0.76649</cdr:x>
      <cdr:y>0.40717</cdr:y>
    </cdr:to>
    <cdr:sp macro="" textlink="">
      <cdr:nvSpPr>
        <cdr:cNvPr id="7" name="1 Elipse"/>
        <cdr:cNvSpPr/>
      </cdr:nvSpPr>
      <cdr:spPr>
        <a:xfrm xmlns:a="http://schemas.openxmlformats.org/drawingml/2006/main">
          <a:off x="9261124" y="1866315"/>
          <a:ext cx="918352" cy="892785"/>
        </a:xfrm>
        <a:prstGeom xmlns:a="http://schemas.openxmlformats.org/drawingml/2006/main" prst="ellipse">
          <a:avLst/>
        </a:prstGeom>
        <a:solidFill xmlns:a="http://schemas.openxmlformats.org/drawingml/2006/main">
          <a:schemeClr val="accent5">
            <a:lumMod val="75000"/>
          </a:schemeClr>
        </a:solidFill>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2400"/>
            <a:t>92</a:t>
          </a:r>
        </a:p>
      </cdr:txBody>
    </cdr:sp>
  </cdr:relSizeAnchor>
</c:userShapes>
</file>

<file path=xl/drawings/drawing145.xml><?xml version="1.0" encoding="utf-8"?>
<xdr:wsDr xmlns:xdr="http://schemas.openxmlformats.org/drawingml/2006/spreadsheetDrawing" xmlns:a="http://schemas.openxmlformats.org/drawingml/2006/main">
  <xdr:twoCellAnchor>
    <xdr:from>
      <xdr:col>2</xdr:col>
      <xdr:colOff>108857</xdr:colOff>
      <xdr:row>2</xdr:row>
      <xdr:rowOff>183414</xdr:rowOff>
    </xdr:from>
    <xdr:to>
      <xdr:col>15</xdr:col>
      <xdr:colOff>479285</xdr:colOff>
      <xdr:row>49</xdr:row>
      <xdr:rowOff>27215</xdr:rowOff>
    </xdr:to>
    <xdr:pic>
      <xdr:nvPicPr>
        <xdr:cNvPr id="4"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5198" t="11892" r="34622" b="39808"/>
        <a:stretch/>
      </xdr:blipFill>
      <xdr:spPr bwMode="auto">
        <a:xfrm>
          <a:off x="1632857" y="564414"/>
          <a:ext cx="10358071" cy="8797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14</xdr:row>
      <xdr:rowOff>176893</xdr:rowOff>
    </xdr:from>
    <xdr:to>
      <xdr:col>15</xdr:col>
      <xdr:colOff>244928</xdr:colOff>
      <xdr:row>36</xdr:row>
      <xdr:rowOff>40822</xdr:rowOff>
    </xdr:to>
    <xdr:sp macro="" textlink="">
      <xdr:nvSpPr>
        <xdr:cNvPr id="2" name="1 CuadroTexto"/>
        <xdr:cNvSpPr txBox="1"/>
      </xdr:nvSpPr>
      <xdr:spPr>
        <a:xfrm>
          <a:off x="2571750" y="2843893"/>
          <a:ext cx="9184821" cy="405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a:t>
          </a:r>
          <a:r>
            <a:rPr lang="es-DO" sz="6000" b="1" baseline="0">
              <a:solidFill>
                <a:schemeClr val="accent3">
                  <a:lumMod val="50000"/>
                </a:schemeClr>
              </a:solidFill>
              <a:effectLst/>
              <a:latin typeface="+mn-lt"/>
              <a:ea typeface="+mn-ea"/>
              <a:cs typeface="+mn-cs"/>
            </a:rPr>
            <a:t>ubsidios</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baseline="0">
              <a:solidFill>
                <a:srgbClr val="0070C0"/>
              </a:solidFill>
              <a:effectLst/>
              <a:latin typeface="+mn-lt"/>
              <a:ea typeface="+mn-ea"/>
              <a:cs typeface="+mn-cs"/>
            </a:rPr>
            <a:t>M</a:t>
          </a:r>
          <a:r>
            <a:rPr lang="es-DO" sz="5400" b="1" baseline="0">
              <a:solidFill>
                <a:schemeClr val="accent3">
                  <a:lumMod val="50000"/>
                </a:schemeClr>
              </a:solidFill>
              <a:effectLst/>
              <a:latin typeface="+mn-lt"/>
              <a:ea typeface="+mn-ea"/>
              <a:cs typeface="+mn-cs"/>
            </a:rPr>
            <a:t>aternidad,</a:t>
          </a:r>
          <a:r>
            <a:rPr lang="es-DO" sz="5400" b="1" baseline="0">
              <a:solidFill>
                <a:sysClr val="windowText" lastClr="000000"/>
              </a:solidFill>
              <a:effectLst/>
              <a:latin typeface="+mn-lt"/>
              <a:ea typeface="+mn-ea"/>
              <a:cs typeface="+mn-cs"/>
            </a:rPr>
            <a:t> </a:t>
          </a:r>
          <a:r>
            <a:rPr lang="es-DO" sz="6000" b="1" baseline="0">
              <a:solidFill>
                <a:srgbClr val="0070C0"/>
              </a:solidFill>
              <a:effectLst/>
              <a:latin typeface="+mn-lt"/>
              <a:ea typeface="+mn-ea"/>
              <a:cs typeface="+mn-cs"/>
            </a:rPr>
            <a:t>L</a:t>
          </a:r>
          <a:r>
            <a:rPr lang="es-DO" sz="5400" b="1" baseline="0">
              <a:solidFill>
                <a:schemeClr val="accent3">
                  <a:lumMod val="50000"/>
                </a:schemeClr>
              </a:solidFill>
              <a:effectLst/>
              <a:latin typeface="+mn-lt"/>
              <a:ea typeface="+mn-ea"/>
              <a:cs typeface="+mn-cs"/>
            </a:rPr>
            <a:t>actancia</a:t>
          </a:r>
          <a:r>
            <a:rPr lang="es-DO" sz="5400" b="1" baseline="0">
              <a:solidFill>
                <a:sysClr val="windowText" lastClr="000000"/>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ysClr val="windowText" lastClr="000000"/>
              </a:solidFill>
              <a:effectLst/>
              <a:latin typeface="+mn-lt"/>
              <a:ea typeface="+mn-ea"/>
              <a:cs typeface="+mn-cs"/>
            </a:rPr>
            <a:t> </a:t>
          </a:r>
          <a:r>
            <a:rPr lang="es-DO" sz="6000" b="1" baseline="0">
              <a:solidFill>
                <a:srgbClr val="0070C0"/>
              </a:solidFill>
              <a:effectLst/>
              <a:latin typeface="+mn-lt"/>
              <a:ea typeface="+mn-ea"/>
              <a:cs typeface="+mn-cs"/>
            </a:rPr>
            <a:t>E</a:t>
          </a:r>
          <a:r>
            <a:rPr lang="es-DO" sz="5400" b="1" baseline="0">
              <a:solidFill>
                <a:schemeClr val="accent3">
                  <a:lumMod val="50000"/>
                </a:schemeClr>
              </a:solidFill>
              <a:effectLst/>
              <a:latin typeface="+mn-lt"/>
              <a:ea typeface="+mn-ea"/>
              <a:cs typeface="+mn-cs"/>
            </a:rPr>
            <a:t>nfermedad</a:t>
          </a:r>
          <a:r>
            <a:rPr lang="es-DO" sz="5400" b="1" baseline="0">
              <a:solidFill>
                <a:sysClr val="windowText" lastClr="000000"/>
              </a:solidFill>
              <a:effectLst/>
              <a:latin typeface="+mn-lt"/>
              <a:ea typeface="+mn-ea"/>
              <a:cs typeface="+mn-cs"/>
            </a:rPr>
            <a:t> </a:t>
          </a:r>
          <a:r>
            <a:rPr lang="es-DO" sz="6000" b="1" baseline="0">
              <a:solidFill>
                <a:srgbClr val="0070C0"/>
              </a:solidFill>
              <a:effectLst/>
              <a:latin typeface="+mn-lt"/>
              <a:ea typeface="+mn-ea"/>
              <a:cs typeface="+mn-cs"/>
            </a:rPr>
            <a:t>C</a:t>
          </a:r>
          <a:r>
            <a:rPr lang="es-DO" sz="5400" b="1" baseline="0">
              <a:solidFill>
                <a:schemeClr val="accent3">
                  <a:lumMod val="50000"/>
                </a:schemeClr>
              </a:solidFill>
              <a:effectLst/>
              <a:latin typeface="+mn-lt"/>
              <a:ea typeface="+mn-ea"/>
              <a:cs typeface="+mn-cs"/>
            </a:rPr>
            <a:t>omún</a:t>
          </a:r>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266699</xdr:colOff>
      <xdr:row>0</xdr:row>
      <xdr:rowOff>174170</xdr:rowOff>
    </xdr:from>
    <xdr:to>
      <xdr:col>0</xdr:col>
      <xdr:colOff>876300</xdr:colOff>
      <xdr:row>0</xdr:row>
      <xdr:rowOff>609600</xdr:rowOff>
    </xdr:to>
    <xdr:pic>
      <xdr:nvPicPr>
        <xdr:cNvPr id="21520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174170"/>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7</xdr:row>
      <xdr:rowOff>142874</xdr:rowOff>
    </xdr:from>
    <xdr:to>
      <xdr:col>11</xdr:col>
      <xdr:colOff>1352550</xdr:colOff>
      <xdr:row>31</xdr:row>
      <xdr:rowOff>142875</xdr:rowOff>
    </xdr:to>
    <xdr:graphicFrame macro="">
      <xdr:nvGraphicFramePr>
        <xdr:cNvPr id="21521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5" name="4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73478</xdr:colOff>
      <xdr:row>0</xdr:row>
      <xdr:rowOff>70757</xdr:rowOff>
    </xdr:from>
    <xdr:to>
      <xdr:col>0</xdr:col>
      <xdr:colOff>1129393</xdr:colOff>
      <xdr:row>0</xdr:row>
      <xdr:rowOff>843643</xdr:rowOff>
    </xdr:to>
    <xdr:pic>
      <xdr:nvPicPr>
        <xdr:cNvPr id="21618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78" y="70757"/>
          <a:ext cx="1055915" cy="77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xdr:row>
      <xdr:rowOff>95250</xdr:rowOff>
    </xdr:from>
    <xdr:to>
      <xdr:col>12</xdr:col>
      <xdr:colOff>666750</xdr:colOff>
      <xdr:row>33</xdr:row>
      <xdr:rowOff>86178</xdr:rowOff>
    </xdr:to>
    <xdr:graphicFrame macro="">
      <xdr:nvGraphicFramePr>
        <xdr:cNvPr id="21618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userShapes>
</file>

<file path=xl/drawings/drawing149.xml><?xml version="1.0" encoding="utf-8"?>
<xdr:wsDr xmlns:xdr="http://schemas.openxmlformats.org/drawingml/2006/spreadsheetDrawing" xmlns:a="http://schemas.openxmlformats.org/drawingml/2006/main">
  <xdr:twoCellAnchor>
    <xdr:from>
      <xdr:col>3</xdr:col>
      <xdr:colOff>598713</xdr:colOff>
      <xdr:row>4</xdr:row>
      <xdr:rowOff>54428</xdr:rowOff>
    </xdr:from>
    <xdr:to>
      <xdr:col>13</xdr:col>
      <xdr:colOff>625928</xdr:colOff>
      <xdr:row>41</xdr:row>
      <xdr:rowOff>5662</xdr:rowOff>
    </xdr:to>
    <xdr:pic>
      <xdr:nvPicPr>
        <xdr:cNvPr id="4"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4948" t="12219" r="34315" b="39976"/>
        <a:stretch/>
      </xdr:blipFill>
      <xdr:spPr bwMode="auto">
        <a:xfrm>
          <a:off x="2884713" y="816428"/>
          <a:ext cx="7728858" cy="6999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17</xdr:col>
      <xdr:colOff>707571</xdr:colOff>
      <xdr:row>52</xdr:row>
      <xdr:rowOff>95249</xdr:rowOff>
    </xdr:to>
    <xdr:sp macro="" textlink="">
      <xdr:nvSpPr>
        <xdr:cNvPr id="3" name="2 CuadroTexto"/>
        <xdr:cNvSpPr txBox="1"/>
      </xdr:nvSpPr>
      <xdr:spPr>
        <a:xfrm>
          <a:off x="0" y="0"/>
          <a:ext cx="13743214" cy="10001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000" b="1" baseline="0">
              <a:solidFill>
                <a:srgbClr val="0070C0"/>
              </a:solidFill>
              <a:effectLst/>
              <a:latin typeface="+mn-lt"/>
              <a:ea typeface="+mn-ea"/>
              <a:cs typeface="+mn-cs"/>
            </a:rPr>
            <a:t>S</a:t>
          </a:r>
          <a:r>
            <a:rPr lang="es-DO" sz="6000" b="1">
              <a:solidFill>
                <a:schemeClr val="accent3">
                  <a:lumMod val="50000"/>
                </a:schemeClr>
              </a:solidFill>
            </a:rPr>
            <a:t>eguro </a:t>
          </a:r>
          <a:r>
            <a:rPr lang="es-DO" sz="6000" b="1" baseline="0">
              <a:solidFill>
                <a:srgbClr val="0070C0"/>
              </a:solidFill>
              <a:effectLst/>
              <a:latin typeface="+mn-lt"/>
              <a:ea typeface="+mn-ea"/>
              <a:cs typeface="+mn-cs"/>
            </a:rPr>
            <a:t>d</a:t>
          </a:r>
          <a:r>
            <a:rPr lang="es-DO" sz="6000" b="1">
              <a:solidFill>
                <a:schemeClr val="accent3">
                  <a:lumMod val="50000"/>
                </a:schemeClr>
              </a:solidFill>
            </a:rPr>
            <a:t>e </a:t>
          </a:r>
          <a:r>
            <a:rPr lang="es-DO" sz="6000" b="1" baseline="0">
              <a:solidFill>
                <a:srgbClr val="0070C0"/>
              </a:solidFill>
              <a:effectLst/>
              <a:latin typeface="+mn-lt"/>
              <a:ea typeface="+mn-ea"/>
              <a:cs typeface="+mn-cs"/>
            </a:rPr>
            <a:t>V</a:t>
          </a:r>
          <a:r>
            <a:rPr lang="es-DO" sz="6000" b="1">
              <a:solidFill>
                <a:schemeClr val="accent3">
                  <a:lumMod val="50000"/>
                </a:schemeClr>
              </a:solidFill>
            </a:rPr>
            <a:t>ejez, </a:t>
          </a:r>
          <a:r>
            <a:rPr lang="es-DO" sz="6000" b="1" baseline="0">
              <a:solidFill>
                <a:srgbClr val="0070C0"/>
              </a:solidFill>
              <a:effectLst/>
              <a:latin typeface="+mn-lt"/>
              <a:ea typeface="+mn-ea"/>
              <a:cs typeface="+mn-cs"/>
            </a:rPr>
            <a:t>D</a:t>
          </a:r>
          <a:r>
            <a:rPr lang="es-DO" sz="6000" b="1">
              <a:solidFill>
                <a:schemeClr val="accent3">
                  <a:lumMod val="50000"/>
                </a:schemeClr>
              </a:solidFill>
            </a:rPr>
            <a:t>iscapacidad y </a:t>
          </a:r>
          <a:r>
            <a:rPr lang="es-DO" sz="6000" b="1" baseline="0">
              <a:solidFill>
                <a:srgbClr val="0070C0"/>
              </a:solidFill>
              <a:effectLst/>
              <a:latin typeface="+mn-lt"/>
              <a:ea typeface="+mn-ea"/>
              <a:cs typeface="+mn-cs"/>
            </a:rPr>
            <a:t>S</a:t>
          </a:r>
          <a:r>
            <a:rPr lang="es-DO" sz="6000" b="1">
              <a:solidFill>
                <a:schemeClr val="accent3">
                  <a:lumMod val="50000"/>
                </a:schemeClr>
              </a:solidFill>
            </a:rPr>
            <a:t>obrevivencia</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accent3">
                  <a:lumMod val="50000"/>
                </a:schemeClr>
              </a:solidFill>
            </a:rPr>
            <a:t> </a:t>
          </a:r>
          <a:r>
            <a:rPr lang="es-DO" sz="5400" b="1" baseline="0">
              <a:solidFill>
                <a:srgbClr val="0070C0"/>
              </a:solidFill>
              <a:effectLst/>
              <a:latin typeface="+mn-lt"/>
              <a:ea typeface="+mn-ea"/>
              <a:cs typeface="+mn-cs"/>
            </a:rPr>
            <a:t>(</a:t>
          </a:r>
          <a:r>
            <a:rPr lang="es-DO" sz="5400" b="1" baseline="0">
              <a:solidFill>
                <a:schemeClr val="accent3">
                  <a:lumMod val="50000"/>
                </a:schemeClr>
              </a:solidFill>
            </a:rPr>
            <a:t>SVDS</a:t>
          </a:r>
          <a:r>
            <a:rPr lang="es-DO" sz="5400" b="1" baseline="0">
              <a:solidFill>
                <a:srgbClr val="0070C0"/>
              </a:solidFill>
              <a:effectLst/>
              <a:latin typeface="+mn-lt"/>
              <a:ea typeface="+mn-ea"/>
              <a:cs typeface="+mn-cs"/>
            </a:rPr>
            <a:t>)</a:t>
          </a:r>
          <a:r>
            <a:rPr lang="es-DO" sz="5400" b="1">
              <a:solidFill>
                <a:schemeClr val="accent3">
                  <a:lumMod val="50000"/>
                </a:schemeClr>
              </a:solidFill>
            </a:rPr>
            <a:t>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536864</xdr:colOff>
      <xdr:row>0</xdr:row>
      <xdr:rowOff>277091</xdr:rowOff>
    </xdr:from>
    <xdr:ext cx="1019175" cy="723900"/>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64" y="277091"/>
          <a:ext cx="1019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51954</xdr:rowOff>
    </xdr:from>
    <xdr:to>
      <xdr:col>10</xdr:col>
      <xdr:colOff>1523999</xdr:colOff>
      <xdr:row>49</xdr:row>
      <xdr:rowOff>242455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752475</xdr:colOff>
      <xdr:row>0</xdr:row>
      <xdr:rowOff>0</xdr:rowOff>
    </xdr:from>
    <xdr:to>
      <xdr:col>2</xdr:col>
      <xdr:colOff>694976</xdr:colOff>
      <xdr:row>0</xdr:row>
      <xdr:rowOff>87442</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647825" y="0"/>
          <a:ext cx="1028351" cy="87442"/>
        </a:xfrm>
        <a:prstGeom prst="rect">
          <a:avLst/>
        </a:prstGeom>
        <a:ln>
          <a:noFill/>
        </a:ln>
        <a:effectLst>
          <a:softEdge rad="112500"/>
        </a:effectLst>
      </xdr:spPr>
    </xdr:pic>
    <xdr:clientData/>
  </xdr:twoCellAnchor>
  <xdr:twoCellAnchor editAs="oneCell">
    <xdr:from>
      <xdr:col>1</xdr:col>
      <xdr:colOff>752475</xdr:colOff>
      <xdr:row>0</xdr:row>
      <xdr:rowOff>38100</xdr:rowOff>
    </xdr:from>
    <xdr:to>
      <xdr:col>2</xdr:col>
      <xdr:colOff>694976</xdr:colOff>
      <xdr:row>0</xdr:row>
      <xdr:rowOff>125542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647825" y="38100"/>
          <a:ext cx="1028351" cy="87442"/>
        </a:xfrm>
        <a:prstGeom prst="rect">
          <a:avLst/>
        </a:prstGeom>
        <a:ln>
          <a:noFill/>
        </a:ln>
        <a:effectLst>
          <a:softEdge rad="112500"/>
        </a:effectLst>
      </xdr:spPr>
    </xdr:pic>
    <xdr:clientData/>
  </xdr:twoCellAnchor>
  <xdr:twoCellAnchor editAs="oneCell">
    <xdr:from>
      <xdr:col>0</xdr:col>
      <xdr:colOff>459442</xdr:colOff>
      <xdr:row>0</xdr:row>
      <xdr:rowOff>163322</xdr:rowOff>
    </xdr:from>
    <xdr:to>
      <xdr:col>1</xdr:col>
      <xdr:colOff>453151</xdr:colOff>
      <xdr:row>0</xdr:row>
      <xdr:rowOff>818030</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459442" y="163322"/>
          <a:ext cx="890180" cy="65470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15</xdr:row>
      <xdr:rowOff>100852</xdr:rowOff>
    </xdr:from>
    <xdr:to>
      <xdr:col>13</xdr:col>
      <xdr:colOff>705970</xdr:colOff>
      <xdr:row>48</xdr:row>
      <xdr:rowOff>123263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266755</xdr:colOff>
      <xdr:row>0</xdr:row>
      <xdr:rowOff>148436</xdr:rowOff>
    </xdr:from>
    <xdr:to>
      <xdr:col>2</xdr:col>
      <xdr:colOff>97630</xdr:colOff>
      <xdr:row>0</xdr:row>
      <xdr:rowOff>683559</xdr:rowOff>
    </xdr:to>
    <xdr:pic>
      <xdr:nvPicPr>
        <xdr:cNvPr id="3"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55" y="148436"/>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89647</xdr:rowOff>
    </xdr:from>
    <xdr:to>
      <xdr:col>14</xdr:col>
      <xdr:colOff>683558</xdr:colOff>
      <xdr:row>55</xdr:row>
      <xdr:rowOff>78442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1</xdr:col>
      <xdr:colOff>537883</xdr:colOff>
      <xdr:row>0</xdr:row>
      <xdr:rowOff>674594</xdr:rowOff>
    </xdr:to>
    <xdr:pic>
      <xdr:nvPicPr>
        <xdr:cNvPr id="3"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4716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30</xdr:row>
      <xdr:rowOff>0</xdr:rowOff>
    </xdr:from>
    <xdr:to>
      <xdr:col>12</xdr:col>
      <xdr:colOff>9525</xdr:colOff>
      <xdr:row>30</xdr:row>
      <xdr:rowOff>9525</xdr:rowOff>
    </xdr:to>
    <xdr:pic>
      <xdr:nvPicPr>
        <xdr:cNvPr id="4"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49150" y="9591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123264</xdr:rowOff>
    </xdr:from>
    <xdr:to>
      <xdr:col>11</xdr:col>
      <xdr:colOff>851646</xdr:colOff>
      <xdr:row>67</xdr:row>
      <xdr:rowOff>90773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721456</xdr:colOff>
      <xdr:row>0</xdr:row>
      <xdr:rowOff>286395</xdr:rowOff>
    </xdr:from>
    <xdr:to>
      <xdr:col>0</xdr:col>
      <xdr:colOff>1871600</xdr:colOff>
      <xdr:row>0</xdr:row>
      <xdr:rowOff>1032905</xdr:rowOff>
    </xdr:to>
    <xdr:pic>
      <xdr:nvPicPr>
        <xdr:cNvPr id="2"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456" y="286395"/>
          <a:ext cx="1150144" cy="74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27215</xdr:colOff>
      <xdr:row>12</xdr:row>
      <xdr:rowOff>91167</xdr:rowOff>
    </xdr:from>
    <xdr:to>
      <xdr:col>11</xdr:col>
      <xdr:colOff>966107</xdr:colOff>
      <xdr:row>53</xdr:row>
      <xdr:rowOff>54428</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508187</xdr:colOff>
      <xdr:row>0</xdr:row>
      <xdr:rowOff>215154</xdr:rowOff>
    </xdr:from>
    <xdr:to>
      <xdr:col>1</xdr:col>
      <xdr:colOff>549088</xdr:colOff>
      <xdr:row>0</xdr:row>
      <xdr:rowOff>767604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187" y="215154"/>
          <a:ext cx="735666"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90767</xdr:rowOff>
    </xdr:from>
    <xdr:to>
      <xdr:col>15</xdr:col>
      <xdr:colOff>616324</xdr:colOff>
      <xdr:row>44</xdr:row>
      <xdr:rowOff>100853</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425824</xdr:colOff>
      <xdr:row>41</xdr:row>
      <xdr:rowOff>179294</xdr:rowOff>
    </xdr:from>
    <xdr:to>
      <xdr:col>3</xdr:col>
      <xdr:colOff>381001</xdr:colOff>
      <xdr:row>43</xdr:row>
      <xdr:rowOff>123265</xdr:rowOff>
    </xdr:to>
    <xdr:sp macro="" textlink="">
      <xdr:nvSpPr>
        <xdr:cNvPr id="13" name="12 CuadroTexto"/>
        <xdr:cNvSpPr txBox="1"/>
      </xdr:nvSpPr>
      <xdr:spPr>
        <a:xfrm>
          <a:off x="425824" y="8639735"/>
          <a:ext cx="2521324" cy="3249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a:t>SIPEN</a:t>
          </a:r>
        </a:p>
      </xdr:txBody>
    </xdr:sp>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582145</xdr:colOff>
      <xdr:row>0</xdr:row>
      <xdr:rowOff>127747</xdr:rowOff>
    </xdr:from>
    <xdr:to>
      <xdr:col>1</xdr:col>
      <xdr:colOff>290792</xdr:colOff>
      <xdr:row>0</xdr:row>
      <xdr:rowOff>718297</xdr:rowOff>
    </xdr:to>
    <xdr:pic>
      <xdr:nvPicPr>
        <xdr:cNvPr id="3"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145" y="127747"/>
          <a:ext cx="762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101972</xdr:rowOff>
    </xdr:from>
    <xdr:to>
      <xdr:col>11</xdr:col>
      <xdr:colOff>640772</xdr:colOff>
      <xdr:row>34</xdr:row>
      <xdr:rowOff>121228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570939</xdr:colOff>
      <xdr:row>0</xdr:row>
      <xdr:rowOff>127747</xdr:rowOff>
    </xdr:from>
    <xdr:to>
      <xdr:col>1</xdr:col>
      <xdr:colOff>346821</xdr:colOff>
      <xdr:row>0</xdr:row>
      <xdr:rowOff>718297</xdr:rowOff>
    </xdr:to>
    <xdr:pic>
      <xdr:nvPicPr>
        <xdr:cNvPr id="2"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939" y="127747"/>
          <a:ext cx="762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672354</xdr:colOff>
      <xdr:row>26</xdr:row>
      <xdr:rowOff>246529</xdr:rowOff>
    </xdr:from>
    <xdr:to>
      <xdr:col>4</xdr:col>
      <xdr:colOff>728384</xdr:colOff>
      <xdr:row>27</xdr:row>
      <xdr:rowOff>212911</xdr:rowOff>
    </xdr:to>
    <xdr:sp macro="" textlink="">
      <xdr:nvSpPr>
        <xdr:cNvPr id="3" name="2 CuadroTexto"/>
        <xdr:cNvSpPr txBox="1"/>
      </xdr:nvSpPr>
      <xdr:spPr>
        <a:xfrm>
          <a:off x="672354" y="7900147"/>
          <a:ext cx="4022912" cy="2577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 </a:t>
          </a:r>
          <a:r>
            <a:rPr lang="es-DO" sz="1100"/>
            <a:t>Banco Central  y SIPEN</a:t>
          </a:r>
        </a:p>
      </xdr:txBody>
    </xdr:sp>
    <xdr:clientData/>
  </xdr:twoCellAnchor>
  <xdr:twoCellAnchor>
    <xdr:from>
      <xdr:col>0</xdr:col>
      <xdr:colOff>0</xdr:colOff>
      <xdr:row>8</xdr:row>
      <xdr:rowOff>89647</xdr:rowOff>
    </xdr:from>
    <xdr:to>
      <xdr:col>11</xdr:col>
      <xdr:colOff>649941</xdr:colOff>
      <xdr:row>27</xdr:row>
      <xdr:rowOff>100853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0.30945</cdr:x>
      <cdr:y>0.03307</cdr:y>
    </cdr:from>
    <cdr:to>
      <cdr:x>0.80166</cdr:x>
      <cdr:y>0.13619</cdr:y>
    </cdr:to>
    <cdr:sp macro="" textlink="">
      <cdr:nvSpPr>
        <cdr:cNvPr id="2" name="1 CuadroTexto"/>
        <cdr:cNvSpPr txBox="1"/>
      </cdr:nvSpPr>
      <cdr:spPr>
        <a:xfrm xmlns:a="http://schemas.openxmlformats.org/drawingml/2006/main">
          <a:off x="3339353" y="190501"/>
          <a:ext cx="5311588" cy="5939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sz="1100"/>
        </a:p>
      </cdr:txBody>
    </cdr:sp>
  </cdr:relSizeAnchor>
  <cdr:relSizeAnchor xmlns:cdr="http://schemas.openxmlformats.org/drawingml/2006/chartDrawing">
    <cdr:from>
      <cdr:x>0.17757</cdr:x>
      <cdr:y>0.0303</cdr:y>
    </cdr:from>
    <cdr:to>
      <cdr:x>0.90135</cdr:x>
      <cdr:y>0.14747</cdr:y>
    </cdr:to>
    <cdr:sp macro="" textlink="">
      <cdr:nvSpPr>
        <cdr:cNvPr id="3" name="2 CuadroTexto"/>
        <cdr:cNvSpPr txBox="1"/>
      </cdr:nvSpPr>
      <cdr:spPr>
        <a:xfrm xmlns:a="http://schemas.openxmlformats.org/drawingml/2006/main">
          <a:off x="1916206" y="168087"/>
          <a:ext cx="7810500" cy="6499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1800" b="1"/>
            <a:t>Porcentaje de Cotizantes del SVDS por Rango de Edad Vs Poblacion Formal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550069</xdr:colOff>
      <xdr:row>0</xdr:row>
      <xdr:rowOff>166687</xdr:rowOff>
    </xdr:from>
    <xdr:to>
      <xdr:col>0</xdr:col>
      <xdr:colOff>1273968</xdr:colOff>
      <xdr:row>0</xdr:row>
      <xdr:rowOff>769936</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0069" y="166687"/>
          <a:ext cx="72389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14</xdr:row>
      <xdr:rowOff>95251</xdr:rowOff>
    </xdr:from>
    <xdr:to>
      <xdr:col>13</xdr:col>
      <xdr:colOff>523876</xdr:colOff>
      <xdr:row>37</xdr:row>
      <xdr:rowOff>178593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0.21125</cdr:x>
      <cdr:y>0.01546</cdr:y>
    </cdr:from>
    <cdr:to>
      <cdr:x>0.83416</cdr:x>
      <cdr:y>0.11168</cdr:y>
    </cdr:to>
    <cdr:sp macro="" textlink="">
      <cdr:nvSpPr>
        <cdr:cNvPr id="2" name="1 CuadroTexto"/>
        <cdr:cNvSpPr txBox="1"/>
      </cdr:nvSpPr>
      <cdr:spPr>
        <a:xfrm xmlns:a="http://schemas.openxmlformats.org/drawingml/2006/main">
          <a:off x="2515195" y="107130"/>
          <a:ext cx="7416523" cy="66677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s-DO" sz="1800" b="1"/>
            <a:t>Porcentaje de Cotizantes del SVDS por Salario Mínimo Cotizable</a:t>
          </a:r>
        </a:p>
      </cdr:txBody>
    </cdr:sp>
  </cdr:relSizeAnchor>
</c:userShapes>
</file>

<file path=xl/drawings/drawing16.xml><?xml version="1.0" encoding="utf-8"?>
<c:userShapes xmlns:c="http://schemas.openxmlformats.org/drawingml/2006/chart">
  <cdr:relSizeAnchor xmlns:cdr="http://schemas.openxmlformats.org/drawingml/2006/chartDrawing">
    <cdr:from>
      <cdr:x>0.05402</cdr:x>
      <cdr:y>0.86525</cdr:y>
    </cdr:from>
    <cdr:to>
      <cdr:x>0.51004</cdr:x>
      <cdr:y>0.94677</cdr:y>
    </cdr:to>
    <cdr:sp macro="" textlink="">
      <cdr:nvSpPr>
        <cdr:cNvPr id="4" name="1 CuadroTexto"/>
        <cdr:cNvSpPr txBox="1"/>
      </cdr:nvSpPr>
      <cdr:spPr>
        <a:xfrm xmlns:a="http://schemas.openxmlformats.org/drawingml/2006/main">
          <a:off x="1025308" y="7881911"/>
          <a:ext cx="8655555" cy="7425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s-ES" sz="1600" b="1">
              <a:effectLst/>
              <a:latin typeface="Calibri"/>
              <a:ea typeface="+mn-ea"/>
              <a:cs typeface="+mn-cs"/>
            </a:rPr>
            <a:t>Fuente: </a:t>
          </a:r>
          <a:r>
            <a:rPr lang="es-ES" sz="1600">
              <a:effectLst/>
              <a:latin typeface="Calibri"/>
              <a:ea typeface="+mn-ea"/>
              <a:cs typeface="+mn-cs"/>
            </a:rPr>
            <a:t>ONE,</a:t>
          </a:r>
          <a:r>
            <a:rPr lang="es-ES" sz="1600" baseline="0">
              <a:effectLst/>
              <a:latin typeface="Calibri"/>
              <a:ea typeface="+mn-ea"/>
              <a:cs typeface="+mn-cs"/>
            </a:rPr>
            <a:t> SIPEN</a:t>
          </a:r>
          <a:r>
            <a:rPr lang="es-ES" sz="1600">
              <a:effectLst/>
              <a:latin typeface="Calibri"/>
              <a:ea typeface="+mn-ea"/>
              <a:cs typeface="+mn-cs"/>
            </a:rPr>
            <a:t> ,TSS y SISALRIL. Procesado</a:t>
          </a:r>
          <a:r>
            <a:rPr lang="es-ES" sz="1600" baseline="0">
              <a:effectLst/>
              <a:latin typeface="Calibri"/>
              <a:ea typeface="+mn-ea"/>
              <a:cs typeface="+mn-cs"/>
            </a:rPr>
            <a:t> por departamento Estadísticas CNSS.</a:t>
          </a:r>
          <a:endParaRPr lang="es-DO" sz="1600">
            <a:effectLst/>
          </a:endParaRPr>
        </a:p>
        <a:p xmlns:a="http://schemas.openxmlformats.org/drawingml/2006/main">
          <a:r>
            <a:rPr lang="es-ES" sz="1600" b="1">
              <a:effectLst/>
              <a:latin typeface="Calibri"/>
              <a:ea typeface="+mn-ea"/>
              <a:cs typeface="+mn-cs"/>
            </a:rPr>
            <a:t>Nota: </a:t>
          </a:r>
          <a:r>
            <a:rPr lang="es-ES" sz="1600">
              <a:effectLst/>
              <a:latin typeface="Calibri"/>
              <a:ea typeface="+mn-ea"/>
              <a:cs typeface="+mn-cs"/>
            </a:rPr>
            <a:t> La Población total según el censo del año 2010 es de  9,445,281 personas.  </a:t>
          </a:r>
          <a:endParaRPr lang="es-DO" sz="1600">
            <a:effectLst/>
          </a:endParaRPr>
        </a:p>
      </cdr:txBody>
    </cdr:sp>
  </cdr:relSizeAnchor>
</c:userShapes>
</file>

<file path=xl/drawings/drawing160.xml><?xml version="1.0" encoding="utf-8"?>
<xdr:wsDr xmlns:xdr="http://schemas.openxmlformats.org/drawingml/2006/spreadsheetDrawing" xmlns:a="http://schemas.openxmlformats.org/drawingml/2006/main">
  <xdr:twoCellAnchor editAs="oneCell">
    <xdr:from>
      <xdr:col>0</xdr:col>
      <xdr:colOff>581024</xdr:colOff>
      <xdr:row>0</xdr:row>
      <xdr:rowOff>179036</xdr:rowOff>
    </xdr:from>
    <xdr:to>
      <xdr:col>1</xdr:col>
      <xdr:colOff>462643</xdr:colOff>
      <xdr:row>0</xdr:row>
      <xdr:rowOff>925286</xdr:rowOff>
    </xdr:to>
    <xdr:pic>
      <xdr:nvPicPr>
        <xdr:cNvPr id="2"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4" y="179036"/>
          <a:ext cx="1011012" cy="74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xdr:row>
      <xdr:rowOff>-1</xdr:rowOff>
    </xdr:from>
    <xdr:to>
      <xdr:col>10</xdr:col>
      <xdr:colOff>744681</xdr:colOff>
      <xdr:row>46</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631031</xdr:colOff>
      <xdr:row>0</xdr:row>
      <xdr:rowOff>123825</xdr:rowOff>
    </xdr:from>
    <xdr:to>
      <xdr:col>1</xdr:col>
      <xdr:colOff>500062</xdr:colOff>
      <xdr:row>0</xdr:row>
      <xdr:rowOff>643613</xdr:rowOff>
    </xdr:to>
    <xdr:pic>
      <xdr:nvPicPr>
        <xdr:cNvPr id="3"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031" y="123825"/>
          <a:ext cx="773906" cy="519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337142</xdr:colOff>
      <xdr:row>22</xdr:row>
      <xdr:rowOff>141286</xdr:rowOff>
    </xdr:from>
    <xdr:to>
      <xdr:col>4</xdr:col>
      <xdr:colOff>461627</xdr:colOff>
      <xdr:row>24</xdr:row>
      <xdr:rowOff>0</xdr:rowOff>
    </xdr:to>
    <xdr:sp macro="" textlink="">
      <xdr:nvSpPr>
        <xdr:cNvPr id="4" name="3 CuadroTexto"/>
        <xdr:cNvSpPr txBox="1"/>
      </xdr:nvSpPr>
      <xdr:spPr>
        <a:xfrm>
          <a:off x="2981730" y="4926198"/>
          <a:ext cx="886485" cy="2397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808,496</a:t>
          </a:r>
        </a:p>
      </xdr:txBody>
    </xdr:sp>
    <xdr:clientData/>
  </xdr:twoCellAnchor>
  <xdr:twoCellAnchor>
    <xdr:from>
      <xdr:col>4</xdr:col>
      <xdr:colOff>425823</xdr:colOff>
      <xdr:row>22</xdr:row>
      <xdr:rowOff>123264</xdr:rowOff>
    </xdr:from>
    <xdr:to>
      <xdr:col>5</xdr:col>
      <xdr:colOff>414617</xdr:colOff>
      <xdr:row>24</xdr:row>
      <xdr:rowOff>22413</xdr:rowOff>
    </xdr:to>
    <xdr:sp macro="" textlink="">
      <xdr:nvSpPr>
        <xdr:cNvPr id="5" name="4 CuadroTexto"/>
        <xdr:cNvSpPr txBox="1"/>
      </xdr:nvSpPr>
      <xdr:spPr>
        <a:xfrm>
          <a:off x="3832411" y="4908176"/>
          <a:ext cx="851647" cy="280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913,203</a:t>
          </a:r>
        </a:p>
      </xdr:txBody>
    </xdr:sp>
    <xdr:clientData/>
  </xdr:twoCellAnchor>
  <xdr:twoCellAnchor>
    <xdr:from>
      <xdr:col>5</xdr:col>
      <xdr:colOff>448235</xdr:colOff>
      <xdr:row>22</xdr:row>
      <xdr:rowOff>145677</xdr:rowOff>
    </xdr:from>
    <xdr:to>
      <xdr:col>6</xdr:col>
      <xdr:colOff>358587</xdr:colOff>
      <xdr:row>24</xdr:row>
      <xdr:rowOff>33618</xdr:rowOff>
    </xdr:to>
    <xdr:sp macro="" textlink="">
      <xdr:nvSpPr>
        <xdr:cNvPr id="6" name="5 CuadroTexto"/>
        <xdr:cNvSpPr txBox="1"/>
      </xdr:nvSpPr>
      <xdr:spPr>
        <a:xfrm>
          <a:off x="4717676" y="4930589"/>
          <a:ext cx="773205" cy="268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929,743</a:t>
          </a:r>
        </a:p>
      </xdr:txBody>
    </xdr:sp>
    <xdr:clientData/>
  </xdr:twoCellAnchor>
  <xdr:twoCellAnchor>
    <xdr:from>
      <xdr:col>6</xdr:col>
      <xdr:colOff>380999</xdr:colOff>
      <xdr:row>23</xdr:row>
      <xdr:rowOff>22413</xdr:rowOff>
    </xdr:from>
    <xdr:to>
      <xdr:col>7</xdr:col>
      <xdr:colOff>459440</xdr:colOff>
      <xdr:row>24</xdr:row>
      <xdr:rowOff>112060</xdr:rowOff>
    </xdr:to>
    <xdr:sp macro="" textlink="">
      <xdr:nvSpPr>
        <xdr:cNvPr id="7" name="6 CuadroTexto"/>
        <xdr:cNvSpPr txBox="1"/>
      </xdr:nvSpPr>
      <xdr:spPr>
        <a:xfrm>
          <a:off x="5513293" y="4997825"/>
          <a:ext cx="840441" cy="280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1,118,293</a:t>
          </a:r>
        </a:p>
      </xdr:txBody>
    </xdr:sp>
    <xdr:clientData/>
  </xdr:twoCellAnchor>
  <xdr:twoCellAnchor>
    <xdr:from>
      <xdr:col>7</xdr:col>
      <xdr:colOff>504265</xdr:colOff>
      <xdr:row>23</xdr:row>
      <xdr:rowOff>56030</xdr:rowOff>
    </xdr:from>
    <xdr:to>
      <xdr:col>8</xdr:col>
      <xdr:colOff>582707</xdr:colOff>
      <xdr:row>24</xdr:row>
      <xdr:rowOff>100854</xdr:rowOff>
    </xdr:to>
    <xdr:sp macro="" textlink="">
      <xdr:nvSpPr>
        <xdr:cNvPr id="8" name="7 CuadroTexto"/>
        <xdr:cNvSpPr txBox="1"/>
      </xdr:nvSpPr>
      <xdr:spPr>
        <a:xfrm>
          <a:off x="6398559" y="5031442"/>
          <a:ext cx="840442" cy="235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1,189,601</a:t>
          </a:r>
        </a:p>
      </xdr:txBody>
    </xdr:sp>
    <xdr:clientData/>
  </xdr:twoCellAnchor>
  <xdr:twoCellAnchor>
    <xdr:from>
      <xdr:col>8</xdr:col>
      <xdr:colOff>593913</xdr:colOff>
      <xdr:row>23</xdr:row>
      <xdr:rowOff>56030</xdr:rowOff>
    </xdr:from>
    <xdr:to>
      <xdr:col>9</xdr:col>
      <xdr:colOff>649942</xdr:colOff>
      <xdr:row>24</xdr:row>
      <xdr:rowOff>145677</xdr:rowOff>
    </xdr:to>
    <xdr:sp macro="" textlink="">
      <xdr:nvSpPr>
        <xdr:cNvPr id="9" name="8 CuadroTexto"/>
        <xdr:cNvSpPr txBox="1"/>
      </xdr:nvSpPr>
      <xdr:spPr>
        <a:xfrm>
          <a:off x="7250207" y="5031442"/>
          <a:ext cx="818029" cy="280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t>1,242,780</a:t>
          </a:r>
        </a:p>
      </xdr:txBody>
    </xdr:sp>
    <xdr:clientData/>
  </xdr:twoCellAnchor>
  <xdr:twoCellAnchor>
    <xdr:from>
      <xdr:col>0</xdr:col>
      <xdr:colOff>0</xdr:colOff>
      <xdr:row>15</xdr:row>
      <xdr:rowOff>122465</xdr:rowOff>
    </xdr:from>
    <xdr:to>
      <xdr:col>12</xdr:col>
      <xdr:colOff>653142</xdr:colOff>
      <xdr:row>53</xdr:row>
      <xdr:rowOff>95250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179294</xdr:colOff>
      <xdr:row>21</xdr:row>
      <xdr:rowOff>89646</xdr:rowOff>
    </xdr:from>
    <xdr:to>
      <xdr:col>17</xdr:col>
      <xdr:colOff>1736911</xdr:colOff>
      <xdr:row>35</xdr:row>
      <xdr:rowOff>33617</xdr:rowOff>
    </xdr:to>
    <xdr:sp macro="" textlink="">
      <xdr:nvSpPr>
        <xdr:cNvPr id="10" name="9 Nube"/>
        <xdr:cNvSpPr/>
      </xdr:nvSpPr>
      <xdr:spPr>
        <a:xfrm>
          <a:off x="12158382" y="4986617"/>
          <a:ext cx="4863353" cy="2610971"/>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aseline="0">
              <a:solidFill>
                <a:schemeClr val="lt1"/>
              </a:solidFill>
              <a:effectLst/>
              <a:latin typeface="+mn-lt"/>
              <a:ea typeface="+mn-ea"/>
              <a:cs typeface="+mn-cs"/>
            </a:rPr>
            <a:t>Sería bueno poner lso cotizantes como porcentaje de los afiliados totales, osea los  cotizantes en término relativo con relación a los afiliados, para ver que % del afiliados estan cotizando en cada caso</a:t>
          </a:r>
          <a:endParaRPr lang="es-DO" sz="1400">
            <a:effectLst/>
          </a:endParaRPr>
        </a:p>
        <a:p>
          <a:pPr algn="ctr"/>
          <a:endParaRPr lang="es-DO" sz="1400"/>
        </a:p>
      </xdr:txBody>
    </xdr:sp>
    <xdr:clientData/>
  </xdr:twoCellAnchor>
</xdr:wsDr>
</file>

<file path=xl/drawings/drawing162.xml><?xml version="1.0" encoding="utf-8"?>
<c:userShapes xmlns:c="http://schemas.openxmlformats.org/drawingml/2006/chart">
  <cdr:relSizeAnchor xmlns:cdr="http://schemas.openxmlformats.org/drawingml/2006/chartDrawing">
    <cdr:from>
      <cdr:x>0.04779</cdr:x>
      <cdr:y>0.92724</cdr:y>
    </cdr:from>
    <cdr:to>
      <cdr:x>0.67525</cdr:x>
      <cdr:y>0.98321</cdr:y>
    </cdr:to>
    <cdr:sp macro="" textlink="">
      <cdr:nvSpPr>
        <cdr:cNvPr id="2" name="1 CuadroTexto"/>
        <cdr:cNvSpPr txBox="1"/>
      </cdr:nvSpPr>
      <cdr:spPr>
        <a:xfrm xmlns:a="http://schemas.openxmlformats.org/drawingml/2006/main">
          <a:off x="530679" y="6762749"/>
          <a:ext cx="6966857" cy="408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400" b="1"/>
            <a:t>Fuente:</a:t>
          </a:r>
          <a:r>
            <a:rPr lang="es-DO" sz="1400" b="1" baseline="0"/>
            <a:t> </a:t>
          </a:r>
          <a:r>
            <a:rPr lang="es-DO" sz="1400" baseline="0"/>
            <a:t>SIPEN y BC</a:t>
          </a:r>
          <a:endParaRPr lang="es-DO" sz="1400"/>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542925</xdr:colOff>
      <xdr:row>0</xdr:row>
      <xdr:rowOff>170469</xdr:rowOff>
    </xdr:from>
    <xdr:to>
      <xdr:col>1</xdr:col>
      <xdr:colOff>561974</xdr:colOff>
      <xdr:row>0</xdr:row>
      <xdr:rowOff>685800</xdr:rowOff>
    </xdr:to>
    <xdr:pic>
      <xdr:nvPicPr>
        <xdr:cNvPr id="2"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170469"/>
          <a:ext cx="781049" cy="51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76200</xdr:rowOff>
    </xdr:from>
    <xdr:to>
      <xdr:col>14</xdr:col>
      <xdr:colOff>495300</xdr:colOff>
      <xdr:row>45</xdr:row>
      <xdr:rowOff>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99331</xdr:colOff>
      <xdr:row>17</xdr:row>
      <xdr:rowOff>58511</xdr:rowOff>
    </xdr:from>
    <xdr:to>
      <xdr:col>14</xdr:col>
      <xdr:colOff>639536</xdr:colOff>
      <xdr:row>56</xdr:row>
      <xdr:rowOff>13607</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653143</xdr:colOff>
      <xdr:row>0</xdr:row>
      <xdr:rowOff>167367</xdr:rowOff>
    </xdr:from>
    <xdr:to>
      <xdr:col>1</xdr:col>
      <xdr:colOff>339795</xdr:colOff>
      <xdr:row>0</xdr:row>
      <xdr:rowOff>952500</xdr:rowOff>
    </xdr:to>
    <xdr:pic>
      <xdr:nvPicPr>
        <xdr:cNvPr id="3"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3143" y="167367"/>
          <a:ext cx="1033759"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0.03887</cdr:x>
      <cdr:y>0.92208</cdr:y>
    </cdr:from>
    <cdr:to>
      <cdr:x>0.19368</cdr:x>
      <cdr:y>0.97635</cdr:y>
    </cdr:to>
    <cdr:sp macro="" textlink="">
      <cdr:nvSpPr>
        <cdr:cNvPr id="2" name="1 CuadroTexto"/>
        <cdr:cNvSpPr txBox="1"/>
      </cdr:nvSpPr>
      <cdr:spPr>
        <a:xfrm xmlns:a="http://schemas.openxmlformats.org/drawingml/2006/main">
          <a:off x="563097" y="6897009"/>
          <a:ext cx="2242814" cy="4059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b="1"/>
            <a:t>Fuente: </a:t>
          </a:r>
          <a:r>
            <a:rPr lang="en-US" sz="1800"/>
            <a:t>TSS</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12</xdr:row>
      <xdr:rowOff>58270</xdr:rowOff>
    </xdr:from>
    <xdr:to>
      <xdr:col>12</xdr:col>
      <xdr:colOff>1277469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628650</xdr:colOff>
      <xdr:row>0</xdr:row>
      <xdr:rowOff>85725</xdr:rowOff>
    </xdr:from>
    <xdr:to>
      <xdr:col>1</xdr:col>
      <xdr:colOff>397249</xdr:colOff>
      <xdr:row>0</xdr:row>
      <xdr:rowOff>685800</xdr:rowOff>
    </xdr:to>
    <xdr:pic>
      <xdr:nvPicPr>
        <xdr:cNvPr id="20598"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650" y="85725"/>
          <a:ext cx="781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40822</xdr:colOff>
      <xdr:row>16</xdr:row>
      <xdr:rowOff>136072</xdr:rowOff>
    </xdr:from>
    <xdr:to>
      <xdr:col>16</xdr:col>
      <xdr:colOff>993322</xdr:colOff>
      <xdr:row>56</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913039</xdr:colOff>
      <xdr:row>0</xdr:row>
      <xdr:rowOff>152399</xdr:rowOff>
    </xdr:from>
    <xdr:to>
      <xdr:col>1</xdr:col>
      <xdr:colOff>789215</xdr:colOff>
      <xdr:row>0</xdr:row>
      <xdr:rowOff>890119</xdr:rowOff>
    </xdr:to>
    <xdr:pic>
      <xdr:nvPicPr>
        <xdr:cNvPr id="3"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3039" y="152399"/>
          <a:ext cx="1046390"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532533</xdr:colOff>
      <xdr:row>0</xdr:row>
      <xdr:rowOff>162791</xdr:rowOff>
    </xdr:from>
    <xdr:to>
      <xdr:col>1</xdr:col>
      <xdr:colOff>570382</xdr:colOff>
      <xdr:row>0</xdr:row>
      <xdr:rowOff>969818</xdr:rowOff>
    </xdr:to>
    <xdr:pic>
      <xdr:nvPicPr>
        <xdr:cNvPr id="8305"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533" y="162791"/>
          <a:ext cx="1146213" cy="807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103909</xdr:rowOff>
    </xdr:from>
    <xdr:to>
      <xdr:col>9</xdr:col>
      <xdr:colOff>2459181</xdr:colOff>
      <xdr:row>48</xdr:row>
      <xdr:rowOff>190500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8</xdr:col>
      <xdr:colOff>653143</xdr:colOff>
      <xdr:row>16</xdr:row>
      <xdr:rowOff>149677</xdr:rowOff>
    </xdr:from>
    <xdr:to>
      <xdr:col>16</xdr:col>
      <xdr:colOff>887666</xdr:colOff>
      <xdr:row>52</xdr:row>
      <xdr:rowOff>108056</xdr:rowOff>
    </xdr:to>
    <xdr:graphicFrame macro="">
      <xdr:nvGraphicFramePr>
        <xdr:cNvPr id="3"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65315</xdr:rowOff>
    </xdr:from>
    <xdr:to>
      <xdr:col>8</xdr:col>
      <xdr:colOff>695325</xdr:colOff>
      <xdr:row>51</xdr:row>
      <xdr:rowOff>131990</xdr:rowOff>
    </xdr:to>
    <xdr:graphicFrame macro="">
      <xdr:nvGraphicFramePr>
        <xdr:cNvPr id="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553811</xdr:colOff>
      <xdr:row>0</xdr:row>
      <xdr:rowOff>217714</xdr:rowOff>
    </xdr:from>
    <xdr:to>
      <xdr:col>2</xdr:col>
      <xdr:colOff>83884</xdr:colOff>
      <xdr:row>0</xdr:row>
      <xdr:rowOff>925286</xdr:rowOff>
    </xdr:to>
    <xdr:pic>
      <xdr:nvPicPr>
        <xdr:cNvPr id="5"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811" y="217714"/>
          <a:ext cx="1040466"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427266</xdr:colOff>
      <xdr:row>0</xdr:row>
      <xdr:rowOff>121104</xdr:rowOff>
    </xdr:from>
    <xdr:to>
      <xdr:col>1</xdr:col>
      <xdr:colOff>544286</xdr:colOff>
      <xdr:row>0</xdr:row>
      <xdr:rowOff>776652</xdr:rowOff>
    </xdr:to>
    <xdr:pic>
      <xdr:nvPicPr>
        <xdr:cNvPr id="2"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266" y="121104"/>
          <a:ext cx="960663" cy="655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18</xdr:row>
      <xdr:rowOff>13607</xdr:rowOff>
    </xdr:from>
    <xdr:to>
      <xdr:col>10</xdr:col>
      <xdr:colOff>340179</xdr:colOff>
      <xdr:row>51</xdr:row>
      <xdr:rowOff>122464</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299359</xdr:colOff>
      <xdr:row>17</xdr:row>
      <xdr:rowOff>136071</xdr:rowOff>
    </xdr:from>
    <xdr:to>
      <xdr:col>18</xdr:col>
      <xdr:colOff>625930</xdr:colOff>
      <xdr:row>51</xdr:row>
      <xdr:rowOff>68036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359228</xdr:colOff>
      <xdr:row>0</xdr:row>
      <xdr:rowOff>189139</xdr:rowOff>
    </xdr:from>
    <xdr:to>
      <xdr:col>1</xdr:col>
      <xdr:colOff>256483</xdr:colOff>
      <xdr:row>0</xdr:row>
      <xdr:rowOff>843643</xdr:rowOff>
    </xdr:to>
    <xdr:pic>
      <xdr:nvPicPr>
        <xdr:cNvPr id="4"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228" y="189139"/>
          <a:ext cx="1053862" cy="654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174.xml><?xml version="1.0" encoding="utf-8"?>
<xdr:wsDr xmlns:xdr="http://schemas.openxmlformats.org/drawingml/2006/spreadsheetDrawing" xmlns:a="http://schemas.openxmlformats.org/drawingml/2006/main">
  <xdr:oneCellAnchor>
    <xdr:from>
      <xdr:col>0</xdr:col>
      <xdr:colOff>631371</xdr:colOff>
      <xdr:row>0</xdr:row>
      <xdr:rowOff>180975</xdr:rowOff>
    </xdr:from>
    <xdr:ext cx="974272" cy="689882"/>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1371" y="180975"/>
          <a:ext cx="974272" cy="68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17</xdr:row>
      <xdr:rowOff>122463</xdr:rowOff>
    </xdr:from>
    <xdr:to>
      <xdr:col>13</xdr:col>
      <xdr:colOff>993321</xdr:colOff>
      <xdr:row>54</xdr:row>
      <xdr:rowOff>25976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16</xdr:row>
      <xdr:rowOff>57150</xdr:rowOff>
    </xdr:from>
    <xdr:to>
      <xdr:col>13</xdr:col>
      <xdr:colOff>695324</xdr:colOff>
      <xdr:row>47</xdr:row>
      <xdr:rowOff>104775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450950</xdr:colOff>
      <xdr:row>45</xdr:row>
      <xdr:rowOff>39530</xdr:rowOff>
    </xdr:from>
    <xdr:to>
      <xdr:col>3</xdr:col>
      <xdr:colOff>67089</xdr:colOff>
      <xdr:row>47</xdr:row>
      <xdr:rowOff>8283</xdr:rowOff>
    </xdr:to>
    <xdr:sp macro="" textlink="">
      <xdr:nvSpPr>
        <xdr:cNvPr id="3" name="2 CuadroTexto"/>
        <xdr:cNvSpPr txBox="1"/>
      </xdr:nvSpPr>
      <xdr:spPr>
        <a:xfrm>
          <a:off x="450950" y="7440455"/>
          <a:ext cx="1902139"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11</xdr:row>
      <xdr:rowOff>180974</xdr:rowOff>
    </xdr:from>
    <xdr:to>
      <xdr:col>11</xdr:col>
      <xdr:colOff>647699</xdr:colOff>
      <xdr:row>36</xdr:row>
      <xdr:rowOff>95249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400050</xdr:colOff>
      <xdr:row>15</xdr:row>
      <xdr:rowOff>85725</xdr:rowOff>
    </xdr:from>
    <xdr:ext cx="184731" cy="264560"/>
    <xdr:sp macro="" textlink="">
      <xdr:nvSpPr>
        <xdr:cNvPr id="2" name="1 CuadroTexto"/>
        <xdr:cNvSpPr txBox="1"/>
      </xdr:nvSpPr>
      <xdr:spPr>
        <a:xfrm>
          <a:off x="6677025" y="335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wsDr>
</file>

<file path=xl/drawings/drawing177.xml><?xml version="1.0" encoding="utf-8"?>
<c:userShapes xmlns:c="http://schemas.openxmlformats.org/drawingml/2006/chart">
  <cdr:relSizeAnchor xmlns:cdr="http://schemas.openxmlformats.org/drawingml/2006/chartDrawing">
    <cdr:from>
      <cdr:x>0.06095</cdr:x>
      <cdr:y>0.87631</cdr:y>
    </cdr:from>
    <cdr:to>
      <cdr:x>0.4198</cdr:x>
      <cdr:y>0.93582</cdr:y>
    </cdr:to>
    <cdr:sp macro="" textlink="">
      <cdr:nvSpPr>
        <cdr:cNvPr id="2" name="1 CuadroTexto"/>
        <cdr:cNvSpPr txBox="1"/>
      </cdr:nvSpPr>
      <cdr:spPr>
        <a:xfrm xmlns:a="http://schemas.openxmlformats.org/drawingml/2006/main">
          <a:off x="584629" y="4501867"/>
          <a:ext cx="3441943" cy="305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 </a:t>
          </a:r>
          <a:r>
            <a:rPr lang="es-DO" sz="1100"/>
            <a:t>Boletín</a:t>
          </a:r>
          <a:r>
            <a:rPr lang="es-DO" sz="1100" baseline="0"/>
            <a:t> No. 45  SIPEN</a:t>
          </a:r>
          <a:endParaRPr lang="es-DO" sz="11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13</xdr:row>
      <xdr:rowOff>81643</xdr:rowOff>
    </xdr:from>
    <xdr:to>
      <xdr:col>13</xdr:col>
      <xdr:colOff>693964</xdr:colOff>
      <xdr:row>47</xdr:row>
      <xdr:rowOff>176893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0.06565</cdr:x>
      <cdr:y>0.89857</cdr:y>
    </cdr:from>
    <cdr:to>
      <cdr:x>0.22269</cdr:x>
      <cdr:y>0.95001</cdr:y>
    </cdr:to>
    <cdr:sp macro="" textlink="">
      <cdr:nvSpPr>
        <cdr:cNvPr id="2" name="1 CuadroTexto"/>
        <cdr:cNvSpPr txBox="1"/>
      </cdr:nvSpPr>
      <cdr:spPr>
        <a:xfrm xmlns:a="http://schemas.openxmlformats.org/drawingml/2006/main">
          <a:off x="991559" y="5905614"/>
          <a:ext cx="2371921" cy="33807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Boletín No.45 SIPEN</a:t>
          </a:r>
          <a:endParaRPr lang="es-DO" sz="1400" b="1"/>
        </a:p>
      </cdr:txBody>
    </cdr:sp>
  </cdr:relSizeAnchor>
</c:userShapes>
</file>

<file path=xl/drawings/drawing18.xml><?xml version="1.0" encoding="utf-8"?>
<c:userShapes xmlns:c="http://schemas.openxmlformats.org/drawingml/2006/chart">
  <cdr:relSizeAnchor xmlns:cdr="http://schemas.openxmlformats.org/drawingml/2006/chartDrawing">
    <cdr:from>
      <cdr:x>0.05229</cdr:x>
      <cdr:y>0.82922</cdr:y>
    </cdr:from>
    <cdr:to>
      <cdr:x>0.9668</cdr:x>
      <cdr:y>0.97723</cdr:y>
    </cdr:to>
    <cdr:sp macro="" textlink="">
      <cdr:nvSpPr>
        <cdr:cNvPr id="2" name="1 CuadroTexto"/>
        <cdr:cNvSpPr txBox="1"/>
      </cdr:nvSpPr>
      <cdr:spPr>
        <a:xfrm xmlns:a="http://schemas.openxmlformats.org/drawingml/2006/main">
          <a:off x="848591" y="7568050"/>
          <a:ext cx="14839809" cy="13508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s-ES" sz="1600" b="1">
              <a:effectLst/>
              <a:latin typeface="Calibri"/>
              <a:ea typeface="+mn-ea"/>
              <a:cs typeface="+mn-cs"/>
            </a:rPr>
            <a:t>Fuente: </a:t>
          </a:r>
          <a:r>
            <a:rPr lang="es-ES" sz="1600">
              <a:effectLst/>
              <a:latin typeface="Calibri"/>
              <a:ea typeface="+mn-ea"/>
              <a:cs typeface="+mn-cs"/>
            </a:rPr>
            <a:t>ONE,</a:t>
          </a:r>
          <a:r>
            <a:rPr lang="es-ES" sz="1600" baseline="0">
              <a:effectLst/>
              <a:latin typeface="Calibri"/>
              <a:ea typeface="+mn-ea"/>
              <a:cs typeface="+mn-cs"/>
            </a:rPr>
            <a:t> SIPEN</a:t>
          </a:r>
          <a:r>
            <a:rPr lang="es-ES" sz="1600">
              <a:effectLst/>
              <a:latin typeface="Calibri"/>
              <a:ea typeface="+mn-ea"/>
              <a:cs typeface="+mn-cs"/>
            </a:rPr>
            <a:t> ,TSS y SISALRIL. Procesado</a:t>
          </a:r>
          <a:r>
            <a:rPr lang="es-ES" sz="1600" baseline="0">
              <a:effectLst/>
              <a:latin typeface="Calibri"/>
              <a:ea typeface="+mn-ea"/>
              <a:cs typeface="+mn-cs"/>
            </a:rPr>
            <a:t> por Departamento Estadísticas CNSS.</a:t>
          </a:r>
          <a:endParaRPr lang="es-DO" sz="1600">
            <a:effectLst/>
          </a:endParaRPr>
        </a:p>
        <a:p xmlns:a="http://schemas.openxmlformats.org/drawingml/2006/main">
          <a:r>
            <a:rPr lang="es-ES" sz="1600" b="1">
              <a:effectLst/>
              <a:latin typeface="Calibri"/>
              <a:ea typeface="+mn-ea"/>
              <a:cs typeface="+mn-cs"/>
            </a:rPr>
            <a:t>Nota: </a:t>
          </a:r>
          <a:r>
            <a:rPr lang="es-ES" sz="1600">
              <a:effectLst/>
              <a:latin typeface="Calibri"/>
              <a:ea typeface="+mn-ea"/>
              <a:cs typeface="+mn-cs"/>
            </a:rPr>
            <a:t> La Población total según el censo del año 2010 es de 9,445,281 personas.  Los datos de población presentados en este informe, han sido proyectados por </a:t>
          </a:r>
          <a:r>
            <a:rPr lang="es-DO" sz="1600">
              <a:effectLst/>
              <a:latin typeface="Calibri"/>
              <a:ea typeface="+mn-ea"/>
              <a:cs typeface="+mn-cs"/>
            </a:rPr>
            <a:t>la Gerencia de Planificación &amp; Desarrollo del CNSS.  Se tomaron para su cálculo los datos de población de los censos del  2002 y del 2010  publicados  por </a:t>
          </a:r>
          <a:r>
            <a:rPr lang="es-ES" sz="1600">
              <a:effectLst/>
              <a:latin typeface="Calibri"/>
              <a:ea typeface="+mn-ea"/>
              <a:cs typeface="+mn-cs"/>
            </a:rPr>
            <a:t>la Oficina Nacional de Estadísticas (ONE).  Estos datos serán actualizados una vez que la Oficina Nacional de Estadísticas (ONE) actualice sus proyecciones en base  al censo del 2010. </a:t>
          </a:r>
          <a:endParaRPr lang="es-DO" sz="1600">
            <a:effectLst/>
          </a:endParaRPr>
        </a:p>
      </cdr:txBody>
    </cdr:sp>
  </cdr:relSizeAnchor>
</c:userShapes>
</file>

<file path=xl/drawings/drawing180.xml><?xml version="1.0" encoding="utf-8"?>
<xdr:wsDr xmlns:xdr="http://schemas.openxmlformats.org/drawingml/2006/spreadsheetDrawing" xmlns:a="http://schemas.openxmlformats.org/drawingml/2006/main">
  <xdr:twoCellAnchor editAs="oneCell">
    <xdr:from>
      <xdr:col>0</xdr:col>
      <xdr:colOff>378199</xdr:colOff>
      <xdr:row>0</xdr:row>
      <xdr:rowOff>175373</xdr:rowOff>
    </xdr:from>
    <xdr:to>
      <xdr:col>1</xdr:col>
      <xdr:colOff>425981</xdr:colOff>
      <xdr:row>0</xdr:row>
      <xdr:rowOff>773207</xdr:rowOff>
    </xdr:to>
    <xdr:pic>
      <xdr:nvPicPr>
        <xdr:cNvPr id="3"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199" y="175373"/>
          <a:ext cx="865811" cy="597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22411</xdr:rowOff>
    </xdr:from>
    <xdr:to>
      <xdr:col>12</xdr:col>
      <xdr:colOff>515470</xdr:colOff>
      <xdr:row>40</xdr:row>
      <xdr:rowOff>78441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1.xml><?xml version="1.0" encoding="utf-8"?>
<xdr:wsDr xmlns:xdr="http://schemas.openxmlformats.org/drawingml/2006/spreadsheetDrawing" xmlns:a="http://schemas.openxmlformats.org/drawingml/2006/main">
  <xdr:oneCellAnchor>
    <xdr:from>
      <xdr:col>0</xdr:col>
      <xdr:colOff>257175</xdr:colOff>
      <xdr:row>0</xdr:row>
      <xdr:rowOff>104775</xdr:rowOff>
    </xdr:from>
    <xdr:ext cx="819150" cy="581025"/>
    <xdr:pic>
      <xdr:nvPicPr>
        <xdr:cNvPr id="2"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04775"/>
          <a:ext cx="819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12</xdr:row>
      <xdr:rowOff>156883</xdr:rowOff>
    </xdr:from>
    <xdr:to>
      <xdr:col>7</xdr:col>
      <xdr:colOff>1255059</xdr:colOff>
      <xdr:row>46</xdr:row>
      <xdr:rowOff>100854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0.06142</cdr:x>
      <cdr:y>0.94569</cdr:y>
    </cdr:from>
    <cdr:to>
      <cdr:x>0.25944</cdr:x>
      <cdr:y>0.99471</cdr:y>
    </cdr:to>
    <cdr:sp macro="" textlink="">
      <cdr:nvSpPr>
        <cdr:cNvPr id="2" name="1 CuadroTexto"/>
        <cdr:cNvSpPr txBox="1"/>
      </cdr:nvSpPr>
      <cdr:spPr>
        <a:xfrm xmlns:a="http://schemas.openxmlformats.org/drawingml/2006/main">
          <a:off x="734359" y="5658970"/>
          <a:ext cx="2367643" cy="29332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a:t>
          </a:r>
          <a:r>
            <a:rPr lang="es-DO" sz="1200" b="1" baseline="0"/>
            <a:t> Boletín No.45 SIPEN</a:t>
          </a:r>
          <a:endParaRPr lang="es-DO" sz="1200" b="1"/>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0</xdr:colOff>
      <xdr:row>14</xdr:row>
      <xdr:rowOff>38100</xdr:rowOff>
    </xdr:from>
    <xdr:to>
      <xdr:col>8</xdr:col>
      <xdr:colOff>95250</xdr:colOff>
      <xdr:row>43</xdr:row>
      <xdr:rowOff>57150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314325</xdr:colOff>
      <xdr:row>0</xdr:row>
      <xdr:rowOff>66676</xdr:rowOff>
    </xdr:from>
    <xdr:to>
      <xdr:col>0</xdr:col>
      <xdr:colOff>921210</xdr:colOff>
      <xdr:row>0</xdr:row>
      <xdr:rowOff>561976</xdr:rowOff>
    </xdr:to>
    <xdr:pic>
      <xdr:nvPicPr>
        <xdr:cNvPr id="3"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5" y="66676"/>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0.09396</cdr:x>
      <cdr:y>0.91561</cdr:y>
    </cdr:from>
    <cdr:to>
      <cdr:x>0.3157</cdr:x>
      <cdr:y>0.98019</cdr:y>
    </cdr:to>
    <cdr:sp macro="" textlink="">
      <cdr:nvSpPr>
        <cdr:cNvPr id="2" name="1 CuadroTexto"/>
        <cdr:cNvSpPr txBox="1"/>
      </cdr:nvSpPr>
      <cdr:spPr>
        <a:xfrm xmlns:a="http://schemas.openxmlformats.org/drawingml/2006/main">
          <a:off x="1003300" y="4822825"/>
          <a:ext cx="2367643" cy="3401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50" b="1"/>
            <a:t>Fuente:</a:t>
          </a:r>
          <a:r>
            <a:rPr lang="es-DO" sz="1050" b="1" baseline="0"/>
            <a:t> Boletín No.45 SIPEN</a:t>
          </a:r>
          <a:endParaRPr lang="es-DO" sz="1050" b="1"/>
        </a:p>
      </cdr:txBody>
    </cdr:sp>
  </cdr:relSizeAnchor>
</c:userShapes>
</file>

<file path=xl/drawings/drawing185.xml><?xml version="1.0" encoding="utf-8"?>
<xdr:wsDr xmlns:xdr="http://schemas.openxmlformats.org/drawingml/2006/spreadsheetDrawing" xmlns:a="http://schemas.openxmlformats.org/drawingml/2006/main">
  <xdr:twoCellAnchor editAs="oneCell">
    <xdr:from>
      <xdr:col>0</xdr:col>
      <xdr:colOff>2943225</xdr:colOff>
      <xdr:row>0</xdr:row>
      <xdr:rowOff>47625</xdr:rowOff>
    </xdr:from>
    <xdr:to>
      <xdr:col>2</xdr:col>
      <xdr:colOff>371475</xdr:colOff>
      <xdr:row>0</xdr:row>
      <xdr:rowOff>752475</xdr:rowOff>
    </xdr:to>
    <xdr:pic>
      <xdr:nvPicPr>
        <xdr:cNvPr id="2" name="1 Imagen" descr="logo Sipen.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3225" y="47625"/>
          <a:ext cx="2324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56</xdr:row>
      <xdr:rowOff>108859</xdr:rowOff>
    </xdr:from>
    <xdr:to>
      <xdr:col>18</xdr:col>
      <xdr:colOff>517071</xdr:colOff>
      <xdr:row>90</xdr:row>
      <xdr:rowOff>81643</xdr:rowOff>
    </xdr:to>
    <xdr:graphicFrame macro="">
      <xdr:nvGraphicFramePr>
        <xdr:cNvPr id="23466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544046</xdr:colOff>
      <xdr:row>0</xdr:row>
      <xdr:rowOff>160804</xdr:rowOff>
    </xdr:from>
    <xdr:to>
      <xdr:col>1</xdr:col>
      <xdr:colOff>427025</xdr:colOff>
      <xdr:row>0</xdr:row>
      <xdr:rowOff>713254</xdr:rowOff>
    </xdr:to>
    <xdr:pic>
      <xdr:nvPicPr>
        <xdr:cNvPr id="234662"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046" y="160804"/>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latin typeface="+mn-lt"/>
              <a:ea typeface="+mn-ea"/>
              <a:cs typeface="+mn-cs"/>
            </a:rPr>
            <a:t>Fuente: </a:t>
          </a:r>
          <a:r>
            <a:rPr lang="en-US" sz="1200">
              <a:latin typeface="+mn-lt"/>
              <a:ea typeface="+mn-ea"/>
              <a:cs typeface="+mn-cs"/>
            </a:rPr>
            <a:t>SIPEN </a:t>
          </a:r>
          <a:endParaRPr lang="en-US" sz="1200"/>
        </a:p>
        <a:p xmlns:a="http://schemas.openxmlformats.org/drawingml/2006/main">
          <a:endParaRPr lang="en-US" sz="14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0</xdr:colOff>
      <xdr:row>17</xdr:row>
      <xdr:rowOff>81642</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521633</xdr:colOff>
      <xdr:row>0</xdr:row>
      <xdr:rowOff>160804</xdr:rowOff>
    </xdr:from>
    <xdr:to>
      <xdr:col>1</xdr:col>
      <xdr:colOff>498516</xdr:colOff>
      <xdr:row>0</xdr:row>
      <xdr:rowOff>879420</xdr:rowOff>
    </xdr:to>
    <xdr:pic>
      <xdr:nvPicPr>
        <xdr:cNvPr id="3"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633" y="160804"/>
          <a:ext cx="1015974" cy="71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 </a:t>
          </a:r>
          <a:r>
            <a:rPr lang="en-US" sz="1400">
              <a:latin typeface="+mn-lt"/>
              <a:ea typeface="+mn-ea"/>
              <a:cs typeface="+mn-cs"/>
            </a:rPr>
            <a:t>SIPEN y Banco Central de la República  Dominicana </a:t>
          </a:r>
          <a:endParaRPr lang="en-US" sz="1400"/>
        </a:p>
        <a:p xmlns:a="http://schemas.openxmlformats.org/drawingml/2006/main">
          <a:endParaRPr lang="en-US" sz="1600"/>
        </a:p>
      </cdr:txBody>
    </cdr:sp>
  </cdr:relSizeAnchor>
</c:userShapes>
</file>

<file path=xl/drawings/drawing19.xml><?xml version="1.0" encoding="utf-8"?>
<xdr:wsDr xmlns:xdr="http://schemas.openxmlformats.org/drawingml/2006/spreadsheetDrawing" xmlns:a="http://schemas.openxmlformats.org/drawingml/2006/main">
  <xdr:oneCellAnchor>
    <xdr:from>
      <xdr:col>0</xdr:col>
      <xdr:colOff>642506</xdr:colOff>
      <xdr:row>0</xdr:row>
      <xdr:rowOff>166252</xdr:rowOff>
    </xdr:from>
    <xdr:ext cx="1241859" cy="890155"/>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506" y="166252"/>
          <a:ext cx="1241859" cy="89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34636</xdr:rowOff>
    </xdr:from>
    <xdr:to>
      <xdr:col>16</xdr:col>
      <xdr:colOff>796637</xdr:colOff>
      <xdr:row>43</xdr:row>
      <xdr:rowOff>259773</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358587</xdr:colOff>
      <xdr:row>0</xdr:row>
      <xdr:rowOff>168089</xdr:rowOff>
    </xdr:from>
    <xdr:to>
      <xdr:col>9</xdr:col>
      <xdr:colOff>712481</xdr:colOff>
      <xdr:row>31</xdr:row>
      <xdr:rowOff>67237</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5512" t="11190" r="31997" b="39154"/>
        <a:stretch/>
      </xdr:blipFill>
      <xdr:spPr bwMode="auto">
        <a:xfrm>
          <a:off x="1120587" y="168089"/>
          <a:ext cx="6281806" cy="58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400051</xdr:colOff>
      <xdr:row>9</xdr:row>
      <xdr:rowOff>142874</xdr:rowOff>
    </xdr:from>
    <xdr:to>
      <xdr:col>10</xdr:col>
      <xdr:colOff>314324</xdr:colOff>
      <xdr:row>20</xdr:row>
      <xdr:rowOff>95249</xdr:rowOff>
    </xdr:to>
    <xdr:sp macro="" textlink="">
      <xdr:nvSpPr>
        <xdr:cNvPr id="3" name="2 CuadroTexto"/>
        <xdr:cNvSpPr txBox="1"/>
      </xdr:nvSpPr>
      <xdr:spPr>
        <a:xfrm>
          <a:off x="1162051" y="1857374"/>
          <a:ext cx="6600823" cy="204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latin typeface="+mn-lt"/>
              <a:ea typeface="+mn-ea"/>
              <a:cs typeface="+mn-cs"/>
            </a:rPr>
            <a:t>Seguro de Riesgos Laborales</a:t>
          </a:r>
          <a:br>
            <a:rPr lang="es-DO" sz="4000" b="1">
              <a:solidFill>
                <a:schemeClr val="accent3">
                  <a:lumMod val="50000"/>
                </a:schemeClr>
              </a:solidFill>
              <a:latin typeface="+mn-lt"/>
              <a:ea typeface="+mn-ea"/>
              <a:cs typeface="+mn-cs"/>
            </a:rPr>
          </a:br>
          <a:r>
            <a:rPr lang="es-DO" sz="4000" b="1">
              <a:solidFill>
                <a:schemeClr val="accent3">
                  <a:lumMod val="50000"/>
                </a:schemeClr>
              </a:solidFill>
              <a:latin typeface="+mn-lt"/>
              <a:ea typeface="+mn-ea"/>
              <a:cs typeface="+mn-cs"/>
            </a:rPr>
            <a:t>(ARL)</a:t>
          </a: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10</xdr:row>
      <xdr:rowOff>163286</xdr:rowOff>
    </xdr:from>
    <xdr:to>
      <xdr:col>13</xdr:col>
      <xdr:colOff>1442357</xdr:colOff>
      <xdr:row>49</xdr:row>
      <xdr:rowOff>95250</xdr:rowOff>
    </xdr:to>
    <xdr:graphicFrame macro="">
      <xdr:nvGraphicFramePr>
        <xdr:cNvPr id="23562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507217</xdr:colOff>
      <xdr:row>0</xdr:row>
      <xdr:rowOff>186341</xdr:rowOff>
    </xdr:from>
    <xdr:to>
      <xdr:col>1</xdr:col>
      <xdr:colOff>683509</xdr:colOff>
      <xdr:row>0</xdr:row>
      <xdr:rowOff>938892</xdr:rowOff>
    </xdr:to>
    <xdr:pic>
      <xdr:nvPicPr>
        <xdr:cNvPr id="3"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7217" y="186341"/>
          <a:ext cx="1060756" cy="752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0.06103</cdr:x>
      <cdr:y>0.91159</cdr:y>
    </cdr:from>
    <cdr:to>
      <cdr:x>0.56683</cdr:x>
      <cdr:y>0.96424</cdr:y>
    </cdr:to>
    <cdr:sp macro="" textlink="">
      <cdr:nvSpPr>
        <cdr:cNvPr id="2" name="1 CuadroTexto"/>
        <cdr:cNvSpPr txBox="1"/>
      </cdr:nvSpPr>
      <cdr:spPr>
        <a:xfrm xmlns:a="http://schemas.openxmlformats.org/drawingml/2006/main">
          <a:off x="833732" y="5197314"/>
          <a:ext cx="6910023" cy="30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400" b="1">
              <a:latin typeface="Calibri"/>
              <a:ea typeface="+mn-ea"/>
              <a:cs typeface="+mn-cs"/>
            </a:rPr>
            <a:t>Fuente: </a:t>
          </a:r>
          <a:r>
            <a:rPr lang="es-ES" sz="1400" b="0">
              <a:latin typeface="Calibri"/>
              <a:ea typeface="+mn-ea"/>
              <a:cs typeface="+mn-cs"/>
            </a:rPr>
            <a:t>Banco Central (BCRD)  e  Informaciones</a:t>
          </a:r>
          <a:r>
            <a:rPr lang="es-ES" sz="1400" b="0" baseline="0">
              <a:latin typeface="Calibri"/>
              <a:ea typeface="+mn-ea"/>
              <a:cs typeface="+mn-cs"/>
            </a:rPr>
            <a:t>  </a:t>
          </a:r>
          <a:r>
            <a:rPr lang="es-ES" sz="1400" b="0">
              <a:latin typeface="Calibri"/>
              <a:ea typeface="+mn-ea"/>
              <a:cs typeface="+mn-cs"/>
            </a:rPr>
            <a:t>Estadísticas  del Portal de  SISALRIL </a:t>
          </a:r>
          <a:endParaRPr lang="es-ES" sz="1600" b="0">
            <a:latin typeface="Calibri"/>
            <a:ea typeface="+mn-ea"/>
            <a:cs typeface="+mn-cs"/>
          </a:endParaRPr>
        </a:p>
        <a:p xmlns:a="http://schemas.openxmlformats.org/drawingml/2006/main">
          <a:endParaRPr lang="es-ES" sz="18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2</xdr:col>
      <xdr:colOff>198430</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19175" y="49886"/>
          <a:ext cx="1047750" cy="685938"/>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2</xdr:col>
      <xdr:colOff>198430</xdr:colOff>
      <xdr:row>0</xdr:row>
      <xdr:rowOff>207351</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019175" y="49886"/>
          <a:ext cx="1063844" cy="13841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421822</xdr:colOff>
      <xdr:row>0</xdr:row>
      <xdr:rowOff>228865</xdr:rowOff>
    </xdr:to>
    <xdr:pic>
      <xdr:nvPicPr>
        <xdr:cNvPr id="7" name="6 Imagen" descr="Logo_2x4.bmp"/>
        <xdr:cNvPicPr>
          <a:picLocks noChangeAspect="1"/>
        </xdr:cNvPicPr>
      </xdr:nvPicPr>
      <xdr:blipFill>
        <a:blip xmlns:r="http://schemas.openxmlformats.org/officeDocument/2006/relationships" r:embed="rId2" cstate="print"/>
        <a:stretch>
          <a:fillRect/>
        </a:stretch>
      </xdr:blipFill>
      <xdr:spPr>
        <a:xfrm>
          <a:off x="381001" y="54430"/>
          <a:ext cx="925285" cy="160828"/>
        </a:xfrm>
        <a:prstGeom prst="rect">
          <a:avLst/>
        </a:prstGeom>
        <a:ln>
          <a:noFill/>
        </a:ln>
        <a:effectLst>
          <a:softEdge rad="112500"/>
        </a:effectLst>
      </xdr:spPr>
    </xdr:pic>
    <xdr:clientData/>
  </xdr:twoCellAnchor>
  <xdr:twoCellAnchor editAs="oneCell">
    <xdr:from>
      <xdr:col>0</xdr:col>
      <xdr:colOff>568778</xdr:colOff>
      <xdr:row>0</xdr:row>
      <xdr:rowOff>261258</xdr:rowOff>
    </xdr:from>
    <xdr:to>
      <xdr:col>1</xdr:col>
      <xdr:colOff>625451</xdr:colOff>
      <xdr:row>0</xdr:row>
      <xdr:rowOff>925286</xdr:rowOff>
    </xdr:to>
    <xdr:pic>
      <xdr:nvPicPr>
        <xdr:cNvPr id="236940" name="8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778" y="261258"/>
          <a:ext cx="941137"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95253</xdr:rowOff>
    </xdr:from>
    <xdr:to>
      <xdr:col>11</xdr:col>
      <xdr:colOff>1347107</xdr:colOff>
      <xdr:row>63</xdr:row>
      <xdr:rowOff>176894</xdr:rowOff>
    </xdr:to>
    <xdr:graphicFrame macro="">
      <xdr:nvGraphicFramePr>
        <xdr:cNvPr id="23694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87830</xdr:colOff>
      <xdr:row>43</xdr:row>
      <xdr:rowOff>45766</xdr:rowOff>
    </xdr:from>
    <xdr:to>
      <xdr:col>8</xdr:col>
      <xdr:colOff>277092</xdr:colOff>
      <xdr:row>58</xdr:row>
      <xdr:rowOff>103909</xdr:rowOff>
    </xdr:to>
    <xdr:pic>
      <xdr:nvPicPr>
        <xdr:cNvPr id="24" name="il_fi" descr="http://ilustracion.pixmac.es/4/3d-golden-hombre-y-mujer-siluetas-pixmac-ilustracion-42069257.jpg"/>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7101694" y="10834993"/>
          <a:ext cx="1072489" cy="2932961"/>
        </a:xfrm>
        <a:prstGeom prst="rect">
          <a:avLst/>
        </a:prstGeom>
        <a:noFill/>
        <a:ln>
          <a:noFill/>
        </a:ln>
        <a:extLst/>
      </xdr:spPr>
    </xdr:pic>
    <xdr:clientData/>
  </xdr:twoCellAnchor>
  <xdr:twoCellAnchor editAs="oneCell">
    <xdr:from>
      <xdr:col>4</xdr:col>
      <xdr:colOff>536864</xdr:colOff>
      <xdr:row>43</xdr:row>
      <xdr:rowOff>17321</xdr:rowOff>
    </xdr:from>
    <xdr:to>
      <xdr:col>5</xdr:col>
      <xdr:colOff>865909</xdr:colOff>
      <xdr:row>57</xdr:row>
      <xdr:rowOff>121228</xdr:rowOff>
    </xdr:to>
    <xdr:pic>
      <xdr:nvPicPr>
        <xdr:cNvPr id="26" name="il_fi" descr="http://ilustracion.pixmac.es/4/3d-golden-hombre-y-mujer-siluetas-pixmac-ilustracion-42069257.jpg"/>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4572000" y="10806548"/>
          <a:ext cx="1333500" cy="2788225"/>
        </a:xfrm>
        <a:prstGeom prst="rect">
          <a:avLst/>
        </a:prstGeom>
        <a:noFill/>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0.21601</cdr:x>
      <cdr:y>0.02193</cdr:y>
    </cdr:from>
    <cdr:to>
      <cdr:x>0.69712</cdr:x>
      <cdr:y>0.12011</cdr:y>
    </cdr:to>
    <cdr:sp macro="" textlink="">
      <cdr:nvSpPr>
        <cdr:cNvPr id="2" name="1 CuadroTexto"/>
        <cdr:cNvSpPr txBox="1"/>
      </cdr:nvSpPr>
      <cdr:spPr>
        <a:xfrm xmlns:a="http://schemas.openxmlformats.org/drawingml/2006/main">
          <a:off x="3048000" y="181839"/>
          <a:ext cx="6788728" cy="81395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2000" b="1"/>
            <a:t>Seguro de Riesgos Laborales</a:t>
          </a:r>
        </a:p>
        <a:p xmlns:a="http://schemas.openxmlformats.org/drawingml/2006/main">
          <a:pPr algn="ctr"/>
          <a:r>
            <a:rPr lang="es-DO" sz="2000" b="1"/>
            <a:t>Afiliación al SRL por Grupo de Edad y sexo </a:t>
          </a:r>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0</xdr:colOff>
      <xdr:row>43</xdr:row>
      <xdr:rowOff>68036</xdr:rowOff>
    </xdr:from>
    <xdr:to>
      <xdr:col>13</xdr:col>
      <xdr:colOff>571500</xdr:colOff>
      <xdr:row>75</xdr:row>
      <xdr:rowOff>122465</xdr:rowOff>
    </xdr:to>
    <xdr:graphicFrame macro="">
      <xdr:nvGraphicFramePr>
        <xdr:cNvPr id="23768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504266</xdr:colOff>
      <xdr:row>0</xdr:row>
      <xdr:rowOff>100853</xdr:rowOff>
    </xdr:from>
    <xdr:to>
      <xdr:col>1</xdr:col>
      <xdr:colOff>381000</xdr:colOff>
      <xdr:row>0</xdr:row>
      <xdr:rowOff>611841</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266" y="100853"/>
          <a:ext cx="638734" cy="5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0.04124</cdr:x>
      <cdr:y>0.9192</cdr:y>
    </cdr:from>
    <cdr:to>
      <cdr:x>0.43585</cdr:x>
      <cdr:y>0.96209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9374" y="5278242"/>
          <a:ext cx="5256755" cy="246258"/>
        </a:xfrm>
        <a:prstGeom xmlns:a="http://schemas.openxmlformats.org/drawingml/2006/main" prst="rect">
          <a:avLst/>
        </a:prstGeom>
      </cdr:spPr>
    </cdr:pic>
  </cdr:relSizeAnchor>
</c:userShapes>
</file>

<file path=xl/drawings/drawing197.xml><?xml version="1.0" encoding="utf-8"?>
<xdr:wsDr xmlns:xdr="http://schemas.openxmlformats.org/drawingml/2006/spreadsheetDrawing" xmlns:a="http://schemas.openxmlformats.org/drawingml/2006/main">
  <xdr:twoCellAnchor>
    <xdr:from>
      <xdr:col>0</xdr:col>
      <xdr:colOff>0</xdr:colOff>
      <xdr:row>16</xdr:row>
      <xdr:rowOff>33619</xdr:rowOff>
    </xdr:from>
    <xdr:to>
      <xdr:col>9</xdr:col>
      <xdr:colOff>1199028</xdr:colOff>
      <xdr:row>43</xdr:row>
      <xdr:rowOff>33618</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538804</xdr:colOff>
      <xdr:row>0</xdr:row>
      <xdr:rowOff>195719</xdr:rowOff>
    </xdr:from>
    <xdr:to>
      <xdr:col>1</xdr:col>
      <xdr:colOff>480004</xdr:colOff>
      <xdr:row>0</xdr:row>
      <xdr:rowOff>851647</xdr:rowOff>
    </xdr:to>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804" y="195719"/>
          <a:ext cx="960935" cy="655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0.04889</cdr:x>
      <cdr:y>0.92474</cdr:y>
    </cdr:from>
    <cdr:to>
      <cdr:x>0.28251</cdr:x>
      <cdr:y>0.9825</cdr:y>
    </cdr:to>
    <cdr:sp macro="" textlink="">
      <cdr:nvSpPr>
        <cdr:cNvPr id="2" name="1 CuadroTexto"/>
        <cdr:cNvSpPr txBox="1"/>
      </cdr:nvSpPr>
      <cdr:spPr>
        <a:xfrm xmlns:a="http://schemas.openxmlformats.org/drawingml/2006/main">
          <a:off x="554978" y="4956992"/>
          <a:ext cx="2651951" cy="309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305158</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305158</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134471</xdr:colOff>
      <xdr:row>43</xdr:row>
      <xdr:rowOff>134470</xdr:rowOff>
    </xdr:from>
    <xdr:to>
      <xdr:col>11</xdr:col>
      <xdr:colOff>963706</xdr:colOff>
      <xdr:row>71</xdr:row>
      <xdr:rowOff>112059</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280147</xdr:colOff>
      <xdr:row>0</xdr:row>
      <xdr:rowOff>134471</xdr:rowOff>
    </xdr:from>
    <xdr:to>
      <xdr:col>1</xdr:col>
      <xdr:colOff>439898</xdr:colOff>
      <xdr:row>0</xdr:row>
      <xdr:rowOff>705971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134471"/>
          <a:ext cx="79848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367392</xdr:colOff>
      <xdr:row>0</xdr:row>
      <xdr:rowOff>178841</xdr:rowOff>
    </xdr:from>
    <xdr:to>
      <xdr:col>0</xdr:col>
      <xdr:colOff>1231842</xdr:colOff>
      <xdr:row>1</xdr:row>
      <xdr:rowOff>627531</xdr:rowOff>
    </xdr:to>
    <xdr:pic>
      <xdr:nvPicPr>
        <xdr:cNvPr id="5" name="Imagen 2" descr="C:\Documents and Settings\amaury.gonzalez\Escritorio\CNS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392" y="178841"/>
          <a:ext cx="864450" cy="639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0.07434</cdr:x>
      <cdr:y>0.90821</cdr:y>
    </cdr:from>
    <cdr:to>
      <cdr:x>0.56177</cdr:x>
      <cdr:y>0.96505</cdr:y>
    </cdr:to>
    <cdr:sp macro="" textlink="">
      <cdr:nvSpPr>
        <cdr:cNvPr id="2" name="1 CuadroTexto"/>
        <cdr:cNvSpPr txBox="1"/>
      </cdr:nvSpPr>
      <cdr:spPr>
        <a:xfrm xmlns:a="http://schemas.openxmlformats.org/drawingml/2006/main">
          <a:off x="1542248" y="8241769"/>
          <a:ext cx="10112799" cy="5158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Portal SISALRIL, Informes Mensuales TSS e Informes  Trimestrales   PRISS, UNIPAGO.</a:t>
          </a:r>
        </a:p>
      </cdr:txBody>
    </cdr:sp>
  </cdr:relSizeAnchor>
  <cdr:relSizeAnchor xmlns:cdr="http://schemas.openxmlformats.org/drawingml/2006/chartDrawing">
    <cdr:from>
      <cdr:x>0.1695</cdr:x>
      <cdr:y>0.01718</cdr:y>
    </cdr:from>
    <cdr:to>
      <cdr:x>0.87651</cdr:x>
      <cdr:y>0.0687</cdr:y>
    </cdr:to>
    <cdr:sp macro="" textlink="">
      <cdr:nvSpPr>
        <cdr:cNvPr id="3" name="2 CuadroTexto"/>
        <cdr:cNvSpPr txBox="1"/>
      </cdr:nvSpPr>
      <cdr:spPr>
        <a:xfrm xmlns:a="http://schemas.openxmlformats.org/drawingml/2006/main">
          <a:off x="3452027" y="155864"/>
          <a:ext cx="14399094" cy="467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2800" b="1"/>
            <a:t>Porcentajes de Participación en Cápitas Pagadas  por Regímenes</a:t>
          </a:r>
        </a:p>
      </cdr:txBody>
    </cdr:sp>
  </cdr:relSizeAnchor>
</c:userShapes>
</file>

<file path=xl/drawings/drawing200.xml><?xml version="1.0" encoding="utf-8"?>
<c:userShapes xmlns:c="http://schemas.openxmlformats.org/drawingml/2006/chart">
  <cdr:relSizeAnchor xmlns:cdr="http://schemas.openxmlformats.org/drawingml/2006/chartDrawing">
    <cdr:from>
      <cdr:x>0.03033</cdr:x>
      <cdr:y>0.9112</cdr:y>
    </cdr:from>
    <cdr:to>
      <cdr:x>0.21415</cdr:x>
      <cdr:y>0.96525</cdr:y>
    </cdr:to>
    <cdr:sp macro="" textlink="">
      <cdr:nvSpPr>
        <cdr:cNvPr id="2" name="1 CuadroTexto"/>
        <cdr:cNvSpPr txBox="1"/>
      </cdr:nvSpPr>
      <cdr:spPr>
        <a:xfrm xmlns:a="http://schemas.openxmlformats.org/drawingml/2006/main">
          <a:off x="314325" y="4495800"/>
          <a:ext cx="19050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0</xdr:colOff>
      <xdr:row>15</xdr:row>
      <xdr:rowOff>195718</xdr:rowOff>
    </xdr:from>
    <xdr:to>
      <xdr:col>11</xdr:col>
      <xdr:colOff>626302</xdr:colOff>
      <xdr:row>48</xdr:row>
      <xdr:rowOff>156575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600205</xdr:colOff>
      <xdr:row>0</xdr:row>
      <xdr:rowOff>195719</xdr:rowOff>
    </xdr:from>
    <xdr:to>
      <xdr:col>1</xdr:col>
      <xdr:colOff>466284</xdr:colOff>
      <xdr:row>0</xdr:row>
      <xdr:rowOff>835068</xdr:rowOff>
    </xdr:to>
    <xdr:pic>
      <xdr:nvPicPr>
        <xdr:cNvPr id="4"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205" y="195719"/>
          <a:ext cx="909915" cy="639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430581</xdr:colOff>
      <xdr:row>46</xdr:row>
      <xdr:rowOff>182668</xdr:rowOff>
    </xdr:from>
    <xdr:to>
      <xdr:col>3</xdr:col>
      <xdr:colOff>247912</xdr:colOff>
      <xdr:row>48</xdr:row>
      <xdr:rowOff>117430</xdr:rowOff>
    </xdr:to>
    <xdr:sp macro="" textlink="">
      <xdr:nvSpPr>
        <xdr:cNvPr id="2" name="1 CuadroTexto"/>
        <xdr:cNvSpPr txBox="1"/>
      </xdr:nvSpPr>
      <xdr:spPr>
        <a:xfrm>
          <a:off x="430581" y="9785956"/>
          <a:ext cx="2844454" cy="326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15</xdr:row>
      <xdr:rowOff>26096</xdr:rowOff>
    </xdr:from>
    <xdr:to>
      <xdr:col>9</xdr:col>
      <xdr:colOff>965548</xdr:colOff>
      <xdr:row>44</xdr:row>
      <xdr:rowOff>104385</xdr:rowOff>
    </xdr:to>
    <xdr:graphicFrame macro="">
      <xdr:nvGraphicFramePr>
        <xdr:cNvPr id="2417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1043836</xdr:colOff>
      <xdr:row>0</xdr:row>
      <xdr:rowOff>169623</xdr:rowOff>
    </xdr:from>
    <xdr:to>
      <xdr:col>1</xdr:col>
      <xdr:colOff>741907</xdr:colOff>
      <xdr:row>0</xdr:row>
      <xdr:rowOff>722073</xdr:rowOff>
    </xdr:to>
    <xdr:pic>
      <xdr:nvPicPr>
        <xdr:cNvPr id="4"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3836" y="169623"/>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26096</xdr:colOff>
      <xdr:row>15</xdr:row>
      <xdr:rowOff>130478</xdr:rowOff>
    </xdr:from>
    <xdr:to>
      <xdr:col>19</xdr:col>
      <xdr:colOff>574109</xdr:colOff>
      <xdr:row>53</xdr:row>
      <xdr:rowOff>143525</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104383</xdr:colOff>
      <xdr:row>0</xdr:row>
      <xdr:rowOff>156575</xdr:rowOff>
    </xdr:from>
    <xdr:to>
      <xdr:col>2</xdr:col>
      <xdr:colOff>221815</xdr:colOff>
      <xdr:row>0</xdr:row>
      <xdr:rowOff>747125</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4691" y="156575"/>
          <a:ext cx="80897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36</xdr:row>
      <xdr:rowOff>108857</xdr:rowOff>
    </xdr:from>
    <xdr:to>
      <xdr:col>15</xdr:col>
      <xdr:colOff>149679</xdr:colOff>
      <xdr:row>69</xdr:row>
      <xdr:rowOff>173538</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470844</xdr:colOff>
      <xdr:row>0</xdr:row>
      <xdr:rowOff>267111</xdr:rowOff>
    </xdr:from>
    <xdr:to>
      <xdr:col>0</xdr:col>
      <xdr:colOff>1413819</xdr:colOff>
      <xdr:row>0</xdr:row>
      <xdr:rowOff>857661</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844" y="267111"/>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0.23177</cdr:x>
      <cdr:y>0.03164</cdr:y>
    </cdr:from>
    <cdr:to>
      <cdr:x>0.86414</cdr:x>
      <cdr:y>0.13248</cdr:y>
    </cdr:to>
    <cdr:sp macro="" textlink="">
      <cdr:nvSpPr>
        <cdr:cNvPr id="2" name="1 CuadroTexto"/>
        <cdr:cNvSpPr txBox="1"/>
      </cdr:nvSpPr>
      <cdr:spPr>
        <a:xfrm xmlns:a="http://schemas.openxmlformats.org/drawingml/2006/main">
          <a:off x="3156857" y="217714"/>
          <a:ext cx="8613322" cy="69396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1800" b="1"/>
            <a:t>Seguro de Riesgos Laborales</a:t>
          </a:r>
        </a:p>
        <a:p xmlns:a="http://schemas.openxmlformats.org/drawingml/2006/main">
          <a:pPr algn="ctr"/>
          <a:r>
            <a:rPr lang="es-DO" sz="1800" b="1"/>
            <a:t>Reporte de Accidentes Laborales y Enfermedades Profesionales por Provincia</a:t>
          </a:r>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12005</xdr:colOff>
      <xdr:row>15</xdr:row>
      <xdr:rowOff>156576</xdr:rowOff>
    </xdr:from>
    <xdr:to>
      <xdr:col>11</xdr:col>
      <xdr:colOff>913357</xdr:colOff>
      <xdr:row>45</xdr:row>
      <xdr:rowOff>61063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300103</xdr:colOff>
      <xdr:row>0</xdr:row>
      <xdr:rowOff>169623</xdr:rowOff>
    </xdr:from>
    <xdr:to>
      <xdr:col>0</xdr:col>
      <xdr:colOff>1069932</xdr:colOff>
      <xdr:row>0</xdr:row>
      <xdr:rowOff>760173</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103" y="169623"/>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447675</xdr:colOff>
      <xdr:row>0</xdr:row>
      <xdr:rowOff>114300</xdr:rowOff>
    </xdr:from>
    <xdr:to>
      <xdr:col>0</xdr:col>
      <xdr:colOff>1295400</xdr:colOff>
      <xdr:row>0</xdr:row>
      <xdr:rowOff>685800</xdr:rowOff>
    </xdr:to>
    <xdr:pic>
      <xdr:nvPicPr>
        <xdr:cNvPr id="24587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114300"/>
          <a:ext cx="8477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25050</xdr:colOff>
      <xdr:row>22</xdr:row>
      <xdr:rowOff>134470</xdr:rowOff>
    </xdr:from>
    <xdr:to>
      <xdr:col>13</xdr:col>
      <xdr:colOff>683560</xdr:colOff>
      <xdr:row>53</xdr:row>
      <xdr:rowOff>39143</xdr:rowOff>
    </xdr:to>
    <xdr:graphicFrame macro="">
      <xdr:nvGraphicFramePr>
        <xdr:cNvPr id="24587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447675</xdr:colOff>
      <xdr:row>0</xdr:row>
      <xdr:rowOff>114300</xdr:rowOff>
    </xdr:from>
    <xdr:to>
      <xdr:col>0</xdr:col>
      <xdr:colOff>1390650</xdr:colOff>
      <xdr:row>0</xdr:row>
      <xdr:rowOff>704850</xdr:rowOff>
    </xdr:to>
    <xdr:pic>
      <xdr:nvPicPr>
        <xdr:cNvPr id="5"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14300"/>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38100</xdr:colOff>
      <xdr:row>13</xdr:row>
      <xdr:rowOff>28575</xdr:rowOff>
    </xdr:from>
    <xdr:to>
      <xdr:col>11</xdr:col>
      <xdr:colOff>756781</xdr:colOff>
      <xdr:row>42</xdr:row>
      <xdr:rowOff>39144</xdr:rowOff>
    </xdr:to>
    <xdr:graphicFrame macro="">
      <xdr:nvGraphicFramePr>
        <xdr:cNvPr id="24689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762000</xdr:colOff>
      <xdr:row>0</xdr:row>
      <xdr:rowOff>84681</xdr:rowOff>
    </xdr:from>
    <xdr:to>
      <xdr:col>0</xdr:col>
      <xdr:colOff>1704975</xdr:colOff>
      <xdr:row>0</xdr:row>
      <xdr:rowOff>675231</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84681"/>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234863</xdr:colOff>
      <xdr:row>0</xdr:row>
      <xdr:rowOff>574109</xdr:rowOff>
    </xdr:from>
    <xdr:to>
      <xdr:col>15</xdr:col>
      <xdr:colOff>326199</xdr:colOff>
      <xdr:row>10</xdr:row>
      <xdr:rowOff>169624</xdr:rowOff>
    </xdr:to>
    <xdr:sp macro="" textlink="">
      <xdr:nvSpPr>
        <xdr:cNvPr id="5" name="4 Explosión 2"/>
        <xdr:cNvSpPr/>
      </xdr:nvSpPr>
      <xdr:spPr>
        <a:xfrm>
          <a:off x="12382500" y="574109"/>
          <a:ext cx="2361678" cy="2348631"/>
        </a:xfrm>
        <a:prstGeom prst="irregularSeal2">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Que pasó aqui? chueque que el total  concuerde con los otros,</a:t>
          </a:r>
          <a:r>
            <a:rPr lang="en-US" sz="1100" baseline="0"/>
            <a:t> ya arregll0 que enero no estaba sumado</a:t>
          </a:r>
          <a:endParaRPr lang="en-US" sz="1100"/>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13048</xdr:colOff>
      <xdr:row>15</xdr:row>
      <xdr:rowOff>65240</xdr:rowOff>
    </xdr:from>
    <xdr:to>
      <xdr:col>14</xdr:col>
      <xdr:colOff>613253</xdr:colOff>
      <xdr:row>45</xdr:row>
      <xdr:rowOff>117431</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141963</xdr:colOff>
      <xdr:row>0</xdr:row>
      <xdr:rowOff>166492</xdr:rowOff>
    </xdr:from>
    <xdr:to>
      <xdr:col>0</xdr:col>
      <xdr:colOff>931734</xdr:colOff>
      <xdr:row>0</xdr:row>
      <xdr:rowOff>704590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63" y="166492"/>
          <a:ext cx="789771" cy="538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3712</xdr:colOff>
      <xdr:row>15</xdr:row>
      <xdr:rowOff>122465</xdr:rowOff>
    </xdr:from>
    <xdr:to>
      <xdr:col>15</xdr:col>
      <xdr:colOff>666749</xdr:colOff>
      <xdr:row>59</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306782</xdr:colOff>
      <xdr:row>14</xdr:row>
      <xdr:rowOff>69271</xdr:rowOff>
    </xdr:from>
    <xdr:to>
      <xdr:col>17</xdr:col>
      <xdr:colOff>544286</xdr:colOff>
      <xdr:row>27</xdr:row>
      <xdr:rowOff>95250</xdr:rowOff>
    </xdr:to>
    <xdr:sp macro="" textlink="">
      <xdr:nvSpPr>
        <xdr:cNvPr id="3" name="2 Nube"/>
        <xdr:cNvSpPr/>
      </xdr:nvSpPr>
      <xdr:spPr>
        <a:xfrm>
          <a:off x="12389925" y="3607128"/>
          <a:ext cx="3707325" cy="2502479"/>
        </a:xfrm>
        <a:prstGeom prst="cloud">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DO" sz="2400"/>
        </a:p>
        <a:p>
          <a:pPr algn="l"/>
          <a:r>
            <a:rPr lang="es-DO" sz="2400"/>
            <a:t>Hablar</a:t>
          </a:r>
          <a:r>
            <a:rPr lang="es-DO" sz="2400" baseline="0"/>
            <a:t> con Beli...</a:t>
          </a:r>
          <a:endParaRPr lang="es-DO" sz="2400"/>
        </a:p>
      </xdr:txBody>
    </xdr:sp>
    <xdr:clientData/>
  </xdr:twoCellAnchor>
  <xdr:twoCellAnchor editAs="oneCell">
    <xdr:from>
      <xdr:col>0</xdr:col>
      <xdr:colOff>299357</xdr:colOff>
      <xdr:row>0</xdr:row>
      <xdr:rowOff>108857</xdr:rowOff>
    </xdr:from>
    <xdr:to>
      <xdr:col>1</xdr:col>
      <xdr:colOff>129359</xdr:colOff>
      <xdr:row>0</xdr:row>
      <xdr:rowOff>661307</xdr:rowOff>
    </xdr:to>
    <xdr:pic>
      <xdr:nvPicPr>
        <xdr:cNvPr id="4"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9357" y="108857"/>
          <a:ext cx="836931"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1</xdr:colOff>
      <xdr:row>15</xdr:row>
      <xdr:rowOff>163286</xdr:rowOff>
    </xdr:from>
    <xdr:to>
      <xdr:col>9</xdr:col>
      <xdr:colOff>1437410</xdr:colOff>
      <xdr:row>48</xdr:row>
      <xdr:rowOff>86591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561061</xdr:colOff>
      <xdr:row>0</xdr:row>
      <xdr:rowOff>130478</xdr:rowOff>
    </xdr:from>
    <xdr:to>
      <xdr:col>1</xdr:col>
      <xdr:colOff>367393</xdr:colOff>
      <xdr:row>0</xdr:row>
      <xdr:rowOff>788519</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061" y="130478"/>
          <a:ext cx="894903" cy="65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258534</xdr:colOff>
      <xdr:row>0</xdr:row>
      <xdr:rowOff>263137</xdr:rowOff>
    </xdr:from>
    <xdr:to>
      <xdr:col>1</xdr:col>
      <xdr:colOff>281350</xdr:colOff>
      <xdr:row>0</xdr:row>
      <xdr:rowOff>870858</xdr:rowOff>
    </xdr:to>
    <xdr:pic>
      <xdr:nvPicPr>
        <xdr:cNvPr id="25406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534" y="263137"/>
          <a:ext cx="893673" cy="60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156574</xdr:rowOff>
    </xdr:from>
    <xdr:to>
      <xdr:col>12</xdr:col>
      <xdr:colOff>693964</xdr:colOff>
      <xdr:row>54</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9</xdr:row>
      <xdr:rowOff>136071</xdr:rowOff>
    </xdr:from>
    <xdr:to>
      <xdr:col>11</xdr:col>
      <xdr:colOff>1143000</xdr:colOff>
      <xdr:row>39</xdr:row>
      <xdr:rowOff>54428</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8221</xdr:colOff>
      <xdr:row>0</xdr:row>
      <xdr:rowOff>149922</xdr:rowOff>
    </xdr:from>
    <xdr:to>
      <xdr:col>1</xdr:col>
      <xdr:colOff>24792</xdr:colOff>
      <xdr:row>0</xdr:row>
      <xdr:rowOff>740472</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1" y="149922"/>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42</xdr:col>
          <xdr:colOff>0</xdr:colOff>
          <xdr:row>3</xdr:row>
          <xdr:rowOff>0</xdr:rowOff>
        </xdr:from>
        <xdr:to>
          <xdr:col>49</xdr:col>
          <xdr:colOff>381000</xdr:colOff>
          <xdr:row>26</xdr:row>
          <xdr:rowOff>152400</xdr:rowOff>
        </xdr:to>
        <xdr:sp macro="" textlink="">
          <xdr:nvSpPr>
            <xdr:cNvPr id="459778" name="Control 2" hidden="1">
              <a:extLst>
                <a:ext uri="{63B3BB69-23CF-44E3-9099-C40C66FF867C}">
                  <a14:compatExt spid="_x0000_s45977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42</xdr:col>
      <xdr:colOff>0</xdr:colOff>
      <xdr:row>43</xdr:row>
      <xdr:rowOff>0</xdr:rowOff>
    </xdr:from>
    <xdr:to>
      <xdr:col>42</xdr:col>
      <xdr:colOff>228600</xdr:colOff>
      <xdr:row>43</xdr:row>
      <xdr:rowOff>104775</xdr:rowOff>
    </xdr:to>
    <xdr:pic>
      <xdr:nvPicPr>
        <xdr:cNvPr id="6" name="5 Imagen" descr="http://www.arlss.gov.do/Transparen/images/cen_rig.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468600" y="9601200"/>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39144</xdr:colOff>
      <xdr:row>10</xdr:row>
      <xdr:rowOff>65240</xdr:rowOff>
    </xdr:from>
    <xdr:to>
      <xdr:col>11</xdr:col>
      <xdr:colOff>835069</xdr:colOff>
      <xdr:row>39</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352295</xdr:colOff>
      <xdr:row>0</xdr:row>
      <xdr:rowOff>156576</xdr:rowOff>
    </xdr:from>
    <xdr:to>
      <xdr:col>1</xdr:col>
      <xdr:colOff>421058</xdr:colOff>
      <xdr:row>0</xdr:row>
      <xdr:rowOff>874212</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95" y="156576"/>
          <a:ext cx="942975" cy="717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15</xdr:row>
      <xdr:rowOff>159445</xdr:rowOff>
    </xdr:from>
    <xdr:to>
      <xdr:col>13</xdr:col>
      <xdr:colOff>848117</xdr:colOff>
      <xdr:row>58</xdr:row>
      <xdr:rowOff>65239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443630</xdr:colOff>
      <xdr:row>0</xdr:row>
      <xdr:rowOff>78288</xdr:rowOff>
    </xdr:from>
    <xdr:to>
      <xdr:col>1</xdr:col>
      <xdr:colOff>365343</xdr:colOff>
      <xdr:row>0</xdr:row>
      <xdr:rowOff>668838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30" y="78288"/>
          <a:ext cx="86116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874213</xdr:colOff>
      <xdr:row>8</xdr:row>
      <xdr:rowOff>169624</xdr:rowOff>
    </xdr:from>
    <xdr:to>
      <xdr:col>15</xdr:col>
      <xdr:colOff>39144</xdr:colOff>
      <xdr:row>28</xdr:row>
      <xdr:rowOff>104384</xdr:rowOff>
    </xdr:to>
    <xdr:sp macro="" textlink="">
      <xdr:nvSpPr>
        <xdr:cNvPr id="2" name="1 Nube"/>
        <xdr:cNvSpPr/>
      </xdr:nvSpPr>
      <xdr:spPr>
        <a:xfrm>
          <a:off x="9433665" y="2635686"/>
          <a:ext cx="4984315" cy="3849143"/>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2400"/>
            <a:t>Estas informaciones</a:t>
          </a:r>
          <a:r>
            <a:rPr lang="es-DO" sz="2400" baseline="0"/>
            <a:t> estan mal publicadas.</a:t>
          </a:r>
        </a:p>
        <a:p>
          <a:pPr algn="l"/>
          <a:r>
            <a:rPr lang="es-DO" sz="2400" baseline="0"/>
            <a:t>el resultado deberia de ser 26,096</a:t>
          </a:r>
          <a:endParaRPr lang="es-DO" sz="2400"/>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10</xdr:row>
      <xdr:rowOff>149678</xdr:rowOff>
    </xdr:from>
    <xdr:to>
      <xdr:col>20</xdr:col>
      <xdr:colOff>734785</xdr:colOff>
      <xdr:row>57</xdr:row>
      <xdr:rowOff>160564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0</xdr:row>
      <xdr:rowOff>165759</xdr:rowOff>
    </xdr:from>
    <xdr:to>
      <xdr:col>1</xdr:col>
      <xdr:colOff>612321</xdr:colOff>
      <xdr:row>0</xdr:row>
      <xdr:rowOff>938893</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65759"/>
          <a:ext cx="1061357" cy="773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435429</xdr:colOff>
      <xdr:row>5</xdr:row>
      <xdr:rowOff>68035</xdr:rowOff>
    </xdr:from>
    <xdr:to>
      <xdr:col>15</xdr:col>
      <xdr:colOff>17709</xdr:colOff>
      <xdr:row>24</xdr:row>
      <xdr:rowOff>39142</xdr:rowOff>
    </xdr:to>
    <xdr:sp macro="" textlink="">
      <xdr:nvSpPr>
        <xdr:cNvPr id="5" name="4 Nube"/>
        <xdr:cNvSpPr/>
      </xdr:nvSpPr>
      <xdr:spPr>
        <a:xfrm>
          <a:off x="6504215" y="2449285"/>
          <a:ext cx="4984315" cy="3849143"/>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2400"/>
            <a:t>Estas informaciones</a:t>
          </a:r>
          <a:r>
            <a:rPr lang="es-DO" sz="2400" baseline="0"/>
            <a:t> estan mal publicadas.</a:t>
          </a:r>
        </a:p>
        <a:p>
          <a:pPr algn="l"/>
          <a:r>
            <a:rPr lang="es-DO" sz="2400" baseline="0"/>
            <a:t>el resultado deberia de ser 26,096</a:t>
          </a:r>
          <a:endParaRPr lang="es-DO" sz="2400"/>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10</xdr:row>
      <xdr:rowOff>190499</xdr:rowOff>
    </xdr:from>
    <xdr:to>
      <xdr:col>9</xdr:col>
      <xdr:colOff>938893</xdr:colOff>
      <xdr:row>45</xdr:row>
      <xdr:rowOff>108857</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375595</xdr:colOff>
      <xdr:row>0</xdr:row>
      <xdr:rowOff>231321</xdr:rowOff>
    </xdr:from>
    <xdr:to>
      <xdr:col>1</xdr:col>
      <xdr:colOff>178470</xdr:colOff>
      <xdr:row>0</xdr:row>
      <xdr:rowOff>979714</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5595" y="231321"/>
          <a:ext cx="1068339" cy="74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250535</xdr:colOff>
      <xdr:row>44</xdr:row>
      <xdr:rowOff>40821</xdr:rowOff>
    </xdr:from>
    <xdr:to>
      <xdr:col>2</xdr:col>
      <xdr:colOff>612322</xdr:colOff>
      <xdr:row>45</xdr:row>
      <xdr:rowOff>176893</xdr:rowOff>
    </xdr:to>
    <xdr:sp macro="" textlink="">
      <xdr:nvSpPr>
        <xdr:cNvPr id="2" name="1 CuadroTexto"/>
        <xdr:cNvSpPr txBox="1"/>
      </xdr:nvSpPr>
      <xdr:spPr>
        <a:xfrm>
          <a:off x="250535" y="9974035"/>
          <a:ext cx="2729430" cy="326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Portal ARL</a:t>
          </a:r>
        </a:p>
      </xdr:txBody>
    </xdr:sp>
    <xdr:clientData/>
  </xdr:twoCellAnchor>
</xdr:wsDr>
</file>

<file path=xl/drawings/drawing21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10</xdr:row>
      <xdr:rowOff>104384</xdr:rowOff>
    </xdr:from>
    <xdr:to>
      <xdr:col>11</xdr:col>
      <xdr:colOff>1161267</xdr:colOff>
      <xdr:row>38</xdr:row>
      <xdr:rowOff>91336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365342</xdr:colOff>
      <xdr:row>0</xdr:row>
      <xdr:rowOff>195719</xdr:rowOff>
    </xdr:from>
    <xdr:to>
      <xdr:col>1</xdr:col>
      <xdr:colOff>381913</xdr:colOff>
      <xdr:row>0</xdr:row>
      <xdr:rowOff>848116</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95719"/>
          <a:ext cx="942975"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11</xdr:row>
      <xdr:rowOff>108855</xdr:rowOff>
    </xdr:from>
    <xdr:to>
      <xdr:col>14</xdr:col>
      <xdr:colOff>925285</xdr:colOff>
      <xdr:row>44</xdr:row>
      <xdr:rowOff>40820</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446426</xdr:colOff>
      <xdr:row>0</xdr:row>
      <xdr:rowOff>213799</xdr:rowOff>
    </xdr:from>
    <xdr:to>
      <xdr:col>1</xdr:col>
      <xdr:colOff>434281</xdr:colOff>
      <xdr:row>0</xdr:row>
      <xdr:rowOff>898071</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426" y="213799"/>
          <a:ext cx="953962" cy="68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689670</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313214" y="81642"/>
          <a:ext cx="1033113" cy="6531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689670</xdr:colOff>
      <xdr:row>0</xdr:row>
      <xdr:rowOff>238283</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075214" y="81642"/>
          <a:ext cx="1090205" cy="105149"/>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142875</xdr:colOff>
      <xdr:row>0</xdr:row>
      <xdr:rowOff>304800</xdr:rowOff>
    </xdr:to>
    <xdr:pic>
      <xdr:nvPicPr>
        <xdr:cNvPr id="130332"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0</xdr:row>
      <xdr:rowOff>276224</xdr:rowOff>
    </xdr:from>
    <xdr:to>
      <xdr:col>1</xdr:col>
      <xdr:colOff>710046</xdr:colOff>
      <xdr:row>0</xdr:row>
      <xdr:rowOff>1181757</xdr:rowOff>
    </xdr:to>
    <xdr:pic>
      <xdr:nvPicPr>
        <xdr:cNvPr id="130333"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276224"/>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69273</xdr:rowOff>
    </xdr:from>
    <xdr:to>
      <xdr:col>15</xdr:col>
      <xdr:colOff>1039092</xdr:colOff>
      <xdr:row>73</xdr:row>
      <xdr:rowOff>69272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692728</xdr:colOff>
      <xdr:row>43</xdr:row>
      <xdr:rowOff>138545</xdr:rowOff>
    </xdr:from>
    <xdr:to>
      <xdr:col>12</xdr:col>
      <xdr:colOff>710045</xdr:colOff>
      <xdr:row>65</xdr:row>
      <xdr:rowOff>103908</xdr:rowOff>
    </xdr:to>
    <xdr:cxnSp macro="">
      <xdr:nvCxnSpPr>
        <xdr:cNvPr id="5" name="4 Conector recto"/>
        <xdr:cNvCxnSpPr/>
      </xdr:nvCxnSpPr>
      <xdr:spPr>
        <a:xfrm flipH="1">
          <a:off x="15291955" y="11378045"/>
          <a:ext cx="17317" cy="4433454"/>
        </a:xfrm>
        <a:prstGeom prst="line">
          <a:avLst/>
        </a:prstGeom>
        <a:ln>
          <a:solidFill>
            <a:srgbClr val="B81271"/>
          </a:solidFill>
          <a:prstDash val="sys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38101</xdr:colOff>
      <xdr:row>10</xdr:row>
      <xdr:rowOff>91336</xdr:rowOff>
    </xdr:from>
    <xdr:to>
      <xdr:col>13</xdr:col>
      <xdr:colOff>952500</xdr:colOff>
      <xdr:row>41</xdr:row>
      <xdr:rowOff>156575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469727</xdr:colOff>
      <xdr:row>0</xdr:row>
      <xdr:rowOff>122827</xdr:rowOff>
    </xdr:from>
    <xdr:to>
      <xdr:col>1</xdr:col>
      <xdr:colOff>561061</xdr:colOff>
      <xdr:row>0</xdr:row>
      <xdr:rowOff>691540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7" y="122827"/>
          <a:ext cx="822019" cy="568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38102</xdr:colOff>
      <xdr:row>10</xdr:row>
      <xdr:rowOff>89647</xdr:rowOff>
    </xdr:from>
    <xdr:to>
      <xdr:col>13</xdr:col>
      <xdr:colOff>874059</xdr:colOff>
      <xdr:row>42</xdr:row>
      <xdr:rowOff>100854</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428906</xdr:colOff>
      <xdr:row>0</xdr:row>
      <xdr:rowOff>131597</xdr:rowOff>
    </xdr:from>
    <xdr:to>
      <xdr:col>1</xdr:col>
      <xdr:colOff>513941</xdr:colOff>
      <xdr:row>0</xdr:row>
      <xdr:rowOff>830035</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906" y="131597"/>
          <a:ext cx="955892" cy="698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39144</xdr:colOff>
      <xdr:row>13</xdr:row>
      <xdr:rowOff>166101</xdr:rowOff>
    </xdr:from>
    <xdr:to>
      <xdr:col>11</xdr:col>
      <xdr:colOff>702469</xdr:colOff>
      <xdr:row>44</xdr:row>
      <xdr:rowOff>89647</xdr:rowOff>
    </xdr:to>
    <xdr:graphicFrame macro="">
      <xdr:nvGraphicFramePr>
        <xdr:cNvPr id="26021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333720</xdr:colOff>
      <xdr:row>0</xdr:row>
      <xdr:rowOff>89340</xdr:rowOff>
    </xdr:from>
    <xdr:to>
      <xdr:col>0</xdr:col>
      <xdr:colOff>1168789</xdr:colOff>
      <xdr:row>0</xdr:row>
      <xdr:rowOff>690192</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720" y="89340"/>
          <a:ext cx="835069"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666749</xdr:colOff>
      <xdr:row>43</xdr:row>
      <xdr:rowOff>119062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378392</xdr:colOff>
      <xdr:row>0</xdr:row>
      <xdr:rowOff>215475</xdr:rowOff>
    </xdr:from>
    <xdr:to>
      <xdr:col>0</xdr:col>
      <xdr:colOff>1343938</xdr:colOff>
      <xdr:row>0</xdr:row>
      <xdr:rowOff>877606</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2" y="215475"/>
          <a:ext cx="965546" cy="66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594987</xdr:colOff>
      <xdr:row>0</xdr:row>
      <xdr:rowOff>243736</xdr:rowOff>
    </xdr:from>
    <xdr:to>
      <xdr:col>0</xdr:col>
      <xdr:colOff>1347462</xdr:colOff>
      <xdr:row>0</xdr:row>
      <xdr:rowOff>758086</xdr:rowOff>
    </xdr:to>
    <xdr:pic>
      <xdr:nvPicPr>
        <xdr:cNvPr id="262257"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987" y="243736"/>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52192</xdr:rowOff>
    </xdr:from>
    <xdr:to>
      <xdr:col>9</xdr:col>
      <xdr:colOff>1082979</xdr:colOff>
      <xdr:row>44</xdr:row>
      <xdr:rowOff>65241</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8</xdr:row>
      <xdr:rowOff>81643</xdr:rowOff>
    </xdr:from>
    <xdr:to>
      <xdr:col>17</xdr:col>
      <xdr:colOff>884465</xdr:colOff>
      <xdr:row>44</xdr:row>
      <xdr:rowOff>130480</xdr:rowOff>
    </xdr:to>
    <xdr:graphicFrame macro="">
      <xdr:nvGraphicFramePr>
        <xdr:cNvPr id="26328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365342</xdr:colOff>
      <xdr:row>0</xdr:row>
      <xdr:rowOff>104383</xdr:rowOff>
    </xdr:from>
    <xdr:to>
      <xdr:col>1</xdr:col>
      <xdr:colOff>391438</xdr:colOff>
      <xdr:row>0</xdr:row>
      <xdr:rowOff>762623</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04383"/>
          <a:ext cx="848117" cy="6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10</xdr:row>
      <xdr:rowOff>110216</xdr:rowOff>
    </xdr:from>
    <xdr:to>
      <xdr:col>14</xdr:col>
      <xdr:colOff>612322</xdr:colOff>
      <xdr:row>44</xdr:row>
      <xdr:rowOff>81642</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455932</xdr:colOff>
      <xdr:row>0</xdr:row>
      <xdr:rowOff>104943</xdr:rowOff>
    </xdr:from>
    <xdr:to>
      <xdr:col>1</xdr:col>
      <xdr:colOff>235589</xdr:colOff>
      <xdr:row>0</xdr:row>
      <xdr:rowOff>695493</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932" y="104943"/>
          <a:ext cx="9362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13</xdr:row>
      <xdr:rowOff>52192</xdr:rowOff>
    </xdr:from>
    <xdr:to>
      <xdr:col>11</xdr:col>
      <xdr:colOff>822021</xdr:colOff>
      <xdr:row>42</xdr:row>
      <xdr:rowOff>104384</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208768</xdr:colOff>
      <xdr:row>0</xdr:row>
      <xdr:rowOff>143527</xdr:rowOff>
    </xdr:from>
    <xdr:to>
      <xdr:col>1</xdr:col>
      <xdr:colOff>52192</xdr:colOff>
      <xdr:row>0</xdr:row>
      <xdr:rowOff>898169</xdr:rowOff>
    </xdr:to>
    <xdr:pic>
      <xdr:nvPicPr>
        <xdr:cNvPr id="4"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8768" y="143527"/>
          <a:ext cx="822020" cy="75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10</xdr:row>
      <xdr:rowOff>78288</xdr:rowOff>
    </xdr:from>
    <xdr:to>
      <xdr:col>11</xdr:col>
      <xdr:colOff>1983288</xdr:colOff>
      <xdr:row>40</xdr:row>
      <xdr:rowOff>1</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130479</xdr:colOff>
      <xdr:row>0</xdr:row>
      <xdr:rowOff>117432</xdr:rowOff>
    </xdr:from>
    <xdr:to>
      <xdr:col>1</xdr:col>
      <xdr:colOff>52192</xdr:colOff>
      <xdr:row>0</xdr:row>
      <xdr:rowOff>707982</xdr:rowOff>
    </xdr:to>
    <xdr:pic>
      <xdr:nvPicPr>
        <xdr:cNvPr id="4"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479" y="117432"/>
          <a:ext cx="78287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78287</xdr:colOff>
      <xdr:row>12</xdr:row>
      <xdr:rowOff>0</xdr:rowOff>
    </xdr:from>
    <xdr:to>
      <xdr:col>13</xdr:col>
      <xdr:colOff>1004691</xdr:colOff>
      <xdr:row>41</xdr:row>
      <xdr:rowOff>91336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508871</xdr:colOff>
      <xdr:row>0</xdr:row>
      <xdr:rowOff>130479</xdr:rowOff>
    </xdr:from>
    <xdr:to>
      <xdr:col>1</xdr:col>
      <xdr:colOff>486353</xdr:colOff>
      <xdr:row>0</xdr:row>
      <xdr:rowOff>639349</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1" y="130479"/>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0.24905</cdr:x>
      <cdr:y>0.03184</cdr:y>
    </cdr:from>
    <cdr:to>
      <cdr:x>0.8384</cdr:x>
      <cdr:y>0.13296</cdr:y>
    </cdr:to>
    <cdr:sp macro="" textlink="">
      <cdr:nvSpPr>
        <cdr:cNvPr id="2" name="1 CuadroTexto"/>
        <cdr:cNvSpPr txBox="1"/>
      </cdr:nvSpPr>
      <cdr:spPr>
        <a:xfrm xmlns:a="http://schemas.openxmlformats.org/drawingml/2006/main">
          <a:off x="4537359" y="294453"/>
          <a:ext cx="10737208" cy="935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2000" b="1"/>
            <a:t>Comportamiento Real y Proyectado de la Cobertura del SDSS a la Población Total</a:t>
          </a:r>
        </a:p>
        <a:p xmlns:a="http://schemas.openxmlformats.org/drawingml/2006/main">
          <a:pPr algn="ctr"/>
          <a:r>
            <a:rPr lang="es-DO" sz="2000" b="1"/>
            <a:t> Proyección de Crecimiento de la Afiliación en Función de la Tendencia Actual</a:t>
          </a:r>
        </a:p>
      </cdr:txBody>
    </cdr:sp>
  </cdr:relSizeAnchor>
</c:userShapes>
</file>

<file path=xl/drawings/drawing230.xml><?xml version="1.0" encoding="utf-8"?>
<xdr:wsDr xmlns:xdr="http://schemas.openxmlformats.org/drawingml/2006/spreadsheetDrawing" xmlns:a="http://schemas.openxmlformats.org/drawingml/2006/main">
  <xdr:twoCellAnchor>
    <xdr:from>
      <xdr:col>0</xdr:col>
      <xdr:colOff>0</xdr:colOff>
      <xdr:row>10</xdr:row>
      <xdr:rowOff>104384</xdr:rowOff>
    </xdr:from>
    <xdr:to>
      <xdr:col>11</xdr:col>
      <xdr:colOff>1056883</xdr:colOff>
      <xdr:row>39</xdr:row>
      <xdr:rowOff>169623</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639349</xdr:colOff>
      <xdr:row>0</xdr:row>
      <xdr:rowOff>104383</xdr:rowOff>
    </xdr:from>
    <xdr:to>
      <xdr:col>1</xdr:col>
      <xdr:colOff>222867</xdr:colOff>
      <xdr:row>0</xdr:row>
      <xdr:rowOff>587157</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349" y="104383"/>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300104</xdr:colOff>
      <xdr:row>0</xdr:row>
      <xdr:rowOff>195719</xdr:rowOff>
    </xdr:from>
    <xdr:to>
      <xdr:col>1</xdr:col>
      <xdr:colOff>104384</xdr:colOff>
      <xdr:row>0</xdr:row>
      <xdr:rowOff>786269</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104" y="195719"/>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83246</xdr:rowOff>
    </xdr:from>
    <xdr:to>
      <xdr:col>13</xdr:col>
      <xdr:colOff>955111</xdr:colOff>
      <xdr:row>42</xdr:row>
      <xdr:rowOff>130479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94073</xdr:colOff>
      <xdr:row>10</xdr:row>
      <xdr:rowOff>149832</xdr:rowOff>
    </xdr:from>
    <xdr:to>
      <xdr:col>6</xdr:col>
      <xdr:colOff>941798</xdr:colOff>
      <xdr:row>34</xdr:row>
      <xdr:rowOff>146408</xdr:rowOff>
    </xdr:to>
    <xdr:graphicFrame macro="">
      <xdr:nvGraphicFramePr>
        <xdr:cNvPr id="27056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1238250</xdr:colOff>
      <xdr:row>0</xdr:row>
      <xdr:rowOff>74830</xdr:rowOff>
    </xdr:from>
    <xdr:to>
      <xdr:col>2</xdr:col>
      <xdr:colOff>1243593</xdr:colOff>
      <xdr:row>0</xdr:row>
      <xdr:rowOff>186736</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2076450" y="74830"/>
          <a:ext cx="1069789" cy="111906"/>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1243593</xdr:colOff>
      <xdr:row>0</xdr:row>
      <xdr:rowOff>186736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2076450" y="74830"/>
          <a:ext cx="1069789" cy="111906"/>
        </a:xfrm>
        <a:prstGeom prst="rect">
          <a:avLst/>
        </a:prstGeom>
        <a:ln>
          <a:noFill/>
        </a:ln>
        <a:effectLst>
          <a:softEdge rad="112500"/>
        </a:effectLst>
      </xdr:spPr>
    </xdr:pic>
    <xdr:clientData/>
  </xdr:twoCellAnchor>
  <xdr:twoCellAnchor editAs="oneCell">
    <xdr:from>
      <xdr:col>0</xdr:col>
      <xdr:colOff>385282</xdr:colOff>
      <xdr:row>0</xdr:row>
      <xdr:rowOff>117725</xdr:rowOff>
    </xdr:from>
    <xdr:to>
      <xdr:col>1</xdr:col>
      <xdr:colOff>71466</xdr:colOff>
      <xdr:row>0</xdr:row>
      <xdr:rowOff>577921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5282" y="117725"/>
          <a:ext cx="649386" cy="460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c:userShapes xmlns:c="http://schemas.openxmlformats.org/drawingml/2006/chart">
  <cdr:relSizeAnchor xmlns:cdr="http://schemas.openxmlformats.org/drawingml/2006/chartDrawing">
    <cdr:from>
      <cdr:x>0.0399</cdr:x>
      <cdr:y>0.93903</cdr:y>
    </cdr:from>
    <cdr:to>
      <cdr:x>0.57274</cdr:x>
      <cdr:y>1</cdr:y>
    </cdr:to>
    <cdr:sp macro="" textlink="">
      <cdr:nvSpPr>
        <cdr:cNvPr id="2" name="1 CuadroTexto"/>
        <cdr:cNvSpPr txBox="1"/>
      </cdr:nvSpPr>
      <cdr:spPr>
        <a:xfrm xmlns:a="http://schemas.openxmlformats.org/drawingml/2006/main">
          <a:off x="341032" y="4411831"/>
          <a:ext cx="4554068" cy="286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Fuente : </a:t>
          </a:r>
          <a:r>
            <a:rPr lang="en-US" sz="1000"/>
            <a:t>Comunicación</a:t>
          </a:r>
          <a:r>
            <a:rPr lang="en-US" sz="1000" baseline="0"/>
            <a:t> </a:t>
          </a:r>
          <a:r>
            <a:rPr lang="en-US" sz="1000"/>
            <a:t>SISALRIL 008220 del  7 de Mayo 2010.</a:t>
          </a:r>
        </a:p>
      </cdr:txBody>
    </cdr:sp>
  </cdr:relSizeAnchor>
  <cdr:relSizeAnchor xmlns:cdr="http://schemas.openxmlformats.org/drawingml/2006/chartDrawing">
    <cdr:from>
      <cdr:x>0.42766</cdr:x>
      <cdr:y>0.05356</cdr:y>
    </cdr:from>
    <cdr:to>
      <cdr:x>0.57851</cdr:x>
      <cdr:y>0.10226</cdr:y>
    </cdr:to>
    <cdr:sp macro="" textlink="">
      <cdr:nvSpPr>
        <cdr:cNvPr id="3" name="2 CuadroTexto"/>
        <cdr:cNvSpPr txBox="1"/>
      </cdr:nvSpPr>
      <cdr:spPr>
        <a:xfrm xmlns:a="http://schemas.openxmlformats.org/drawingml/2006/main">
          <a:off x="3529769" y="247448"/>
          <a:ext cx="1245067" cy="224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Millones RD$</a:t>
          </a:r>
        </a:p>
      </cdr:txBody>
    </cdr:sp>
  </cdr:relSizeAnchor>
</c:userShapes>
</file>

<file path=xl/drawings/drawing234.xml><?xml version="1.0" encoding="utf-8"?>
<xdr:wsDr xmlns:xdr="http://schemas.openxmlformats.org/drawingml/2006/spreadsheetDrawing" xmlns:a="http://schemas.openxmlformats.org/drawingml/2006/main">
  <xdr:twoCellAnchor>
    <xdr:from>
      <xdr:col>0</xdr:col>
      <xdr:colOff>0</xdr:colOff>
      <xdr:row>15</xdr:row>
      <xdr:rowOff>209550</xdr:rowOff>
    </xdr:from>
    <xdr:to>
      <xdr:col>11</xdr:col>
      <xdr:colOff>1143000</xdr:colOff>
      <xdr:row>44</xdr:row>
      <xdr:rowOff>200025</xdr:rowOff>
    </xdr:to>
    <xdr:graphicFrame macro="">
      <xdr:nvGraphicFramePr>
        <xdr:cNvPr id="27147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428625</xdr:colOff>
      <xdr:row>0</xdr:row>
      <xdr:rowOff>66675</xdr:rowOff>
    </xdr:from>
    <xdr:to>
      <xdr:col>1</xdr:col>
      <xdr:colOff>542925</xdr:colOff>
      <xdr:row>0</xdr:row>
      <xdr:rowOff>619125</xdr:rowOff>
    </xdr:to>
    <xdr:pic>
      <xdr:nvPicPr>
        <xdr:cNvPr id="27147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 y="66675"/>
          <a:ext cx="8001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c:userShapes xmlns:c="http://schemas.openxmlformats.org/drawingml/2006/chart">
  <cdr:relSizeAnchor xmlns:cdr="http://schemas.openxmlformats.org/drawingml/2006/chartDrawing">
    <cdr:from>
      <cdr:x>0.27107</cdr:x>
      <cdr:y>0.9523</cdr:y>
    </cdr:from>
    <cdr:to>
      <cdr:x>0.60812</cdr:x>
      <cdr:y>0.98849</cdr:y>
    </cdr:to>
    <cdr:sp macro="" textlink="">
      <cdr:nvSpPr>
        <cdr:cNvPr id="4" name="3 CuadroTexto"/>
        <cdr:cNvSpPr txBox="1"/>
      </cdr:nvSpPr>
      <cdr:spPr>
        <a:xfrm xmlns:a="http://schemas.openxmlformats.org/drawingml/2006/main">
          <a:off x="2991971" y="6488206"/>
          <a:ext cx="3720353"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0.01827</cdr:x>
      <cdr:y>0.93841</cdr:y>
    </cdr:from>
    <cdr:to>
      <cdr:x>0.40305</cdr:x>
      <cdr:y>0.9794</cdr:y>
    </cdr:to>
    <cdr:sp macro="" textlink="">
      <cdr:nvSpPr>
        <cdr:cNvPr id="5" name="4 CuadroTexto"/>
        <cdr:cNvSpPr txBox="1"/>
      </cdr:nvSpPr>
      <cdr:spPr>
        <a:xfrm xmlns:a="http://schemas.openxmlformats.org/drawingml/2006/main">
          <a:off x="213153" y="6556203"/>
          <a:ext cx="4489158" cy="286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ea typeface="+mn-ea"/>
              <a:cs typeface="+mn-cs"/>
            </a:rPr>
            <a:t>Fuente: </a:t>
          </a:r>
          <a:r>
            <a:rPr lang="en-US" sz="1100">
              <a:latin typeface="+mn-lt"/>
              <a:ea typeface="+mn-ea"/>
              <a:cs typeface="+mn-cs"/>
            </a:rPr>
            <a:t>Boletín</a:t>
          </a:r>
          <a:r>
            <a:rPr lang="en-US" sz="1100" baseline="0">
              <a:latin typeface="+mn-lt"/>
              <a:ea typeface="+mn-ea"/>
              <a:cs typeface="+mn-cs"/>
            </a:rPr>
            <a:t> Informativo de la ARL No. 21 de Diciembre 2009</a:t>
          </a:r>
          <a:endParaRPr lang="en-US" sz="1100"/>
        </a:p>
      </cdr:txBody>
    </cdr:sp>
  </cdr:relSizeAnchor>
</c:userShapes>
</file>

<file path=xl/drawings/drawing236.xml><?xml version="1.0" encoding="utf-8"?>
<xdr:wsDr xmlns:xdr="http://schemas.openxmlformats.org/drawingml/2006/spreadsheetDrawing" xmlns:a="http://schemas.openxmlformats.org/drawingml/2006/main">
  <xdr:twoCellAnchor>
    <xdr:from>
      <xdr:col>0</xdr:col>
      <xdr:colOff>0</xdr:colOff>
      <xdr:row>16</xdr:row>
      <xdr:rowOff>49369</xdr:rowOff>
    </xdr:from>
    <xdr:to>
      <xdr:col>11</xdr:col>
      <xdr:colOff>657359</xdr:colOff>
      <xdr:row>49</xdr:row>
      <xdr:rowOff>26831</xdr:rowOff>
    </xdr:to>
    <xdr:graphicFrame macro="">
      <xdr:nvGraphicFramePr>
        <xdr:cNvPr id="272497"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603697</xdr:colOff>
      <xdr:row>0</xdr:row>
      <xdr:rowOff>174402</xdr:rowOff>
    </xdr:from>
    <xdr:to>
      <xdr:col>1</xdr:col>
      <xdr:colOff>781989</xdr:colOff>
      <xdr:row>0</xdr:row>
      <xdr:rowOff>764952</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697" y="174402"/>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c:userShapes xmlns:c="http://schemas.openxmlformats.org/drawingml/2006/chart">
  <cdr:relSizeAnchor xmlns:cdr="http://schemas.openxmlformats.org/drawingml/2006/chartDrawing">
    <cdr:from>
      <cdr:x>0.79369</cdr:x>
      <cdr:y>0.93077</cdr:y>
    </cdr:from>
    <cdr:to>
      <cdr:x>0.91984</cdr:x>
      <cdr:y>1</cdr:y>
    </cdr:to>
    <cdr:sp macro="" textlink="">
      <cdr:nvSpPr>
        <cdr:cNvPr id="2" name="1 CuadroTexto"/>
        <cdr:cNvSpPr txBox="1"/>
      </cdr:nvSpPr>
      <cdr:spPr>
        <a:xfrm xmlns:a="http://schemas.openxmlformats.org/drawingml/2006/main">
          <a:off x="5753101" y="3457574"/>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DO"/>
        </a:p>
      </cdr:txBody>
    </cdr:sp>
  </cdr:relSizeAnchor>
  <cdr:relSizeAnchor xmlns:cdr="http://schemas.openxmlformats.org/drawingml/2006/chartDrawing">
    <cdr:from>
      <cdr:x>0.03642</cdr:x>
      <cdr:y>0.91838</cdr:y>
    </cdr:from>
    <cdr:to>
      <cdr:x>0.53348</cdr:x>
      <cdr:y>0.97041</cdr:y>
    </cdr:to>
    <cdr:sp macro="" textlink="">
      <cdr:nvSpPr>
        <cdr:cNvPr id="3" name="2 CuadroTexto"/>
        <cdr:cNvSpPr txBox="1"/>
      </cdr:nvSpPr>
      <cdr:spPr>
        <a:xfrm xmlns:a="http://schemas.openxmlformats.org/drawingml/2006/main">
          <a:off x="445078" y="4981440"/>
          <a:ext cx="6074851" cy="2822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latin typeface="+mn-lt"/>
              <a:ea typeface="+mn-ea"/>
              <a:cs typeface="+mn-cs"/>
            </a:rPr>
            <a:t>Fuente: </a:t>
          </a:r>
          <a:r>
            <a:rPr lang="en-US" sz="1600">
              <a:latin typeface="+mn-lt"/>
              <a:ea typeface="+mn-ea"/>
              <a:cs typeface="+mn-cs"/>
            </a:rPr>
            <a:t>Boletín </a:t>
          </a:r>
          <a:r>
            <a:rPr lang="en-US" sz="1600" baseline="0">
              <a:latin typeface="+mn-lt"/>
              <a:ea typeface="+mn-ea"/>
              <a:cs typeface="+mn-cs"/>
            </a:rPr>
            <a:t>Informativo de la ARL No. 21 de Diciembre 2009.</a:t>
          </a:r>
          <a:endParaRPr lang="en-US" sz="1600">
            <a:latin typeface="+mn-lt"/>
            <a:ea typeface="+mn-ea"/>
            <a:cs typeface="+mn-cs"/>
          </a:endParaRPr>
        </a:p>
      </cdr:txBody>
    </cdr:sp>
  </cdr:relSizeAnchor>
</c:userShapes>
</file>

<file path=xl/drawings/drawing238.xml><?xml version="1.0" encoding="utf-8"?>
<xdr:wsDr xmlns:xdr="http://schemas.openxmlformats.org/drawingml/2006/spreadsheetDrawing" xmlns:a="http://schemas.openxmlformats.org/drawingml/2006/main">
  <xdr:twoCellAnchor>
    <xdr:from>
      <xdr:col>0</xdr:col>
      <xdr:colOff>9525</xdr:colOff>
      <xdr:row>16</xdr:row>
      <xdr:rowOff>81643</xdr:rowOff>
    </xdr:from>
    <xdr:to>
      <xdr:col>12</xdr:col>
      <xdr:colOff>666750</xdr:colOff>
      <xdr:row>46</xdr:row>
      <xdr:rowOff>40821</xdr:rowOff>
    </xdr:to>
    <xdr:graphicFrame macro="">
      <xdr:nvGraphicFramePr>
        <xdr:cNvPr id="273577"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74007</xdr:rowOff>
    </xdr:from>
    <xdr:to>
      <xdr:col>1</xdr:col>
      <xdr:colOff>952501</xdr:colOff>
      <xdr:row>0</xdr:row>
      <xdr:rowOff>230862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771649" y="74007"/>
          <a:ext cx="952501" cy="118755"/>
        </a:xfrm>
        <a:prstGeom prst="rect">
          <a:avLst/>
        </a:prstGeom>
        <a:ln>
          <a:noFill/>
        </a:ln>
        <a:effectLst>
          <a:softEdge rad="112500"/>
        </a:effectLst>
      </xdr:spPr>
    </xdr:pic>
    <xdr:clientData/>
  </xdr:twoCellAnchor>
  <xdr:twoCellAnchor editAs="oneCell">
    <xdr:from>
      <xdr:col>0</xdr:col>
      <xdr:colOff>631031</xdr:colOff>
      <xdr:row>0</xdr:row>
      <xdr:rowOff>130968</xdr:rowOff>
    </xdr:from>
    <xdr:to>
      <xdr:col>1</xdr:col>
      <xdr:colOff>435429</xdr:colOff>
      <xdr:row>0</xdr:row>
      <xdr:rowOff>748393</xdr:rowOff>
    </xdr:to>
    <xdr:pic>
      <xdr:nvPicPr>
        <xdr:cNvPr id="5"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031" y="130968"/>
          <a:ext cx="892969" cy="61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c:userShapes xmlns:c="http://schemas.openxmlformats.org/drawingml/2006/chart">
  <cdr:relSizeAnchor xmlns:cdr="http://schemas.openxmlformats.org/drawingml/2006/chartDrawing">
    <cdr:from>
      <cdr:x>0.04777</cdr:x>
      <cdr:y>0.90385</cdr:y>
    </cdr:from>
    <cdr:to>
      <cdr:x>0.4205</cdr:x>
      <cdr:y>0.95264</cdr:y>
    </cdr:to>
    <cdr:sp macro="" textlink="">
      <cdr:nvSpPr>
        <cdr:cNvPr id="3" name="2 CuadroTexto"/>
        <cdr:cNvSpPr txBox="1"/>
      </cdr:nvSpPr>
      <cdr:spPr>
        <a:xfrm xmlns:a="http://schemas.openxmlformats.org/drawingml/2006/main">
          <a:off x="616708" y="5210924"/>
          <a:ext cx="4811884" cy="281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Boletín Informativo ARL  No. 21 Diciembre 2009</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771525</xdr:colOff>
      <xdr:row>10</xdr:row>
      <xdr:rowOff>161925</xdr:rowOff>
    </xdr:from>
    <xdr:to>
      <xdr:col>13</xdr:col>
      <xdr:colOff>409575</xdr:colOff>
      <xdr:row>12</xdr:row>
      <xdr:rowOff>57150</xdr:rowOff>
    </xdr:to>
    <xdr:sp macro="" textlink="">
      <xdr:nvSpPr>
        <xdr:cNvPr id="131745" name="1 CuadroTexto"/>
        <xdr:cNvSpPr txBox="1">
          <a:spLocks noChangeArrowheads="1"/>
        </xdr:cNvSpPr>
      </xdr:nvSpPr>
      <xdr:spPr bwMode="auto">
        <a:xfrm>
          <a:off x="7248525" y="3400425"/>
          <a:ext cx="2409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123825</xdr:colOff>
      <xdr:row>8</xdr:row>
      <xdr:rowOff>152400</xdr:rowOff>
    </xdr:from>
    <xdr:to>
      <xdr:col>14</xdr:col>
      <xdr:colOff>942975</xdr:colOff>
      <xdr:row>10</xdr:row>
      <xdr:rowOff>57150</xdr:rowOff>
    </xdr:to>
    <xdr:sp macro="" textlink="">
      <xdr:nvSpPr>
        <xdr:cNvPr id="131746" name="1 CuadroTexto"/>
        <xdr:cNvSpPr txBox="1">
          <a:spLocks noChangeArrowheads="1"/>
        </xdr:cNvSpPr>
      </xdr:nvSpPr>
      <xdr:spPr bwMode="auto">
        <a:xfrm>
          <a:off x="10144125" y="3000375"/>
          <a:ext cx="647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304800</xdr:colOff>
      <xdr:row>4</xdr:row>
      <xdr:rowOff>171450</xdr:rowOff>
    </xdr:from>
    <xdr:to>
      <xdr:col>16</xdr:col>
      <xdr:colOff>219075</xdr:colOff>
      <xdr:row>6</xdr:row>
      <xdr:rowOff>76200</xdr:rowOff>
    </xdr:to>
    <xdr:sp macro="" textlink="">
      <xdr:nvSpPr>
        <xdr:cNvPr id="131747" name="1 CuadroTexto"/>
        <xdr:cNvSpPr txBox="1">
          <a:spLocks noChangeArrowheads="1"/>
        </xdr:cNvSpPr>
      </xdr:nvSpPr>
      <xdr:spPr bwMode="auto">
        <a:xfrm>
          <a:off x="11096625" y="2219325"/>
          <a:ext cx="9048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66675</xdr:colOff>
      <xdr:row>0</xdr:row>
      <xdr:rowOff>47625</xdr:rowOff>
    </xdr:from>
    <xdr:to>
      <xdr:col>0</xdr:col>
      <xdr:colOff>895350</xdr:colOff>
      <xdr:row>0</xdr:row>
      <xdr:rowOff>600075</xdr:rowOff>
    </xdr:to>
    <xdr:pic>
      <xdr:nvPicPr>
        <xdr:cNvPr id="131748"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47625"/>
          <a:ext cx="828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xdr:row>
      <xdr:rowOff>47625</xdr:rowOff>
    </xdr:from>
    <xdr:to>
      <xdr:col>7</xdr:col>
      <xdr:colOff>161925</xdr:colOff>
      <xdr:row>32</xdr:row>
      <xdr:rowOff>133350</xdr:rowOff>
    </xdr:to>
    <xdr:graphicFrame macro="">
      <xdr:nvGraphicFramePr>
        <xdr:cNvPr id="13174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87586</xdr:colOff>
      <xdr:row>31</xdr:row>
      <xdr:rowOff>43794</xdr:rowOff>
    </xdr:from>
    <xdr:to>
      <xdr:col>3</xdr:col>
      <xdr:colOff>591207</xdr:colOff>
      <xdr:row>32</xdr:row>
      <xdr:rowOff>43793</xdr:rowOff>
    </xdr:to>
    <xdr:sp macro="" textlink="">
      <xdr:nvSpPr>
        <xdr:cNvPr id="8" name="7 CuadroTexto"/>
        <xdr:cNvSpPr txBox="1"/>
      </xdr:nvSpPr>
      <xdr:spPr>
        <a:xfrm>
          <a:off x="87586" y="7160173"/>
          <a:ext cx="2846552" cy="186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Fuente: Informe Trimestral PRISS/UNIPAGO</a:t>
          </a:r>
        </a:p>
      </xdr:txBody>
    </xdr:sp>
    <xdr:clientData/>
  </xdr:twoCellAnchor>
  <xdr:twoCellAnchor>
    <xdr:from>
      <xdr:col>7</xdr:col>
      <xdr:colOff>190500</xdr:colOff>
      <xdr:row>9</xdr:row>
      <xdr:rowOff>104775</xdr:rowOff>
    </xdr:from>
    <xdr:to>
      <xdr:col>14</xdr:col>
      <xdr:colOff>714375</xdr:colOff>
      <xdr:row>32</xdr:row>
      <xdr:rowOff>133350</xdr:rowOff>
    </xdr:to>
    <xdr:graphicFrame macro="">
      <xdr:nvGraphicFramePr>
        <xdr:cNvPr id="131751"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295604</xdr:colOff>
      <xdr:row>31</xdr:row>
      <xdr:rowOff>0</xdr:rowOff>
    </xdr:from>
    <xdr:to>
      <xdr:col>11</xdr:col>
      <xdr:colOff>361293</xdr:colOff>
      <xdr:row>32</xdr:row>
      <xdr:rowOff>54741</xdr:rowOff>
    </xdr:to>
    <xdr:sp macro="" textlink="">
      <xdr:nvSpPr>
        <xdr:cNvPr id="10" name="9 CuadroTexto"/>
        <xdr:cNvSpPr txBox="1"/>
      </xdr:nvSpPr>
      <xdr:spPr>
        <a:xfrm>
          <a:off x="5386552" y="7116379"/>
          <a:ext cx="2748017" cy="2408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Fuente:</a:t>
          </a:r>
          <a:r>
            <a:rPr lang="en-US" sz="1100" baseline="0"/>
            <a:t> Informe Mensual TSS</a:t>
          </a:r>
          <a:endParaRPr lang="en-US" sz="1100"/>
        </a:p>
      </xdr:txBody>
    </xdr:sp>
    <xdr:clientData/>
  </xdr:twoCellAnchor>
  <xdr:twoCellAnchor>
    <xdr:from>
      <xdr:col>1</xdr:col>
      <xdr:colOff>284656</xdr:colOff>
      <xdr:row>15</xdr:row>
      <xdr:rowOff>131379</xdr:rowOff>
    </xdr:from>
    <xdr:to>
      <xdr:col>2</xdr:col>
      <xdr:colOff>317501</xdr:colOff>
      <xdr:row>16</xdr:row>
      <xdr:rowOff>175173</xdr:rowOff>
    </xdr:to>
    <xdr:sp macro="" textlink="">
      <xdr:nvSpPr>
        <xdr:cNvPr id="11" name="10 CuadroTexto"/>
        <xdr:cNvSpPr txBox="1"/>
      </xdr:nvSpPr>
      <xdr:spPr>
        <a:xfrm>
          <a:off x="1193363" y="4280776"/>
          <a:ext cx="810172" cy="2299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5,458,131</a:t>
          </a:r>
        </a:p>
      </xdr:txBody>
    </xdr:sp>
    <xdr:clientData/>
  </xdr:twoCellAnchor>
  <xdr:twoCellAnchor>
    <xdr:from>
      <xdr:col>7</xdr:col>
      <xdr:colOff>459829</xdr:colOff>
      <xdr:row>13</xdr:row>
      <xdr:rowOff>87586</xdr:rowOff>
    </xdr:from>
    <xdr:to>
      <xdr:col>8</xdr:col>
      <xdr:colOff>492673</xdr:colOff>
      <xdr:row>14</xdr:row>
      <xdr:rowOff>142327</xdr:rowOff>
    </xdr:to>
    <xdr:sp macro="" textlink="">
      <xdr:nvSpPr>
        <xdr:cNvPr id="12" name="11 CuadroTexto"/>
        <xdr:cNvSpPr txBox="1"/>
      </xdr:nvSpPr>
      <xdr:spPr>
        <a:xfrm>
          <a:off x="5550777" y="3853793"/>
          <a:ext cx="821120" cy="2408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4,448,849</a:t>
          </a:r>
        </a:p>
      </xdr:txBody>
    </xdr:sp>
    <xdr:clientData/>
  </xdr:twoCellAnchor>
  <xdr:twoCellAnchor>
    <xdr:from>
      <xdr:col>15</xdr:col>
      <xdr:colOff>47625</xdr:colOff>
      <xdr:row>1</xdr:row>
      <xdr:rowOff>76200</xdr:rowOff>
    </xdr:from>
    <xdr:to>
      <xdr:col>21</xdr:col>
      <xdr:colOff>457200</xdr:colOff>
      <xdr:row>19</xdr:row>
      <xdr:rowOff>47625</xdr:rowOff>
    </xdr:to>
    <xdr:graphicFrame macro="">
      <xdr:nvGraphicFramePr>
        <xdr:cNvPr id="131755"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57150</xdr:colOff>
      <xdr:row>19</xdr:row>
      <xdr:rowOff>66675</xdr:rowOff>
    </xdr:from>
    <xdr:to>
      <xdr:col>21</xdr:col>
      <xdr:colOff>457200</xdr:colOff>
      <xdr:row>42</xdr:row>
      <xdr:rowOff>123825</xdr:rowOff>
    </xdr:to>
    <xdr:graphicFrame macro="">
      <xdr:nvGraphicFramePr>
        <xdr:cNvPr id="131756"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561975</xdr:colOff>
      <xdr:row>0</xdr:row>
      <xdr:rowOff>28574</xdr:rowOff>
    </xdr:from>
    <xdr:to>
      <xdr:col>2</xdr:col>
      <xdr:colOff>681829</xdr:colOff>
      <xdr:row>0</xdr:row>
      <xdr:rowOff>174400</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23975" y="28574"/>
          <a:ext cx="1022106" cy="669149"/>
        </a:xfrm>
        <a:prstGeom prst="rect">
          <a:avLst/>
        </a:prstGeom>
        <a:ln>
          <a:noFill/>
        </a:ln>
        <a:effectLst>
          <a:softEdge rad="112500"/>
        </a:effectLst>
      </xdr:spPr>
    </xdr:pic>
    <xdr:clientData/>
  </xdr:twoCellAnchor>
  <xdr:twoCellAnchor>
    <xdr:from>
      <xdr:col>0</xdr:col>
      <xdr:colOff>0</xdr:colOff>
      <xdr:row>15</xdr:row>
      <xdr:rowOff>81644</xdr:rowOff>
    </xdr:from>
    <xdr:to>
      <xdr:col>11</xdr:col>
      <xdr:colOff>2367643</xdr:colOff>
      <xdr:row>52</xdr:row>
      <xdr:rowOff>54429</xdr:rowOff>
    </xdr:to>
    <xdr:graphicFrame macro="">
      <xdr:nvGraphicFramePr>
        <xdr:cNvPr id="27471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561975</xdr:colOff>
      <xdr:row>0</xdr:row>
      <xdr:rowOff>28574</xdr:rowOff>
    </xdr:from>
    <xdr:to>
      <xdr:col>2</xdr:col>
      <xdr:colOff>681829</xdr:colOff>
      <xdr:row>0</xdr:row>
      <xdr:rowOff>174400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23975" y="28574"/>
          <a:ext cx="1053304" cy="145826"/>
        </a:xfrm>
        <a:prstGeom prst="rect">
          <a:avLst/>
        </a:prstGeom>
        <a:ln>
          <a:noFill/>
        </a:ln>
        <a:effectLst>
          <a:softEdge rad="112500"/>
        </a:effectLst>
      </xdr:spPr>
    </xdr:pic>
    <xdr:clientData/>
  </xdr:twoCellAnchor>
  <xdr:oneCellAnchor>
    <xdr:from>
      <xdr:col>10</xdr:col>
      <xdr:colOff>470647</xdr:colOff>
      <xdr:row>12</xdr:row>
      <xdr:rowOff>123265</xdr:rowOff>
    </xdr:from>
    <xdr:ext cx="184731" cy="264560"/>
    <xdr:sp macro="" textlink="">
      <xdr:nvSpPr>
        <xdr:cNvPr id="8" name="7 CuadroTexto"/>
        <xdr:cNvSpPr txBox="1"/>
      </xdr:nvSpPr>
      <xdr:spPr>
        <a:xfrm>
          <a:off x="9693088" y="32833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DO"/>
        </a:p>
      </xdr:txBody>
    </xdr:sp>
    <xdr:clientData/>
  </xdr:oneCellAnchor>
  <xdr:twoCellAnchor editAs="oneCell">
    <xdr:from>
      <xdr:col>1</xdr:col>
      <xdr:colOff>295525</xdr:colOff>
      <xdr:row>0</xdr:row>
      <xdr:rowOff>200273</xdr:rowOff>
    </xdr:from>
    <xdr:to>
      <xdr:col>2</xdr:col>
      <xdr:colOff>484068</xdr:colOff>
      <xdr:row>0</xdr:row>
      <xdr:rowOff>979714</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1132" y="200273"/>
          <a:ext cx="1127436" cy="77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c:userShapes xmlns:c="http://schemas.openxmlformats.org/drawingml/2006/chart">
  <cdr:relSizeAnchor xmlns:cdr="http://schemas.openxmlformats.org/drawingml/2006/chartDrawing">
    <cdr:from>
      <cdr:x>0.53647</cdr:x>
      <cdr:y>0.94409</cdr:y>
    </cdr:from>
    <cdr:to>
      <cdr:x>0.85561</cdr:x>
      <cdr:y>0.9914</cdr:y>
    </cdr:to>
    <cdr:sp macro="" textlink="">
      <cdr:nvSpPr>
        <cdr:cNvPr id="4" name="3 CuadroTexto"/>
        <cdr:cNvSpPr txBox="1"/>
      </cdr:nvSpPr>
      <cdr:spPr>
        <a:xfrm xmlns:a="http://schemas.openxmlformats.org/drawingml/2006/main">
          <a:off x="6536393" y="4919384"/>
          <a:ext cx="3888441"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0.04347</cdr:x>
      <cdr:y>0.90354</cdr:y>
    </cdr:from>
    <cdr:to>
      <cdr:x>0.41411</cdr:x>
      <cdr:y>0.95086</cdr:y>
    </cdr:to>
    <cdr:sp macro="" textlink="">
      <cdr:nvSpPr>
        <cdr:cNvPr id="5" name="4 CuadroTexto"/>
        <cdr:cNvSpPr txBox="1"/>
      </cdr:nvSpPr>
      <cdr:spPr>
        <a:xfrm xmlns:a="http://schemas.openxmlformats.org/drawingml/2006/main">
          <a:off x="590924" y="6233338"/>
          <a:ext cx="5038309" cy="326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 </a:t>
          </a:r>
          <a:r>
            <a:rPr lang="en-US" sz="1400">
              <a:latin typeface="+mn-lt"/>
              <a:ea typeface="+mn-ea"/>
              <a:cs typeface="+mn-cs"/>
            </a:rPr>
            <a:t>Boletín</a:t>
          </a:r>
          <a:r>
            <a:rPr lang="en-US" sz="1400" baseline="0">
              <a:latin typeface="+mn-lt"/>
              <a:ea typeface="+mn-ea"/>
              <a:cs typeface="+mn-cs"/>
            </a:rPr>
            <a:t> Informativo de la ARL No.21 de Diciembre 2009.</a:t>
          </a:r>
          <a:endParaRPr lang="en-US" sz="1400">
            <a:latin typeface="+mn-lt"/>
            <a:ea typeface="+mn-ea"/>
            <a:cs typeface="+mn-cs"/>
          </a:endParaRPr>
        </a:p>
        <a:p xmlns:a="http://schemas.openxmlformats.org/drawingml/2006/main">
          <a:endParaRPr lang="en-US" sz="1400"/>
        </a:p>
      </cdr:txBody>
    </cdr:sp>
  </cdr:relSizeAnchor>
</c:userShapes>
</file>

<file path=xl/drawings/drawing242.xml><?xml version="1.0" encoding="utf-8"?>
<xdr:wsDr xmlns:xdr="http://schemas.openxmlformats.org/drawingml/2006/spreadsheetDrawing" xmlns:a="http://schemas.openxmlformats.org/drawingml/2006/main">
  <xdr:twoCellAnchor>
    <xdr:from>
      <xdr:col>0</xdr:col>
      <xdr:colOff>19051</xdr:colOff>
      <xdr:row>15</xdr:row>
      <xdr:rowOff>85725</xdr:rowOff>
    </xdr:from>
    <xdr:to>
      <xdr:col>11</xdr:col>
      <xdr:colOff>673101</xdr:colOff>
      <xdr:row>45</xdr:row>
      <xdr:rowOff>25400</xdr:rowOff>
    </xdr:to>
    <xdr:graphicFrame macro="">
      <xdr:nvGraphicFramePr>
        <xdr:cNvPr id="275569"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711200</xdr:colOff>
      <xdr:row>0</xdr:row>
      <xdr:rowOff>133928</xdr:rowOff>
    </xdr:from>
    <xdr:to>
      <xdr:col>1</xdr:col>
      <xdr:colOff>749299</xdr:colOff>
      <xdr:row>0</xdr:row>
      <xdr:rowOff>635000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1200" y="133928"/>
          <a:ext cx="800099" cy="501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c:userShapes xmlns:c="http://schemas.openxmlformats.org/drawingml/2006/chart">
  <cdr:relSizeAnchor xmlns:cdr="http://schemas.openxmlformats.org/drawingml/2006/chartDrawing">
    <cdr:from>
      <cdr:x>0.76589</cdr:x>
      <cdr:y>0.91209</cdr:y>
    </cdr:from>
    <cdr:to>
      <cdr:x>0.99666</cdr:x>
      <cdr:y>0.98901</cdr:y>
    </cdr:to>
    <cdr:sp macro="" textlink="">
      <cdr:nvSpPr>
        <cdr:cNvPr id="3" name="2 CuadroTexto"/>
        <cdr:cNvSpPr txBox="1"/>
      </cdr:nvSpPr>
      <cdr:spPr>
        <a:xfrm xmlns:a="http://schemas.openxmlformats.org/drawingml/2006/main">
          <a:off x="6543676" y="3162300"/>
          <a:ext cx="19716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0.03397</cdr:x>
      <cdr:y>0.92961</cdr:y>
    </cdr:from>
    <cdr:to>
      <cdr:x>0.45355</cdr:x>
      <cdr:y>0.9793</cdr:y>
    </cdr:to>
    <cdr:sp macro="" textlink="">
      <cdr:nvSpPr>
        <cdr:cNvPr id="4" name="3 CuadroTexto"/>
        <cdr:cNvSpPr txBox="1"/>
      </cdr:nvSpPr>
      <cdr:spPr>
        <a:xfrm xmlns:a="http://schemas.openxmlformats.org/drawingml/2006/main">
          <a:off x="381000" y="5031440"/>
          <a:ext cx="4706470" cy="268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Fuente: </a:t>
          </a:r>
          <a:r>
            <a:rPr lang="en-US" sz="1100">
              <a:latin typeface="+mn-lt"/>
              <a:ea typeface="+mn-ea"/>
              <a:cs typeface="+mn-cs"/>
            </a:rPr>
            <a:t>Boletín</a:t>
          </a:r>
          <a:r>
            <a:rPr lang="en-US" sz="1100" baseline="0">
              <a:latin typeface="+mn-lt"/>
              <a:ea typeface="+mn-ea"/>
              <a:cs typeface="+mn-cs"/>
            </a:rPr>
            <a:t> Informativo de la ARL No. 21 de Diciembre 2009</a:t>
          </a:r>
          <a:endParaRPr lang="en-US" sz="1100">
            <a:latin typeface="+mn-lt"/>
            <a:ea typeface="+mn-ea"/>
            <a:cs typeface="+mn-cs"/>
          </a:endParaRPr>
        </a:p>
        <a:p xmlns:a="http://schemas.openxmlformats.org/drawingml/2006/main">
          <a:endParaRPr lang="en-US" sz="1100"/>
        </a:p>
      </cdr:txBody>
    </cdr:sp>
  </cdr:relSizeAnchor>
</c:userShapes>
</file>

<file path=xl/drawings/drawing244.xml><?xml version="1.0" encoding="utf-8"?>
<xdr:wsDr xmlns:xdr="http://schemas.openxmlformats.org/drawingml/2006/spreadsheetDrawing" xmlns:a="http://schemas.openxmlformats.org/drawingml/2006/main">
  <xdr:twoCellAnchor editAs="oneCell">
    <xdr:from>
      <xdr:col>1</xdr:col>
      <xdr:colOff>361949</xdr:colOff>
      <xdr:row>0</xdr:row>
      <xdr:rowOff>86821</xdr:rowOff>
    </xdr:from>
    <xdr:to>
      <xdr:col>1</xdr:col>
      <xdr:colOff>1355292</xdr:colOff>
      <xdr:row>0</xdr:row>
      <xdr:rowOff>183320</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23949" y="86821"/>
          <a:ext cx="973121" cy="637079"/>
        </a:xfrm>
        <a:prstGeom prst="rect">
          <a:avLst/>
        </a:prstGeom>
        <a:ln>
          <a:noFill/>
        </a:ln>
        <a:effectLst>
          <a:softEdge rad="112500"/>
        </a:effectLst>
      </xdr:spPr>
    </xdr:pic>
    <xdr:clientData/>
  </xdr:twoCellAnchor>
  <xdr:twoCellAnchor>
    <xdr:from>
      <xdr:col>0</xdr:col>
      <xdr:colOff>28576</xdr:colOff>
      <xdr:row>17</xdr:row>
      <xdr:rowOff>47625</xdr:rowOff>
    </xdr:from>
    <xdr:to>
      <xdr:col>11</xdr:col>
      <xdr:colOff>1030789</xdr:colOff>
      <xdr:row>48</xdr:row>
      <xdr:rowOff>13048</xdr:rowOff>
    </xdr:to>
    <xdr:graphicFrame macro="">
      <xdr:nvGraphicFramePr>
        <xdr:cNvPr id="276706"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361949</xdr:colOff>
      <xdr:row>0</xdr:row>
      <xdr:rowOff>86821</xdr:rowOff>
    </xdr:from>
    <xdr:to>
      <xdr:col>1</xdr:col>
      <xdr:colOff>1355292</xdr:colOff>
      <xdr:row>0</xdr:row>
      <xdr:rowOff>183320</xdr:rowOff>
    </xdr:to>
    <xdr:pic>
      <xdr:nvPicPr>
        <xdr:cNvPr id="9" name="8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23949" y="86821"/>
          <a:ext cx="993343" cy="96499"/>
        </a:xfrm>
        <a:prstGeom prst="rect">
          <a:avLst/>
        </a:prstGeom>
        <a:ln>
          <a:noFill/>
        </a:ln>
        <a:effectLst>
          <a:softEdge rad="112500"/>
        </a:effectLst>
      </xdr:spPr>
    </xdr:pic>
    <xdr:clientData/>
  </xdr:twoCellAnchor>
  <xdr:twoCellAnchor editAs="oneCell">
    <xdr:from>
      <xdr:col>1</xdr:col>
      <xdr:colOff>443630</xdr:colOff>
      <xdr:row>0</xdr:row>
      <xdr:rowOff>130479</xdr:rowOff>
    </xdr:from>
    <xdr:to>
      <xdr:col>1</xdr:col>
      <xdr:colOff>1386605</xdr:colOff>
      <xdr:row>0</xdr:row>
      <xdr:rowOff>721029</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411" y="130479"/>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c:userShapes xmlns:c="http://schemas.openxmlformats.org/drawingml/2006/chart">
  <cdr:relSizeAnchor xmlns:cdr="http://schemas.openxmlformats.org/drawingml/2006/chartDrawing">
    <cdr:from>
      <cdr:x>0.75795</cdr:x>
      <cdr:y>0.94366</cdr:y>
    </cdr:from>
    <cdr:to>
      <cdr:x>0.98409</cdr:x>
      <cdr:y>0.9953</cdr:y>
    </cdr:to>
    <cdr:sp macro="" textlink="">
      <cdr:nvSpPr>
        <cdr:cNvPr id="2" name="1 CuadroTexto"/>
        <cdr:cNvSpPr txBox="1"/>
      </cdr:nvSpPr>
      <cdr:spPr>
        <a:xfrm xmlns:a="http://schemas.openxmlformats.org/drawingml/2006/main">
          <a:off x="6353175" y="3829049"/>
          <a:ext cx="18954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0.03255</cdr:x>
      <cdr:y>0.94871</cdr:y>
    </cdr:from>
    <cdr:to>
      <cdr:x>0.39734</cdr:x>
      <cdr:y>0.98635</cdr:y>
    </cdr:to>
    <cdr:sp macro="" textlink="">
      <cdr:nvSpPr>
        <cdr:cNvPr id="5" name="4 CuadroTexto"/>
        <cdr:cNvSpPr txBox="1"/>
      </cdr:nvSpPr>
      <cdr:spPr>
        <a:xfrm xmlns:a="http://schemas.openxmlformats.org/drawingml/2006/main">
          <a:off x="410900" y="5647766"/>
          <a:ext cx="4605618" cy="224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Fuente: </a:t>
          </a:r>
          <a:r>
            <a:rPr lang="en-US" sz="1100">
              <a:latin typeface="+mn-lt"/>
              <a:ea typeface="+mn-ea"/>
              <a:cs typeface="+mn-cs"/>
            </a:rPr>
            <a:t>Boletín</a:t>
          </a:r>
          <a:r>
            <a:rPr lang="en-US" sz="1100" baseline="0">
              <a:latin typeface="+mn-lt"/>
              <a:ea typeface="+mn-ea"/>
              <a:cs typeface="+mn-cs"/>
            </a:rPr>
            <a:t> Informativo de la ARL No. 21 de Diciembre 2009</a:t>
          </a:r>
          <a:endParaRPr lang="en-US" sz="1100">
            <a:latin typeface="+mn-lt"/>
            <a:ea typeface="+mn-ea"/>
            <a:cs typeface="+mn-cs"/>
          </a:endParaRPr>
        </a:p>
        <a:p xmlns:a="http://schemas.openxmlformats.org/drawingml/2006/main">
          <a:endParaRPr lang="en-US" sz="1100"/>
        </a:p>
      </cdr:txBody>
    </cdr:sp>
  </cdr:relSizeAnchor>
</c:userShapes>
</file>

<file path=xl/drawings/drawing246.xml><?xml version="1.0" encoding="utf-8"?>
<xdr:wsDr xmlns:xdr="http://schemas.openxmlformats.org/drawingml/2006/spreadsheetDrawing" xmlns:a="http://schemas.openxmlformats.org/drawingml/2006/main">
  <xdr:twoCellAnchor>
    <xdr:from>
      <xdr:col>0</xdr:col>
      <xdr:colOff>19050</xdr:colOff>
      <xdr:row>16</xdr:row>
      <xdr:rowOff>76200</xdr:rowOff>
    </xdr:from>
    <xdr:to>
      <xdr:col>11</xdr:col>
      <xdr:colOff>723900</xdr:colOff>
      <xdr:row>45</xdr:row>
      <xdr:rowOff>104775</xdr:rowOff>
    </xdr:to>
    <xdr:graphicFrame macro="">
      <xdr:nvGraphicFramePr>
        <xdr:cNvPr id="277617"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402465</xdr:colOff>
      <xdr:row>0</xdr:row>
      <xdr:rowOff>134155</xdr:rowOff>
    </xdr:from>
    <xdr:to>
      <xdr:col>2</xdr:col>
      <xdr:colOff>138046</xdr:colOff>
      <xdr:row>0</xdr:row>
      <xdr:rowOff>724705</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7148" y="134155"/>
          <a:ext cx="942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c:userShapes xmlns:c="http://schemas.openxmlformats.org/drawingml/2006/chart">
  <cdr:relSizeAnchor xmlns:cdr="http://schemas.openxmlformats.org/drawingml/2006/chartDrawing">
    <cdr:from>
      <cdr:x>0.019</cdr:x>
      <cdr:y>0.93703</cdr:y>
    </cdr:from>
    <cdr:to>
      <cdr:x>0.37826</cdr:x>
      <cdr:y>0.99923</cdr:y>
    </cdr:to>
    <cdr:sp macro="" textlink="">
      <cdr:nvSpPr>
        <cdr:cNvPr id="4" name="3 CuadroTexto"/>
        <cdr:cNvSpPr txBox="1"/>
      </cdr:nvSpPr>
      <cdr:spPr>
        <a:xfrm xmlns:a="http://schemas.openxmlformats.org/drawingml/2006/main">
          <a:off x="213290" y="5233147"/>
          <a:ext cx="4034117" cy="347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Fuente: </a:t>
          </a:r>
          <a:r>
            <a:rPr lang="en-US" sz="1100">
              <a:latin typeface="+mn-lt"/>
              <a:ea typeface="+mn-ea"/>
              <a:cs typeface="+mn-cs"/>
            </a:rPr>
            <a:t>Boletín</a:t>
          </a:r>
          <a:r>
            <a:rPr lang="en-US" sz="1100" baseline="0">
              <a:latin typeface="+mn-lt"/>
              <a:ea typeface="+mn-ea"/>
              <a:cs typeface="+mn-cs"/>
            </a:rPr>
            <a:t> Informativo de la ARL No. 21 de Diciembre 2009</a:t>
          </a:r>
          <a:endParaRPr lang="en-US" sz="1100">
            <a:latin typeface="+mn-lt"/>
            <a:ea typeface="+mn-ea"/>
            <a:cs typeface="+mn-cs"/>
          </a:endParaRPr>
        </a:p>
        <a:p xmlns:a="http://schemas.openxmlformats.org/drawingml/2006/main">
          <a:endParaRPr lang="en-US" sz="1100"/>
        </a:p>
      </cdr:txBody>
    </cdr:sp>
  </cdr:relSizeAnchor>
</c:userShapes>
</file>

<file path=xl/drawings/drawing248.xml><?xml version="1.0" encoding="utf-8"?>
<xdr:wsDr xmlns:xdr="http://schemas.openxmlformats.org/drawingml/2006/spreadsheetDrawing" xmlns:a="http://schemas.openxmlformats.org/drawingml/2006/main">
  <xdr:twoCellAnchor editAs="oneCell">
    <xdr:from>
      <xdr:col>1</xdr:col>
      <xdr:colOff>361949</xdr:colOff>
      <xdr:row>0</xdr:row>
      <xdr:rowOff>86821</xdr:rowOff>
    </xdr:from>
    <xdr:to>
      <xdr:col>1</xdr:col>
      <xdr:colOff>1355292</xdr:colOff>
      <xdr:row>0</xdr:row>
      <xdr:rowOff>183320</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23949" y="86821"/>
          <a:ext cx="993343" cy="96499"/>
        </a:xfrm>
        <a:prstGeom prst="rect">
          <a:avLst/>
        </a:prstGeom>
        <a:ln>
          <a:noFill/>
        </a:ln>
        <a:effectLst>
          <a:softEdge rad="112500"/>
        </a:effectLst>
      </xdr:spPr>
    </xdr:pic>
    <xdr:clientData/>
  </xdr:twoCellAnchor>
  <xdr:twoCellAnchor editAs="oneCell">
    <xdr:from>
      <xdr:col>1</xdr:col>
      <xdr:colOff>361949</xdr:colOff>
      <xdr:row>0</xdr:row>
      <xdr:rowOff>86821</xdr:rowOff>
    </xdr:from>
    <xdr:to>
      <xdr:col>1</xdr:col>
      <xdr:colOff>1355292</xdr:colOff>
      <xdr:row>0</xdr:row>
      <xdr:rowOff>183320</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23949" y="86821"/>
          <a:ext cx="993343" cy="96499"/>
        </a:xfrm>
        <a:prstGeom prst="rect">
          <a:avLst/>
        </a:prstGeom>
        <a:ln>
          <a:noFill/>
        </a:ln>
        <a:effectLst>
          <a:softEdge rad="112500"/>
        </a:effectLst>
      </xdr:spPr>
    </xdr:pic>
    <xdr:clientData/>
  </xdr:twoCellAnchor>
  <xdr:twoCellAnchor>
    <xdr:from>
      <xdr:col>0</xdr:col>
      <xdr:colOff>0</xdr:colOff>
      <xdr:row>5</xdr:row>
      <xdr:rowOff>143528</xdr:rowOff>
    </xdr:from>
    <xdr:to>
      <xdr:col>4</xdr:col>
      <xdr:colOff>795924</xdr:colOff>
      <xdr:row>38</xdr:row>
      <xdr:rowOff>169623</xdr:rowOff>
    </xdr:to>
    <xdr:graphicFrame macro="">
      <xdr:nvGraphicFramePr>
        <xdr:cNvPr id="278811"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456678</xdr:colOff>
      <xdr:row>6</xdr:row>
      <xdr:rowOff>14483</xdr:rowOff>
    </xdr:from>
    <xdr:to>
      <xdr:col>10</xdr:col>
      <xdr:colOff>361950</xdr:colOff>
      <xdr:row>38</xdr:row>
      <xdr:rowOff>130479</xdr:rowOff>
    </xdr:to>
    <xdr:graphicFrame macro="">
      <xdr:nvGraphicFramePr>
        <xdr:cNvPr id="278812"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693368</xdr:colOff>
      <xdr:row>0</xdr:row>
      <xdr:rowOff>73772</xdr:rowOff>
    </xdr:from>
    <xdr:to>
      <xdr:col>1</xdr:col>
      <xdr:colOff>195306</xdr:colOff>
      <xdr:row>0</xdr:row>
      <xdr:rowOff>769829</xdr:rowOff>
    </xdr:to>
    <xdr:pic>
      <xdr:nvPicPr>
        <xdr:cNvPr id="7" name="9 Imagen" descr="logo_2x4.bmp">
          <a:hlinkClick xmlns:r="http://schemas.openxmlformats.org/officeDocument/2006/relationships" r:id="rId5"/>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368" y="73772"/>
          <a:ext cx="924164" cy="69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c:userShapes xmlns:c="http://schemas.openxmlformats.org/drawingml/2006/chart">
  <cdr:relSizeAnchor xmlns:cdr="http://schemas.openxmlformats.org/drawingml/2006/chartDrawing">
    <cdr:from>
      <cdr:x>0.07529</cdr:x>
      <cdr:y>0.89888</cdr:y>
    </cdr:from>
    <cdr:to>
      <cdr:x>0.89707</cdr:x>
      <cdr:y>0.96379</cdr:y>
    </cdr:to>
    <cdr:sp macro="" textlink="">
      <cdr:nvSpPr>
        <cdr:cNvPr id="2" name="1 CuadroTexto"/>
        <cdr:cNvSpPr txBox="1"/>
      </cdr:nvSpPr>
      <cdr:spPr>
        <a:xfrm xmlns:a="http://schemas.openxmlformats.org/drawingml/2006/main">
          <a:off x="413572" y="5425184"/>
          <a:ext cx="4514189" cy="391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Fuente:Boletín</a:t>
          </a:r>
          <a:r>
            <a:rPr lang="en-US" sz="1100" b="1" baseline="0"/>
            <a:t> </a:t>
          </a:r>
          <a:r>
            <a:rPr lang="en-US" sz="1100" b="1"/>
            <a:t>SISALRIL Informa No. 35</a:t>
          </a:r>
        </a:p>
      </cdr:txBody>
    </cdr:sp>
  </cdr:relSizeAnchor>
</c:userShapes>
</file>

<file path=xl/drawings/drawing25.xml><?xml version="1.0" encoding="utf-8"?>
<c:userShapes xmlns:c="http://schemas.openxmlformats.org/drawingml/2006/chart">
  <cdr:relSizeAnchor xmlns:cdr="http://schemas.openxmlformats.org/drawingml/2006/chartDrawing">
    <cdr:from>
      <cdr:x>0.0519</cdr:x>
      <cdr:y>0.26128</cdr:y>
    </cdr:from>
    <cdr:to>
      <cdr:x>0.20925</cdr:x>
      <cdr:y>0.31354</cdr:y>
    </cdr:to>
    <cdr:sp macro="" textlink="">
      <cdr:nvSpPr>
        <cdr:cNvPr id="2" name="1 CuadroTexto"/>
        <cdr:cNvSpPr txBox="1"/>
      </cdr:nvSpPr>
      <cdr:spPr>
        <a:xfrm xmlns:a="http://schemas.openxmlformats.org/drawingml/2006/main">
          <a:off x="276133" y="1204304"/>
          <a:ext cx="837237" cy="240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5,423,245</a:t>
          </a:r>
        </a:p>
      </cdr:txBody>
    </cdr:sp>
  </cdr:relSizeAnchor>
  <cdr:relSizeAnchor xmlns:cdr="http://schemas.openxmlformats.org/drawingml/2006/chartDrawing">
    <cdr:from>
      <cdr:x>0.2381</cdr:x>
      <cdr:y>0.23991</cdr:y>
    </cdr:from>
    <cdr:to>
      <cdr:x>0.3913</cdr:x>
      <cdr:y>0.28266</cdr:y>
    </cdr:to>
    <cdr:sp macro="" textlink="">
      <cdr:nvSpPr>
        <cdr:cNvPr id="3" name="2 CuadroTexto"/>
        <cdr:cNvSpPr txBox="1"/>
      </cdr:nvSpPr>
      <cdr:spPr>
        <a:xfrm xmlns:a="http://schemas.openxmlformats.org/drawingml/2006/main">
          <a:off x="1259052" y="1105776"/>
          <a:ext cx="810172" cy="1970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0.36232</cdr:x>
      <cdr:y>0.24228</cdr:y>
    </cdr:from>
    <cdr:to>
      <cdr:x>0.5383</cdr:x>
      <cdr:y>0.29929</cdr:y>
    </cdr:to>
    <cdr:sp macro="" textlink="">
      <cdr:nvSpPr>
        <cdr:cNvPr id="4" name="3 CuadroTexto"/>
        <cdr:cNvSpPr txBox="1"/>
      </cdr:nvSpPr>
      <cdr:spPr>
        <a:xfrm xmlns:a="http://schemas.openxmlformats.org/drawingml/2006/main">
          <a:off x="1915947" y="1116725"/>
          <a:ext cx="930603" cy="262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t>5,485,250</a:t>
          </a:r>
        </a:p>
      </cdr:txBody>
    </cdr:sp>
  </cdr:relSizeAnchor>
  <cdr:relSizeAnchor xmlns:cdr="http://schemas.openxmlformats.org/drawingml/2006/chartDrawing">
    <cdr:from>
      <cdr:x>0.49896</cdr:x>
      <cdr:y>0.23991</cdr:y>
    </cdr:from>
    <cdr:to>
      <cdr:x>0.6646</cdr:x>
      <cdr:y>0.29454</cdr:y>
    </cdr:to>
    <cdr:sp macro="" textlink="">
      <cdr:nvSpPr>
        <cdr:cNvPr id="5" name="4 CuadroTexto"/>
        <cdr:cNvSpPr txBox="1"/>
      </cdr:nvSpPr>
      <cdr:spPr>
        <a:xfrm xmlns:a="http://schemas.openxmlformats.org/drawingml/2006/main">
          <a:off x="2638535" y="1105777"/>
          <a:ext cx="875862" cy="2518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5,530,583</a:t>
          </a:r>
        </a:p>
      </cdr:txBody>
    </cdr:sp>
  </cdr:relSizeAnchor>
  <cdr:relSizeAnchor xmlns:cdr="http://schemas.openxmlformats.org/drawingml/2006/chartDrawing">
    <cdr:from>
      <cdr:x>0.63147</cdr:x>
      <cdr:y>0.23991</cdr:y>
    </cdr:from>
    <cdr:to>
      <cdr:x>0.7971</cdr:x>
      <cdr:y>0.28741</cdr:y>
    </cdr:to>
    <cdr:sp macro="" textlink="">
      <cdr:nvSpPr>
        <cdr:cNvPr id="6" name="5 CuadroTexto"/>
        <cdr:cNvSpPr txBox="1"/>
      </cdr:nvSpPr>
      <cdr:spPr>
        <a:xfrm xmlns:a="http://schemas.openxmlformats.org/drawingml/2006/main">
          <a:off x="3339224" y="1105776"/>
          <a:ext cx="875862" cy="2189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5,568,316</a:t>
          </a:r>
        </a:p>
      </cdr:txBody>
    </cdr:sp>
  </cdr:relSizeAnchor>
  <cdr:relSizeAnchor xmlns:cdr="http://schemas.openxmlformats.org/drawingml/2006/chartDrawing">
    <cdr:from>
      <cdr:x>0.77433</cdr:x>
      <cdr:y>0.24466</cdr:y>
    </cdr:from>
    <cdr:to>
      <cdr:x>0.93996</cdr:x>
      <cdr:y>0.28741</cdr:y>
    </cdr:to>
    <cdr:sp macro="" textlink="">
      <cdr:nvSpPr>
        <cdr:cNvPr id="7" name="6 CuadroTexto"/>
        <cdr:cNvSpPr txBox="1"/>
      </cdr:nvSpPr>
      <cdr:spPr>
        <a:xfrm xmlns:a="http://schemas.openxmlformats.org/drawingml/2006/main">
          <a:off x="4094655" y="1127672"/>
          <a:ext cx="875861" cy="1970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5,605,255</a:t>
          </a:r>
        </a:p>
      </cdr:txBody>
    </cdr:sp>
  </cdr:relSizeAnchor>
</c:userShapes>
</file>

<file path=xl/drawings/drawing250.xml><?xml version="1.0" encoding="utf-8"?>
<xdr:wsDr xmlns:xdr="http://schemas.openxmlformats.org/drawingml/2006/spreadsheetDrawing" xmlns:a="http://schemas.openxmlformats.org/drawingml/2006/main">
  <xdr:twoCellAnchor editAs="oneCell">
    <xdr:from>
      <xdr:col>1</xdr:col>
      <xdr:colOff>361949</xdr:colOff>
      <xdr:row>0</xdr:row>
      <xdr:rowOff>86821</xdr:rowOff>
    </xdr:from>
    <xdr:to>
      <xdr:col>1</xdr:col>
      <xdr:colOff>764742</xdr:colOff>
      <xdr:row>0</xdr:row>
      <xdr:rowOff>183320</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781174" y="86821"/>
          <a:ext cx="993343" cy="96499"/>
        </a:xfrm>
        <a:prstGeom prst="rect">
          <a:avLst/>
        </a:prstGeom>
        <a:ln>
          <a:noFill/>
        </a:ln>
        <a:effectLst>
          <a:softEdge rad="112500"/>
        </a:effectLst>
      </xdr:spPr>
    </xdr:pic>
    <xdr:clientData/>
  </xdr:twoCellAnchor>
  <xdr:twoCellAnchor editAs="oneCell">
    <xdr:from>
      <xdr:col>1</xdr:col>
      <xdr:colOff>361949</xdr:colOff>
      <xdr:row>0</xdr:row>
      <xdr:rowOff>86821</xdr:rowOff>
    </xdr:from>
    <xdr:to>
      <xdr:col>1</xdr:col>
      <xdr:colOff>764742</xdr:colOff>
      <xdr:row>0</xdr:row>
      <xdr:rowOff>183320</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781174" y="86821"/>
          <a:ext cx="993343" cy="96499"/>
        </a:xfrm>
        <a:prstGeom prst="rect">
          <a:avLst/>
        </a:prstGeom>
        <a:ln>
          <a:noFill/>
        </a:ln>
        <a:effectLst>
          <a:softEdge rad="112500"/>
        </a:effectLst>
      </xdr:spPr>
    </xdr:pic>
    <xdr:clientData/>
  </xdr:twoCellAnchor>
  <xdr:twoCellAnchor>
    <xdr:from>
      <xdr:col>0</xdr:col>
      <xdr:colOff>0</xdr:colOff>
      <xdr:row>6</xdr:row>
      <xdr:rowOff>95250</xdr:rowOff>
    </xdr:from>
    <xdr:to>
      <xdr:col>11</xdr:col>
      <xdr:colOff>238125</xdr:colOff>
      <xdr:row>32</xdr:row>
      <xdr:rowOff>57150</xdr:rowOff>
    </xdr:to>
    <xdr:graphicFrame macro="">
      <xdr:nvGraphicFramePr>
        <xdr:cNvPr id="27983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209550</xdr:colOff>
      <xdr:row>0</xdr:row>
      <xdr:rowOff>123826</xdr:rowOff>
    </xdr:from>
    <xdr:to>
      <xdr:col>1</xdr:col>
      <xdr:colOff>878758</xdr:colOff>
      <xdr:row>0</xdr:row>
      <xdr:rowOff>542926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1550" y="123826"/>
          <a:ext cx="66920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1.xml><?xml version="1.0" encoding="utf-8"?>
<c:userShapes xmlns:c="http://schemas.openxmlformats.org/drawingml/2006/chart">
  <cdr:relSizeAnchor xmlns:cdr="http://schemas.openxmlformats.org/drawingml/2006/chartDrawing">
    <cdr:from>
      <cdr:x>0.02112</cdr:x>
      <cdr:y>0.93551</cdr:y>
    </cdr:from>
    <cdr:to>
      <cdr:x>0.29142</cdr:x>
      <cdr:y>0.98642</cdr:y>
    </cdr:to>
    <cdr:sp macro="" textlink="">
      <cdr:nvSpPr>
        <cdr:cNvPr id="2" name="5 CuadroTexto"/>
        <cdr:cNvSpPr txBox="1"/>
      </cdr:nvSpPr>
      <cdr:spPr>
        <a:xfrm xmlns:a="http://schemas.openxmlformats.org/drawingml/2006/main">
          <a:off x="203200" y="4375150"/>
          <a:ext cx="2600325" cy="2381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mn-lt"/>
              <a:ea typeface="+mn-ea"/>
              <a:cs typeface="+mn-cs"/>
            </a:rPr>
            <a:t>Fuente: </a:t>
          </a:r>
          <a:r>
            <a:rPr lang="en-US" sz="1100">
              <a:solidFill>
                <a:schemeClr val="dk1"/>
              </a:solidFill>
              <a:latin typeface="+mn-lt"/>
              <a:ea typeface="+mn-ea"/>
              <a:cs typeface="+mn-cs"/>
            </a:rPr>
            <a:t>Boletín</a:t>
          </a:r>
          <a:r>
            <a:rPr lang="en-US" sz="1100" baseline="0">
              <a:solidFill>
                <a:schemeClr val="dk1"/>
              </a:solidFill>
              <a:latin typeface="+mn-lt"/>
              <a:ea typeface="+mn-ea"/>
              <a:cs typeface="+mn-cs"/>
            </a:rPr>
            <a:t> </a:t>
          </a:r>
          <a:r>
            <a:rPr lang="en-US" sz="1100">
              <a:solidFill>
                <a:schemeClr val="dk1"/>
              </a:solidFill>
              <a:latin typeface="+mn-lt"/>
              <a:ea typeface="+mn-ea"/>
              <a:cs typeface="+mn-cs"/>
            </a:rPr>
            <a:t>SISALRIL Informa No. 35.</a:t>
          </a:r>
          <a:endParaRPr lang="en-US"/>
        </a:p>
        <a:p xmlns:a="http://schemas.openxmlformats.org/drawingml/2006/main">
          <a:endParaRPr lang="en-US" sz="1100"/>
        </a:p>
      </cdr:txBody>
    </cdr:sp>
  </cdr:relSizeAnchor>
</c:userShapes>
</file>

<file path=xl/drawings/drawing252.xml><?xml version="1.0" encoding="utf-8"?>
<xdr:wsDr xmlns:xdr="http://schemas.openxmlformats.org/drawingml/2006/spreadsheetDrawing" xmlns:a="http://schemas.openxmlformats.org/drawingml/2006/main">
  <xdr:twoCellAnchor>
    <xdr:from>
      <xdr:col>2</xdr:col>
      <xdr:colOff>557893</xdr:colOff>
      <xdr:row>1</xdr:row>
      <xdr:rowOff>149678</xdr:rowOff>
    </xdr:from>
    <xdr:to>
      <xdr:col>9</xdr:col>
      <xdr:colOff>898071</xdr:colOff>
      <xdr:row>40</xdr:row>
      <xdr:rowOff>91287</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3847" t="11259" r="33724" b="39648"/>
        <a:stretch/>
      </xdr:blipFill>
      <xdr:spPr bwMode="auto">
        <a:xfrm>
          <a:off x="2081893" y="340178"/>
          <a:ext cx="7293428" cy="7371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299359</xdr:colOff>
      <xdr:row>11</xdr:row>
      <xdr:rowOff>122465</xdr:rowOff>
    </xdr:from>
    <xdr:to>
      <xdr:col>10</xdr:col>
      <xdr:colOff>639536</xdr:colOff>
      <xdr:row>34</xdr:row>
      <xdr:rowOff>122465</xdr:rowOff>
    </xdr:to>
    <xdr:sp macro="" textlink="">
      <xdr:nvSpPr>
        <xdr:cNvPr id="3" name="2 CuadroTexto"/>
        <xdr:cNvSpPr txBox="1"/>
      </xdr:nvSpPr>
      <xdr:spPr>
        <a:xfrm>
          <a:off x="1061359" y="2217965"/>
          <a:ext cx="9184820" cy="438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accent3">
                  <a:lumMod val="50000"/>
                </a:schemeClr>
              </a:solidFill>
              <a:latin typeface="+mn-lt"/>
              <a:ea typeface="+mn-ea"/>
              <a:cs typeface="+mn-cs"/>
            </a:rPr>
            <a:t>Médicas Nacional y Regional (CMNR)</a:t>
          </a:r>
        </a:p>
        <a:p>
          <a:pPr marL="0" marR="0" indent="0" algn="ctr" defTabSz="914400" eaLnBrk="1" fontAlgn="auto" latinLnBrk="0" hangingPunct="1">
            <a:lnSpc>
              <a:spcPct val="100000"/>
            </a:lnSpc>
            <a:spcBef>
              <a:spcPts val="0"/>
            </a:spcBef>
            <a:spcAft>
              <a:spcPts val="0"/>
            </a:spcAft>
            <a:buClrTx/>
            <a:buSzTx/>
            <a:buFontTx/>
            <a:buNone/>
            <a:tabLst/>
            <a:defRPr/>
          </a:pPr>
          <a:endParaRPr lang="es-DO" sz="4800" b="1">
            <a:solidFill>
              <a:schemeClr val="accent3">
                <a:lumMod val="50000"/>
              </a:schemeClr>
            </a:solidFill>
          </a:endParaRPr>
        </a:p>
      </xdr:txBody>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10</xdr:row>
      <xdr:rowOff>57150</xdr:rowOff>
    </xdr:from>
    <xdr:to>
      <xdr:col>11</xdr:col>
      <xdr:colOff>619125</xdr:colOff>
      <xdr:row>41</xdr:row>
      <xdr:rowOff>104775</xdr:rowOff>
    </xdr:to>
    <xdr:graphicFrame macro="">
      <xdr:nvGraphicFramePr>
        <xdr:cNvPr id="28068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830037</xdr:colOff>
      <xdr:row>0</xdr:row>
      <xdr:rowOff>136072</xdr:rowOff>
    </xdr:from>
    <xdr:to>
      <xdr:col>1</xdr:col>
      <xdr:colOff>492357</xdr:colOff>
      <xdr:row>0</xdr:row>
      <xdr:rowOff>721179</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037" y="136072"/>
          <a:ext cx="859749" cy="58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4.xml><?xml version="1.0" encoding="utf-8"?>
<c:userShapes xmlns:c="http://schemas.openxmlformats.org/drawingml/2006/chart">
  <cdr:relSizeAnchor xmlns:cdr="http://schemas.openxmlformats.org/drawingml/2006/chartDrawing">
    <cdr:from>
      <cdr:x>0.06102</cdr:x>
      <cdr:y>0.89482</cdr:y>
    </cdr:from>
    <cdr:to>
      <cdr:x>0.25476</cdr:x>
      <cdr:y>0.95013</cdr:y>
    </cdr:to>
    <cdr:sp macro="" textlink="">
      <cdr:nvSpPr>
        <cdr:cNvPr id="2" name="1 CuadroTexto"/>
        <cdr:cNvSpPr txBox="1"/>
      </cdr:nvSpPr>
      <cdr:spPr>
        <a:xfrm xmlns:a="http://schemas.openxmlformats.org/drawingml/2006/main">
          <a:off x="797566" y="6836827"/>
          <a:ext cx="2532116" cy="42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CMNR / CNSS</a:t>
          </a:r>
        </a:p>
      </cdr:txBody>
    </cdr:sp>
  </cdr:relSizeAnchor>
</c:userShapes>
</file>

<file path=xl/drawings/drawing255.xml><?xml version="1.0" encoding="utf-8"?>
<xdr:wsDr xmlns:xdr="http://schemas.openxmlformats.org/drawingml/2006/spreadsheetDrawing" xmlns:a="http://schemas.openxmlformats.org/drawingml/2006/main">
  <xdr:twoCellAnchor>
    <xdr:from>
      <xdr:col>0</xdr:col>
      <xdr:colOff>0</xdr:colOff>
      <xdr:row>11</xdr:row>
      <xdr:rowOff>57150</xdr:rowOff>
    </xdr:from>
    <xdr:to>
      <xdr:col>11</xdr:col>
      <xdr:colOff>619125</xdr:colOff>
      <xdr:row>42</xdr:row>
      <xdr:rowOff>104775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830037</xdr:colOff>
      <xdr:row>0</xdr:row>
      <xdr:rowOff>136072</xdr:rowOff>
    </xdr:from>
    <xdr:to>
      <xdr:col>1</xdr:col>
      <xdr:colOff>397107</xdr:colOff>
      <xdr:row>0</xdr:row>
      <xdr:rowOff>721179</xdr:rowOff>
    </xdr:to>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037" y="136072"/>
          <a:ext cx="852945" cy="58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6.xml><?xml version="1.0" encoding="utf-8"?>
<c:userShapes xmlns:c="http://schemas.openxmlformats.org/drawingml/2006/chart">
  <cdr:relSizeAnchor xmlns:cdr="http://schemas.openxmlformats.org/drawingml/2006/chartDrawing">
    <cdr:from>
      <cdr:x>0.06102</cdr:x>
      <cdr:y>0.89482</cdr:y>
    </cdr:from>
    <cdr:to>
      <cdr:x>0.25476</cdr:x>
      <cdr:y>0.95013</cdr:y>
    </cdr:to>
    <cdr:sp macro="" textlink="">
      <cdr:nvSpPr>
        <cdr:cNvPr id="2" name="1 CuadroTexto"/>
        <cdr:cNvSpPr txBox="1"/>
      </cdr:nvSpPr>
      <cdr:spPr>
        <a:xfrm xmlns:a="http://schemas.openxmlformats.org/drawingml/2006/main">
          <a:off x="797566" y="6836827"/>
          <a:ext cx="2532116" cy="42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CMNR / CNSS</a:t>
          </a:r>
        </a:p>
      </cdr:txBody>
    </cdr:sp>
  </cdr:relSizeAnchor>
</c:userShapes>
</file>

<file path=xl/drawings/drawing257.xml><?xml version="1.0" encoding="utf-8"?>
<xdr:wsDr xmlns:xdr="http://schemas.openxmlformats.org/drawingml/2006/spreadsheetDrawing" xmlns:a="http://schemas.openxmlformats.org/drawingml/2006/main">
  <xdr:twoCellAnchor>
    <xdr:from>
      <xdr:col>0</xdr:col>
      <xdr:colOff>0</xdr:colOff>
      <xdr:row>11</xdr:row>
      <xdr:rowOff>57150</xdr:rowOff>
    </xdr:from>
    <xdr:to>
      <xdr:col>11</xdr:col>
      <xdr:colOff>619125</xdr:colOff>
      <xdr:row>42</xdr:row>
      <xdr:rowOff>104775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830037</xdr:colOff>
      <xdr:row>0</xdr:row>
      <xdr:rowOff>136072</xdr:rowOff>
    </xdr:from>
    <xdr:ext cx="859749" cy="585107"/>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3362" y="136072"/>
          <a:ext cx="859749" cy="58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8.xml><?xml version="1.0" encoding="utf-8"?>
<c:userShapes xmlns:c="http://schemas.openxmlformats.org/drawingml/2006/chart">
  <cdr:relSizeAnchor xmlns:cdr="http://schemas.openxmlformats.org/drawingml/2006/chartDrawing">
    <cdr:from>
      <cdr:x>0.06102</cdr:x>
      <cdr:y>0.89482</cdr:y>
    </cdr:from>
    <cdr:to>
      <cdr:x>0.25476</cdr:x>
      <cdr:y>0.95013</cdr:y>
    </cdr:to>
    <cdr:sp macro="" textlink="">
      <cdr:nvSpPr>
        <cdr:cNvPr id="2" name="1 CuadroTexto"/>
        <cdr:cNvSpPr txBox="1"/>
      </cdr:nvSpPr>
      <cdr:spPr>
        <a:xfrm xmlns:a="http://schemas.openxmlformats.org/drawingml/2006/main">
          <a:off x="797566" y="6836827"/>
          <a:ext cx="2532116" cy="42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CMNR / CNSS</a:t>
          </a:r>
        </a:p>
      </cdr:txBody>
    </cdr:sp>
  </cdr:relSizeAnchor>
</c:userShapes>
</file>

<file path=xl/drawings/drawing259.xml><?xml version="1.0" encoding="utf-8"?>
<xdr:wsDr xmlns:xdr="http://schemas.openxmlformats.org/drawingml/2006/spreadsheetDrawing" xmlns:a="http://schemas.openxmlformats.org/drawingml/2006/main">
  <xdr:oneCellAnchor>
    <xdr:from>
      <xdr:col>0</xdr:col>
      <xdr:colOff>590711</xdr:colOff>
      <xdr:row>0</xdr:row>
      <xdr:rowOff>102453</xdr:rowOff>
    </xdr:from>
    <xdr:ext cx="859749" cy="585107"/>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711" y="102453"/>
          <a:ext cx="859749" cy="58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11</xdr:row>
      <xdr:rowOff>23531</xdr:rowOff>
    </xdr:from>
    <xdr:to>
      <xdr:col>11</xdr:col>
      <xdr:colOff>616323</xdr:colOff>
      <xdr:row>36</xdr:row>
      <xdr:rowOff>67235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0.21881</cdr:x>
      <cdr:y>0.23333</cdr:y>
    </cdr:from>
    <cdr:to>
      <cdr:x>0.37219</cdr:x>
      <cdr:y>0.28137</cdr:y>
    </cdr:to>
    <cdr:sp macro="" textlink="">
      <cdr:nvSpPr>
        <cdr:cNvPr id="2" name="1 CuadroTexto"/>
        <cdr:cNvSpPr txBox="1"/>
      </cdr:nvSpPr>
      <cdr:spPr>
        <a:xfrm xmlns:a="http://schemas.openxmlformats.org/drawingml/2006/main">
          <a:off x="1171465" y="1072931"/>
          <a:ext cx="821121" cy="220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4,525,692</a:t>
          </a:r>
        </a:p>
      </cdr:txBody>
    </cdr:sp>
  </cdr:relSizeAnchor>
  <cdr:relSizeAnchor xmlns:cdr="http://schemas.openxmlformats.org/drawingml/2006/chartDrawing">
    <cdr:from>
      <cdr:x>0.35992</cdr:x>
      <cdr:y>0.23095</cdr:y>
    </cdr:from>
    <cdr:to>
      <cdr:x>0.51943</cdr:x>
      <cdr:y>0.28095</cdr:y>
    </cdr:to>
    <cdr:sp macro="" textlink="">
      <cdr:nvSpPr>
        <cdr:cNvPr id="3" name="2 CuadroTexto"/>
        <cdr:cNvSpPr txBox="1"/>
      </cdr:nvSpPr>
      <cdr:spPr>
        <a:xfrm xmlns:a="http://schemas.openxmlformats.org/drawingml/2006/main">
          <a:off x="1926895" y="1061984"/>
          <a:ext cx="853966" cy="229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4,544,184</a:t>
          </a:r>
        </a:p>
      </cdr:txBody>
    </cdr:sp>
  </cdr:relSizeAnchor>
  <cdr:relSizeAnchor xmlns:cdr="http://schemas.openxmlformats.org/drawingml/2006/chartDrawing">
    <cdr:from>
      <cdr:x>0.49898</cdr:x>
      <cdr:y>0.23571</cdr:y>
    </cdr:from>
    <cdr:to>
      <cdr:x>0.66978</cdr:x>
      <cdr:y>0.28333</cdr:y>
    </cdr:to>
    <cdr:sp macro="" textlink="">
      <cdr:nvSpPr>
        <cdr:cNvPr id="4" name="3 CuadroTexto"/>
        <cdr:cNvSpPr txBox="1"/>
      </cdr:nvSpPr>
      <cdr:spPr>
        <a:xfrm xmlns:a="http://schemas.openxmlformats.org/drawingml/2006/main">
          <a:off x="2671379" y="1083879"/>
          <a:ext cx="914400" cy="2189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t>4,529,282</a:t>
          </a:r>
        </a:p>
      </cdr:txBody>
    </cdr:sp>
  </cdr:relSizeAnchor>
  <cdr:relSizeAnchor xmlns:cdr="http://schemas.openxmlformats.org/drawingml/2006/chartDrawing">
    <cdr:from>
      <cdr:x>0.63599</cdr:x>
      <cdr:y>0.23095</cdr:y>
    </cdr:from>
    <cdr:to>
      <cdr:x>0.79755</cdr:x>
      <cdr:y>0.28571</cdr:y>
    </cdr:to>
    <cdr:sp macro="" textlink="">
      <cdr:nvSpPr>
        <cdr:cNvPr id="5" name="4 CuadroTexto"/>
        <cdr:cNvSpPr txBox="1"/>
      </cdr:nvSpPr>
      <cdr:spPr>
        <a:xfrm xmlns:a="http://schemas.openxmlformats.org/drawingml/2006/main">
          <a:off x="3404914" y="1061983"/>
          <a:ext cx="864913" cy="2518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4,488,113</a:t>
          </a:r>
        </a:p>
      </cdr:txBody>
    </cdr:sp>
  </cdr:relSizeAnchor>
  <cdr:relSizeAnchor xmlns:cdr="http://schemas.openxmlformats.org/drawingml/2006/chartDrawing">
    <cdr:from>
      <cdr:x>0.77319</cdr:x>
      <cdr:y>0.22857</cdr:y>
    </cdr:from>
    <cdr:to>
      <cdr:x>0.94088</cdr:x>
      <cdr:y>0.28571</cdr:y>
    </cdr:to>
    <cdr:sp macro="" textlink="">
      <cdr:nvSpPr>
        <cdr:cNvPr id="6" name="5 CuadroTexto"/>
        <cdr:cNvSpPr txBox="1"/>
      </cdr:nvSpPr>
      <cdr:spPr>
        <a:xfrm xmlns:a="http://schemas.openxmlformats.org/drawingml/2006/main">
          <a:off x="4215621" y="1048533"/>
          <a:ext cx="914282" cy="262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4,563,337</a:t>
          </a:r>
        </a:p>
      </cdr:txBody>
    </cdr:sp>
  </cdr:relSizeAnchor>
</c:userShapes>
</file>

<file path=xl/drawings/drawing260.xml><?xml version="1.0" encoding="utf-8"?>
<xdr:wsDr xmlns:xdr="http://schemas.openxmlformats.org/drawingml/2006/spreadsheetDrawing" xmlns:a="http://schemas.openxmlformats.org/drawingml/2006/main">
  <xdr:twoCellAnchor>
    <xdr:from>
      <xdr:col>0</xdr:col>
      <xdr:colOff>47625</xdr:colOff>
      <xdr:row>12</xdr:row>
      <xdr:rowOff>142875</xdr:rowOff>
    </xdr:from>
    <xdr:to>
      <xdr:col>12</xdr:col>
      <xdr:colOff>444500</xdr:colOff>
      <xdr:row>48</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981982</xdr:colOff>
      <xdr:row>0</xdr:row>
      <xdr:rowOff>199571</xdr:rowOff>
    </xdr:from>
    <xdr:ext cx="1106346" cy="752930"/>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1982" y="199571"/>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1.xml><?xml version="1.0" encoding="utf-8"?>
<xdr:wsDr xmlns:xdr="http://schemas.openxmlformats.org/drawingml/2006/spreadsheetDrawing" xmlns:a="http://schemas.openxmlformats.org/drawingml/2006/main">
  <xdr:twoCellAnchor>
    <xdr:from>
      <xdr:col>0</xdr:col>
      <xdr:colOff>114300</xdr:colOff>
      <xdr:row>11</xdr:row>
      <xdr:rowOff>69849</xdr:rowOff>
    </xdr:from>
    <xdr:to>
      <xdr:col>11</xdr:col>
      <xdr:colOff>682625</xdr:colOff>
      <xdr:row>46</xdr:row>
      <xdr:rowOff>111125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680357</xdr:colOff>
      <xdr:row>0</xdr:row>
      <xdr:rowOff>136071</xdr:rowOff>
    </xdr:from>
    <xdr:ext cx="859749" cy="585107"/>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0357" y="136071"/>
          <a:ext cx="859749" cy="58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2.xml><?xml version="1.0" encoding="utf-8"?>
<xdr:wsDr xmlns:xdr="http://schemas.openxmlformats.org/drawingml/2006/spreadsheetDrawing" xmlns:a="http://schemas.openxmlformats.org/drawingml/2006/main">
  <xdr:twoCellAnchor>
    <xdr:from>
      <xdr:col>0</xdr:col>
      <xdr:colOff>0</xdr:colOff>
      <xdr:row>11</xdr:row>
      <xdr:rowOff>57149</xdr:rowOff>
    </xdr:from>
    <xdr:to>
      <xdr:col>9</xdr:col>
      <xdr:colOff>457200</xdr:colOff>
      <xdr:row>30</xdr:row>
      <xdr:rowOff>66674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480333</xdr:colOff>
      <xdr:row>0</xdr:row>
      <xdr:rowOff>157503</xdr:rowOff>
    </xdr:from>
    <xdr:ext cx="595992" cy="405606"/>
    <xdr:pic>
      <xdr:nvPicPr>
        <xdr:cNvPr id="3"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333" y="157503"/>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3.xml><?xml version="1.0" encoding="utf-8"?>
<xdr:wsDr xmlns:xdr="http://schemas.openxmlformats.org/drawingml/2006/spreadsheetDrawing" xmlns:a="http://schemas.openxmlformats.org/drawingml/2006/main">
  <xdr:twoCellAnchor editAs="oneCell">
    <xdr:from>
      <xdr:col>0</xdr:col>
      <xdr:colOff>545407</xdr:colOff>
      <xdr:row>0</xdr:row>
      <xdr:rowOff>67234</xdr:rowOff>
    </xdr:from>
    <xdr:to>
      <xdr:col>1</xdr:col>
      <xdr:colOff>235323</xdr:colOff>
      <xdr:row>0</xdr:row>
      <xdr:rowOff>619868</xdr:rowOff>
    </xdr:to>
    <xdr:pic>
      <xdr:nvPicPr>
        <xdr:cNvPr id="2" name="9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5407" y="67234"/>
          <a:ext cx="653622" cy="552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9</xdr:row>
      <xdr:rowOff>123264</xdr:rowOff>
    </xdr:from>
    <xdr:to>
      <xdr:col>9</xdr:col>
      <xdr:colOff>694765</xdr:colOff>
      <xdr:row>33</xdr:row>
      <xdr:rowOff>123265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537882</xdr:colOff>
      <xdr:row>54</xdr:row>
      <xdr:rowOff>179295</xdr:rowOff>
    </xdr:from>
    <xdr:to>
      <xdr:col>7</xdr:col>
      <xdr:colOff>953619</xdr:colOff>
      <xdr:row>97</xdr:row>
      <xdr:rowOff>17370</xdr:rowOff>
    </xdr:to>
    <xdr:sp macro="" textlink="">
      <xdr:nvSpPr>
        <xdr:cNvPr id="5" name="4 Explosión 1"/>
        <xdr:cNvSpPr/>
      </xdr:nvSpPr>
      <xdr:spPr>
        <a:xfrm>
          <a:off x="537882" y="11967883"/>
          <a:ext cx="9772649" cy="8029575"/>
        </a:xfrm>
        <a:prstGeom prst="irregularSeal1">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100">
              <a:solidFill>
                <a:schemeClr val="lt1"/>
              </a:solidFill>
              <a:effectLst/>
              <a:latin typeface="+mn-lt"/>
              <a:ea typeface="+mn-ea"/>
              <a:cs typeface="+mn-cs"/>
            </a:rPr>
            <a:t>Las solicitudes realizadas por residentes españoles o dominicanos residentes en España, no se pueden verificar cuando realizan fuera de nosotros.</a:t>
          </a:r>
        </a:p>
        <a:p>
          <a:pPr marL="0" marR="0" indent="0" defTabSz="914400" eaLnBrk="1" fontAlgn="auto" latinLnBrk="0" hangingPunct="1">
            <a:lnSpc>
              <a:spcPct val="100000"/>
            </a:lnSpc>
            <a:spcBef>
              <a:spcPts val="0"/>
            </a:spcBef>
            <a:spcAft>
              <a:spcPts val="0"/>
            </a:spcAft>
            <a:buClrTx/>
            <a:buSzTx/>
            <a:buFontTx/>
            <a:buNone/>
            <a:tabLst/>
            <a:defRPr/>
          </a:pPr>
          <a:endParaRPr lang="es-DO" sz="1100">
            <a:solidFill>
              <a:schemeClr val="lt1"/>
            </a:solidFill>
            <a:effectLst/>
            <a:latin typeface="+mn-lt"/>
            <a:ea typeface="+mn-ea"/>
            <a:cs typeface="+mn-cs"/>
          </a:endParaRPr>
        </a:p>
        <a:p>
          <a:r>
            <a:rPr lang="es-DO" sz="1100" b="1" baseline="0">
              <a:solidFill>
                <a:schemeClr val="lt1"/>
              </a:solidFill>
              <a:effectLst/>
              <a:latin typeface="+mn-lt"/>
              <a:ea typeface="+mn-ea"/>
              <a:cs typeface="+mn-cs"/>
            </a:rPr>
            <a:t>? </a:t>
          </a:r>
          <a:r>
            <a:rPr lang="es-DO" sz="1100" b="1">
              <a:solidFill>
                <a:schemeClr val="lt1"/>
              </a:solidFill>
              <a:effectLst/>
              <a:latin typeface="+mn-lt"/>
              <a:ea typeface="+mn-ea"/>
              <a:cs typeface="+mn-cs"/>
            </a:rPr>
            <a:t>Dónde son solicitadas las pensiones que no son tramitadas a través del enlace? </a:t>
          </a:r>
          <a:endParaRPr lang="es-DO" sz="1100">
            <a:solidFill>
              <a:schemeClr val="lt1"/>
            </a:solidFill>
            <a:effectLst/>
            <a:latin typeface="+mn-lt"/>
            <a:ea typeface="+mn-ea"/>
            <a:cs typeface="+mn-cs"/>
          </a:endParaRPr>
        </a:p>
        <a:p>
          <a:pPr lvl="0"/>
          <a:r>
            <a:rPr lang="es-DO" sz="1100">
              <a:solidFill>
                <a:schemeClr val="lt1"/>
              </a:solidFill>
              <a:effectLst/>
              <a:latin typeface="+mn-lt"/>
              <a:ea typeface="+mn-ea"/>
              <a:cs typeface="+mn-cs"/>
            </a:rPr>
            <a:t>Ministerio de Hacienda (Dirección de Pensiones y Jubilaciones)</a:t>
          </a:r>
        </a:p>
        <a:p>
          <a:pPr lvl="0"/>
          <a:r>
            <a:rPr lang="es-DO" sz="1100">
              <a:solidFill>
                <a:schemeClr val="lt1"/>
              </a:solidFill>
              <a:effectLst/>
              <a:latin typeface="+mn-lt"/>
              <a:ea typeface="+mn-ea"/>
              <a:cs typeface="+mn-cs"/>
            </a:rPr>
            <a:t>IDSS quien lo tramita a hacienda.  AFP directamente.  </a:t>
          </a:r>
          <a:r>
            <a:rPr lang="es-DO" sz="1100" b="0">
              <a:solidFill>
                <a:schemeClr val="lt1"/>
              </a:solidFill>
              <a:effectLst/>
              <a:latin typeface="+mn-lt"/>
              <a:ea typeface="+mn-ea"/>
              <a:cs typeface="+mn-cs"/>
            </a:rPr>
            <a:t> y como la oficina de enlace del CNSS recopila las estadísticas  de las pensiones que son tramitadas a través de otras entidades  </a:t>
          </a:r>
          <a:r>
            <a:rPr lang="es-DO" sz="1100">
              <a:solidFill>
                <a:schemeClr val="lt1"/>
              </a:solidFill>
              <a:effectLst/>
              <a:latin typeface="+mn-lt"/>
              <a:ea typeface="+mn-ea"/>
              <a:cs typeface="+mn-cs"/>
            </a:rPr>
            <a:t>(puede solicitarse por escrito a esas entidades, pero actualmente no se esta realizando)</a:t>
          </a:r>
        </a:p>
        <a:p>
          <a:r>
            <a:rPr lang="es-DO" sz="1100">
              <a:solidFill>
                <a:schemeClr val="lt1"/>
              </a:solidFill>
              <a:effectLst/>
              <a:latin typeface="+mn-lt"/>
              <a:ea typeface="+mn-ea"/>
              <a:cs typeface="+mn-cs"/>
            </a:rPr>
            <a:t> </a:t>
          </a:r>
          <a:r>
            <a:rPr lang="es-DO" sz="1100" b="1">
              <a:solidFill>
                <a:schemeClr val="lt1"/>
              </a:solidFill>
              <a:effectLst/>
              <a:latin typeface="+mn-lt"/>
              <a:ea typeface="+mn-ea"/>
              <a:cs typeface="+mn-cs"/>
            </a:rPr>
            <a:t>Desglosar las solicitudes de pensiones de la Oficina de enlace en:  vejez,  discapacidad  y sobrevivencia</a:t>
          </a:r>
          <a:endParaRPr lang="es-DO" sz="1100">
            <a:solidFill>
              <a:schemeClr val="lt1"/>
            </a:solidFill>
            <a:effectLst/>
            <a:latin typeface="+mn-lt"/>
            <a:ea typeface="+mn-ea"/>
            <a:cs typeface="+mn-cs"/>
          </a:endParaRPr>
        </a:p>
        <a:p>
          <a:r>
            <a:rPr lang="es-DO" sz="1100">
              <a:solidFill>
                <a:schemeClr val="lt1"/>
              </a:solidFill>
              <a:effectLst/>
              <a:latin typeface="+mn-lt"/>
              <a:ea typeface="+mn-ea"/>
              <a:cs typeface="+mn-cs"/>
            </a:rPr>
            <a:t> Explicar este interrogante, es que como es ante España generalmente se solicitan ante ellos, solamente.</a:t>
          </a:r>
        </a:p>
        <a:p>
          <a:r>
            <a:rPr lang="es-DO" sz="1100">
              <a:solidFill>
                <a:schemeClr val="lt1"/>
              </a:solidFill>
              <a:effectLst/>
              <a:latin typeface="+mn-lt"/>
              <a:ea typeface="+mn-ea"/>
              <a:cs typeface="+mn-cs"/>
            </a:rPr>
            <a:t> </a:t>
          </a:r>
        </a:p>
      </xdr:txBody>
    </xdr:sp>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399730</xdr:colOff>
      <xdr:row>0</xdr:row>
      <xdr:rowOff>125427</xdr:rowOff>
    </xdr:from>
    <xdr:to>
      <xdr:col>1</xdr:col>
      <xdr:colOff>151306</xdr:colOff>
      <xdr:row>0</xdr:row>
      <xdr:rowOff>605116</xdr:rowOff>
    </xdr:to>
    <xdr:pic>
      <xdr:nvPicPr>
        <xdr:cNvPr id="2" name="9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9730" y="125427"/>
          <a:ext cx="681664" cy="479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10</xdr:row>
      <xdr:rowOff>112058</xdr:rowOff>
    </xdr:from>
    <xdr:to>
      <xdr:col>11</xdr:col>
      <xdr:colOff>723900</xdr:colOff>
      <xdr:row>34</xdr:row>
      <xdr:rowOff>161925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410937</xdr:colOff>
      <xdr:row>0</xdr:row>
      <xdr:rowOff>69399</xdr:rowOff>
    </xdr:from>
    <xdr:to>
      <xdr:col>1</xdr:col>
      <xdr:colOff>200025</xdr:colOff>
      <xdr:row>0</xdr:row>
      <xdr:rowOff>466725</xdr:rowOff>
    </xdr:to>
    <xdr:pic>
      <xdr:nvPicPr>
        <xdr:cNvPr id="2" name="9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0937" y="69399"/>
          <a:ext cx="551088" cy="397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xdr:row>
      <xdr:rowOff>89647</xdr:rowOff>
    </xdr:from>
    <xdr:to>
      <xdr:col>13</xdr:col>
      <xdr:colOff>627528</xdr:colOff>
      <xdr:row>38</xdr:row>
      <xdr:rowOff>123264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366032</xdr:colOff>
      <xdr:row>0</xdr:row>
      <xdr:rowOff>117022</xdr:rowOff>
    </xdr:from>
    <xdr:to>
      <xdr:col>1</xdr:col>
      <xdr:colOff>394606</xdr:colOff>
      <xdr:row>0</xdr:row>
      <xdr:rowOff>755638</xdr:rowOff>
    </xdr:to>
    <xdr:pic>
      <xdr:nvPicPr>
        <xdr:cNvPr id="134257"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032" y="117022"/>
          <a:ext cx="967467" cy="63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149679</xdr:rowOff>
    </xdr:from>
    <xdr:to>
      <xdr:col>17</xdr:col>
      <xdr:colOff>381000</xdr:colOff>
      <xdr:row>40</xdr:row>
      <xdr:rowOff>312965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0.05828</cdr:x>
      <cdr:y>0.93346</cdr:y>
    </cdr:from>
    <cdr:to>
      <cdr:x>0.38191</cdr:x>
      <cdr:y>0.97939</cdr:y>
    </cdr:to>
    <cdr:sp macro="" textlink="">
      <cdr:nvSpPr>
        <cdr:cNvPr id="2" name="1 CuadroTexto"/>
        <cdr:cNvSpPr txBox="1"/>
      </cdr:nvSpPr>
      <cdr:spPr>
        <a:xfrm xmlns:a="http://schemas.openxmlformats.org/drawingml/2006/main">
          <a:off x="935020" y="7011343"/>
          <a:ext cx="5191939" cy="3449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400" b="1"/>
            <a:t>Fuente</a:t>
          </a:r>
          <a:r>
            <a:rPr lang="es-DO" sz="1400"/>
            <a:t>: Portal de la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16</xdr:row>
      <xdr:rowOff>78442</xdr:rowOff>
    </xdr:from>
    <xdr:to>
      <xdr:col>12</xdr:col>
      <xdr:colOff>605117</xdr:colOff>
      <xdr:row>63</xdr:row>
      <xdr:rowOff>145677</xdr:rowOff>
    </xdr:to>
    <xdr:graphicFrame macro="">
      <xdr:nvGraphicFramePr>
        <xdr:cNvPr id="135281"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561975</xdr:colOff>
      <xdr:row>0</xdr:row>
      <xdr:rowOff>114300</xdr:rowOff>
    </xdr:from>
    <xdr:to>
      <xdr:col>1</xdr:col>
      <xdr:colOff>200025</xdr:colOff>
      <xdr:row>0</xdr:row>
      <xdr:rowOff>619125</xdr:rowOff>
    </xdr:to>
    <xdr:pic>
      <xdr:nvPicPr>
        <xdr:cNvPr id="135282" name="7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 y="114300"/>
          <a:ext cx="762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157850</xdr:colOff>
      <xdr:row>1</xdr:row>
      <xdr:rowOff>234101</xdr:rowOff>
    </xdr:from>
    <xdr:to>
      <xdr:col>0</xdr:col>
      <xdr:colOff>1215124</xdr:colOff>
      <xdr:row>1</xdr:row>
      <xdr:rowOff>829279</xdr:rowOff>
    </xdr:to>
    <xdr:pic>
      <xdr:nvPicPr>
        <xdr:cNvPr id="246071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157850" y="424601"/>
          <a:ext cx="1057274" cy="595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0.08283</cdr:x>
      <cdr:y>0.92424</cdr:y>
    </cdr:from>
    <cdr:to>
      <cdr:x>0.41127</cdr:x>
      <cdr:y>0.9672</cdr:y>
    </cdr:to>
    <cdr:sp macro="" textlink="">
      <cdr:nvSpPr>
        <cdr:cNvPr id="2" name="1 CuadroTexto"/>
        <cdr:cNvSpPr txBox="1"/>
      </cdr:nvSpPr>
      <cdr:spPr>
        <a:xfrm xmlns:a="http://schemas.openxmlformats.org/drawingml/2006/main">
          <a:off x="921668" y="7467380"/>
          <a:ext cx="3654697" cy="3470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b="1"/>
            <a:t>Fuente: </a:t>
          </a:r>
          <a:r>
            <a:rPr lang="en-US" sz="1400">
              <a:effectLst/>
              <a:latin typeface="Calibri"/>
              <a:ea typeface="+mn-ea"/>
              <a:cs typeface="+mn-cs"/>
            </a:rPr>
            <a:t>Portal</a:t>
          </a:r>
          <a:r>
            <a:rPr lang="en-US" sz="1400" b="1"/>
            <a:t> </a:t>
          </a:r>
          <a:r>
            <a:rPr lang="en-US" sz="1400"/>
            <a:t>SISALRIL</a:t>
          </a:r>
          <a:r>
            <a:rPr lang="en-US" sz="1400" baseline="0"/>
            <a:t> </a:t>
          </a:r>
          <a:r>
            <a:rPr lang="en-US" sz="1400"/>
            <a:t> </a:t>
          </a:r>
          <a:endParaRPr lang="en-US" sz="16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421341</xdr:colOff>
      <xdr:row>0</xdr:row>
      <xdr:rowOff>149039</xdr:rowOff>
    </xdr:from>
    <xdr:to>
      <xdr:col>1</xdr:col>
      <xdr:colOff>297516</xdr:colOff>
      <xdr:row>0</xdr:row>
      <xdr:rowOff>815789</xdr:rowOff>
    </xdr:to>
    <xdr:pic>
      <xdr:nvPicPr>
        <xdr:cNvPr id="13630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341" y="149039"/>
          <a:ext cx="99676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95249</xdr:rowOff>
    </xdr:from>
    <xdr:to>
      <xdr:col>13</xdr:col>
      <xdr:colOff>1496785</xdr:colOff>
      <xdr:row>59</xdr:row>
      <xdr:rowOff>13607</xdr:rowOff>
    </xdr:to>
    <xdr:graphicFrame macro="">
      <xdr:nvGraphicFramePr>
        <xdr:cNvPr id="4"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408214</xdr:colOff>
      <xdr:row>55</xdr:row>
      <xdr:rowOff>68036</xdr:rowOff>
    </xdr:from>
    <xdr:to>
      <xdr:col>2</xdr:col>
      <xdr:colOff>585107</xdr:colOff>
      <xdr:row>57</xdr:row>
      <xdr:rowOff>81643</xdr:rowOff>
    </xdr:to>
    <xdr:sp macro="" textlink="">
      <xdr:nvSpPr>
        <xdr:cNvPr id="2" name="1 CuadroTexto"/>
        <xdr:cNvSpPr txBox="1"/>
      </xdr:nvSpPr>
      <xdr:spPr>
        <a:xfrm>
          <a:off x="408214" y="10191750"/>
          <a:ext cx="2775857" cy="31296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406774</xdr:colOff>
      <xdr:row>0</xdr:row>
      <xdr:rowOff>165847</xdr:rowOff>
    </xdr:from>
    <xdr:to>
      <xdr:col>1</xdr:col>
      <xdr:colOff>577104</xdr:colOff>
      <xdr:row>0</xdr:row>
      <xdr:rowOff>784412</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74" y="165847"/>
          <a:ext cx="932330" cy="618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0.03806</cdr:x>
      <cdr:y>0.83409</cdr:y>
    </cdr:from>
    <cdr:to>
      <cdr:x>0.97671</cdr:x>
      <cdr:y>1</cdr:y>
    </cdr:to>
    <cdr:sp macro="" textlink="">
      <cdr:nvSpPr>
        <cdr:cNvPr id="2" name="1 CuadroTexto"/>
        <cdr:cNvSpPr txBox="1"/>
      </cdr:nvSpPr>
      <cdr:spPr>
        <a:xfrm xmlns:a="http://schemas.openxmlformats.org/drawingml/2006/main">
          <a:off x="448235" y="4112558"/>
          <a:ext cx="11054818" cy="8180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60511</xdr:colOff>
      <xdr:row>16</xdr:row>
      <xdr:rowOff>145676</xdr:rowOff>
    </xdr:from>
    <xdr:to>
      <xdr:col>15</xdr:col>
      <xdr:colOff>705970</xdr:colOff>
      <xdr:row>46</xdr:row>
      <xdr:rowOff>67235</xdr:rowOff>
    </xdr:to>
    <xdr:graphicFrame macro="">
      <xdr:nvGraphicFramePr>
        <xdr:cNvPr id="13323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523314</xdr:colOff>
      <xdr:row>0</xdr:row>
      <xdr:rowOff>76200</xdr:rowOff>
    </xdr:from>
    <xdr:to>
      <xdr:col>0</xdr:col>
      <xdr:colOff>1351989</xdr:colOff>
      <xdr:row>0</xdr:row>
      <xdr:rowOff>628650</xdr:rowOff>
    </xdr:to>
    <xdr:pic>
      <xdr:nvPicPr>
        <xdr:cNvPr id="133234"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314" y="76200"/>
          <a:ext cx="828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17</xdr:row>
      <xdr:rowOff>69274</xdr:rowOff>
    </xdr:from>
    <xdr:to>
      <xdr:col>15</xdr:col>
      <xdr:colOff>1575954</xdr:colOff>
      <xdr:row>74</xdr:row>
      <xdr:rowOff>66798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1045524</xdr:colOff>
      <xdr:row>0</xdr:row>
      <xdr:rowOff>270162</xdr:rowOff>
    </xdr:from>
    <xdr:to>
      <xdr:col>1</xdr:col>
      <xdr:colOff>1047751</xdr:colOff>
      <xdr:row>0</xdr:row>
      <xdr:rowOff>1022633</xdr:rowOff>
    </xdr:to>
    <xdr:pic>
      <xdr:nvPicPr>
        <xdr:cNvPr id="3"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5524" y="270162"/>
          <a:ext cx="1090798"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16</xdr:row>
      <xdr:rowOff>104775</xdr:rowOff>
    </xdr:from>
    <xdr:to>
      <xdr:col>8</xdr:col>
      <xdr:colOff>600075</xdr:colOff>
      <xdr:row>38</xdr:row>
      <xdr:rowOff>171451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0.2458</cdr:x>
      <cdr:y>0.03132</cdr:y>
    </cdr:from>
    <cdr:to>
      <cdr:x>0.80842</cdr:x>
      <cdr:y>0.10514</cdr:y>
    </cdr:to>
    <cdr:sp macro="" textlink="">
      <cdr:nvSpPr>
        <cdr:cNvPr id="2" name="1 CuadroTexto"/>
        <cdr:cNvSpPr txBox="1"/>
      </cdr:nvSpPr>
      <cdr:spPr>
        <a:xfrm xmlns:a="http://schemas.openxmlformats.org/drawingml/2006/main">
          <a:off x="2505086" y="133344"/>
          <a:ext cx="5734083" cy="314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114300</xdr:rowOff>
    </xdr:from>
    <xdr:to>
      <xdr:col>1</xdr:col>
      <xdr:colOff>866775</xdr:colOff>
      <xdr:row>1</xdr:row>
      <xdr:rowOff>180975</xdr:rowOff>
    </xdr:to>
    <xdr:pic>
      <xdr:nvPicPr>
        <xdr:cNvPr id="1081" name="1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928" t="8733" r="5972" b="14346"/>
        <a:stretch>
          <a:fillRect/>
        </a:stretch>
      </xdr:blipFill>
      <xdr:spPr bwMode="auto">
        <a:xfrm>
          <a:off x="600075" y="114300"/>
          <a:ext cx="819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16</xdr:row>
      <xdr:rowOff>76199</xdr:rowOff>
    </xdr:from>
    <xdr:to>
      <xdr:col>6</xdr:col>
      <xdr:colOff>733425</xdr:colOff>
      <xdr:row>44</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14567</xdr:colOff>
      <xdr:row>18</xdr:row>
      <xdr:rowOff>104776</xdr:rowOff>
    </xdr:from>
    <xdr:to>
      <xdr:col>6</xdr:col>
      <xdr:colOff>1704974</xdr:colOff>
      <xdr:row>45</xdr:row>
      <xdr:rowOff>132230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317126</xdr:colOff>
      <xdr:row>42</xdr:row>
      <xdr:rowOff>39220</xdr:rowOff>
    </xdr:from>
    <xdr:to>
      <xdr:col>5</xdr:col>
      <xdr:colOff>3362</xdr:colOff>
      <xdr:row>43</xdr:row>
      <xdr:rowOff>161925</xdr:rowOff>
    </xdr:to>
    <xdr:sp macro="" textlink="">
      <xdr:nvSpPr>
        <xdr:cNvPr id="3" name="2 CuadroTexto"/>
        <xdr:cNvSpPr txBox="1"/>
      </xdr:nvSpPr>
      <xdr:spPr>
        <a:xfrm>
          <a:off x="317126" y="8192620"/>
          <a:ext cx="5639361" cy="31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Fuentes: </a:t>
          </a:r>
          <a:r>
            <a:rPr lang="es-DO" sz="1100"/>
            <a:t>TSS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258535</xdr:colOff>
      <xdr:row>2</xdr:row>
      <xdr:rowOff>13607</xdr:rowOff>
    </xdr:from>
    <xdr:to>
      <xdr:col>9</xdr:col>
      <xdr:colOff>217713</xdr:colOff>
      <xdr:row>43</xdr:row>
      <xdr:rowOff>1125</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3934" t="11171" r="32634" b="37972"/>
        <a:stretch/>
      </xdr:blipFill>
      <xdr:spPr bwMode="auto">
        <a:xfrm>
          <a:off x="1020535" y="394607"/>
          <a:ext cx="7674428" cy="7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250371</xdr:colOff>
      <xdr:row>1</xdr:row>
      <xdr:rowOff>68036</xdr:rowOff>
    </xdr:from>
    <xdr:to>
      <xdr:col>10</xdr:col>
      <xdr:colOff>707571</xdr:colOff>
      <xdr:row>40</xdr:row>
      <xdr:rowOff>176893</xdr:rowOff>
    </xdr:to>
    <xdr:sp macro="" textlink="">
      <xdr:nvSpPr>
        <xdr:cNvPr id="3" name="2 CuadroTexto"/>
        <xdr:cNvSpPr txBox="1"/>
      </xdr:nvSpPr>
      <xdr:spPr>
        <a:xfrm>
          <a:off x="250371" y="258536"/>
          <a:ext cx="9696450" cy="753835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accent3">
                  <a:lumMod val="50000"/>
                </a:schemeClr>
              </a:solidFill>
              <a:latin typeface="+mn-lt"/>
              <a:ea typeface="+mn-ea"/>
              <a:cs typeface="+mn-cs"/>
            </a:rPr>
            <a:t>(SFS)</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accent3">
                  <a:lumMod val="50000"/>
                </a:schemeClr>
              </a:solidFill>
              <a:latin typeface="+mn-lt"/>
              <a:ea typeface="+mn-ea"/>
              <a:cs typeface="+mn-cs"/>
            </a:rPr>
            <a:t>Seguro Familiar de Salud </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accent3">
                  <a:lumMod val="50000"/>
                </a:schemeClr>
              </a:solidFill>
              <a:latin typeface="+mn-lt"/>
              <a:ea typeface="+mn-ea"/>
              <a:cs typeface="+mn-cs"/>
            </a:rPr>
            <a:t>Régimen Contributivo</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875434</xdr:colOff>
      <xdr:row>0</xdr:row>
      <xdr:rowOff>180109</xdr:rowOff>
    </xdr:from>
    <xdr:to>
      <xdr:col>2</xdr:col>
      <xdr:colOff>138545</xdr:colOff>
      <xdr:row>0</xdr:row>
      <xdr:rowOff>1089955</xdr:rowOff>
    </xdr:to>
    <xdr:pic>
      <xdr:nvPicPr>
        <xdr:cNvPr id="13863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434" y="180109"/>
          <a:ext cx="1237384" cy="909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86592</xdr:rowOff>
    </xdr:from>
    <xdr:to>
      <xdr:col>17</xdr:col>
      <xdr:colOff>883227</xdr:colOff>
      <xdr:row>40</xdr:row>
      <xdr:rowOff>900546</xdr:rowOff>
    </xdr:to>
    <xdr:graphicFrame macro="">
      <xdr:nvGraphicFramePr>
        <xdr:cNvPr id="138639"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0.03204</cdr:x>
      <cdr:y>0.91892</cdr:y>
    </cdr:from>
    <cdr:to>
      <cdr:x>0.1491</cdr:x>
      <cdr:y>0.96618</cdr:y>
    </cdr:to>
    <cdr:sp macro="" textlink="">
      <cdr:nvSpPr>
        <cdr:cNvPr id="2" name="1 CuadroTexto"/>
        <cdr:cNvSpPr txBox="1"/>
      </cdr:nvSpPr>
      <cdr:spPr>
        <a:xfrm xmlns:a="http://schemas.openxmlformats.org/drawingml/2006/main">
          <a:off x="656936" y="8502073"/>
          <a:ext cx="2400011" cy="4372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a:t>Fuente: TSS y SISALRIL</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466725</xdr:colOff>
      <xdr:row>0</xdr:row>
      <xdr:rowOff>857250</xdr:rowOff>
    </xdr:to>
    <xdr:pic>
      <xdr:nvPicPr>
        <xdr:cNvPr id="139657"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6200"/>
          <a:ext cx="13335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762000</xdr:colOff>
      <xdr:row>2</xdr:row>
      <xdr:rowOff>266700</xdr:rowOff>
    </xdr:from>
    <xdr:to>
      <xdr:col>32</xdr:col>
      <xdr:colOff>142875</xdr:colOff>
      <xdr:row>34</xdr:row>
      <xdr:rowOff>76200</xdr:rowOff>
    </xdr:to>
    <xdr:graphicFrame macro="">
      <xdr:nvGraphicFramePr>
        <xdr:cNvPr id="1396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457200</xdr:colOff>
      <xdr:row>1</xdr:row>
      <xdr:rowOff>0</xdr:rowOff>
    </xdr:from>
    <xdr:to>
      <xdr:col>32</xdr:col>
      <xdr:colOff>742950</xdr:colOff>
      <xdr:row>4</xdr:row>
      <xdr:rowOff>123825</xdr:rowOff>
    </xdr:to>
    <xdr:graphicFrame macro="">
      <xdr:nvGraphicFramePr>
        <xdr:cNvPr id="13965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590550</xdr:colOff>
      <xdr:row>3</xdr:row>
      <xdr:rowOff>66675</xdr:rowOff>
    </xdr:from>
    <xdr:to>
      <xdr:col>35</xdr:col>
      <xdr:colOff>142875</xdr:colOff>
      <xdr:row>20</xdr:row>
      <xdr:rowOff>66675</xdr:rowOff>
    </xdr:to>
    <xdr:graphicFrame macro="">
      <xdr:nvGraphicFramePr>
        <xdr:cNvPr id="13966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619125</xdr:colOff>
      <xdr:row>33</xdr:row>
      <xdr:rowOff>114300</xdr:rowOff>
    </xdr:from>
    <xdr:to>
      <xdr:col>27</xdr:col>
      <xdr:colOff>638175</xdr:colOff>
      <xdr:row>75</xdr:row>
      <xdr:rowOff>161925</xdr:rowOff>
    </xdr:to>
    <xdr:graphicFrame macro="">
      <xdr:nvGraphicFramePr>
        <xdr:cNvPr id="139661"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666750</xdr:colOff>
      <xdr:row>7</xdr:row>
      <xdr:rowOff>95250</xdr:rowOff>
    </xdr:from>
    <xdr:to>
      <xdr:col>31</xdr:col>
      <xdr:colOff>0</xdr:colOff>
      <xdr:row>36</xdr:row>
      <xdr:rowOff>523875</xdr:rowOff>
    </xdr:to>
    <xdr:graphicFrame macro="">
      <xdr:nvGraphicFramePr>
        <xdr:cNvPr id="13966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9</xdr:row>
      <xdr:rowOff>123825</xdr:rowOff>
    </xdr:from>
    <xdr:to>
      <xdr:col>10</xdr:col>
      <xdr:colOff>1524000</xdr:colOff>
      <xdr:row>36</xdr:row>
      <xdr:rowOff>257175</xdr:rowOff>
    </xdr:to>
    <xdr:graphicFrame macro="">
      <xdr:nvGraphicFramePr>
        <xdr:cNvPr id="13966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200025</xdr:colOff>
      <xdr:row>10</xdr:row>
      <xdr:rowOff>57150</xdr:rowOff>
    </xdr:from>
    <xdr:to>
      <xdr:col>11</xdr:col>
      <xdr:colOff>600075</xdr:colOff>
      <xdr:row>24</xdr:row>
      <xdr:rowOff>466725</xdr:rowOff>
    </xdr:to>
    <xdr:graphicFrame macro="">
      <xdr:nvGraphicFramePr>
        <xdr:cNvPr id="14040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514350</xdr:colOff>
      <xdr:row>0</xdr:row>
      <xdr:rowOff>228600</xdr:rowOff>
    </xdr:from>
    <xdr:to>
      <xdr:col>1</xdr:col>
      <xdr:colOff>133350</xdr:colOff>
      <xdr:row>0</xdr:row>
      <xdr:rowOff>781050</xdr:rowOff>
    </xdr:to>
    <xdr:pic>
      <xdr:nvPicPr>
        <xdr:cNvPr id="140402"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228600"/>
          <a:ext cx="828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0.21555</cdr:x>
      <cdr:y>0.37872</cdr:y>
    </cdr:from>
    <cdr:to>
      <cdr:x>0.28506</cdr:x>
      <cdr:y>0.43782</cdr:y>
    </cdr:to>
    <cdr:sp macro="" textlink="">
      <cdr:nvSpPr>
        <cdr:cNvPr id="3" name="2 CuadroTexto"/>
        <cdr:cNvSpPr txBox="1"/>
      </cdr:nvSpPr>
      <cdr:spPr>
        <a:xfrm xmlns:a="http://schemas.openxmlformats.org/drawingml/2006/main">
          <a:off x="3114909" y="2577268"/>
          <a:ext cx="1004474" cy="4021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1,599,467</a:t>
          </a:r>
          <a:endParaRPr lang="en-US" sz="1050"/>
        </a:p>
      </cdr:txBody>
    </cdr:sp>
  </cdr:relSizeAnchor>
  <cdr:relSizeAnchor xmlns:cdr="http://schemas.openxmlformats.org/drawingml/2006/chartDrawing">
    <cdr:from>
      <cdr:x>0.35764</cdr:x>
      <cdr:y>0.36309</cdr:y>
    </cdr:from>
    <cdr:to>
      <cdr:x>0.42769</cdr:x>
      <cdr:y>0.4106</cdr:y>
    </cdr:to>
    <cdr:sp macro="" textlink="">
      <cdr:nvSpPr>
        <cdr:cNvPr id="4" name="3 CuadroTexto"/>
        <cdr:cNvSpPr txBox="1"/>
      </cdr:nvSpPr>
      <cdr:spPr>
        <a:xfrm xmlns:a="http://schemas.openxmlformats.org/drawingml/2006/main">
          <a:off x="5085409" y="2238086"/>
          <a:ext cx="996074" cy="292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1,729,671</a:t>
          </a:r>
          <a:endParaRPr lang="en-US" sz="1050"/>
        </a:p>
      </cdr:txBody>
    </cdr:sp>
  </cdr:relSizeAnchor>
  <cdr:relSizeAnchor xmlns:cdr="http://schemas.openxmlformats.org/drawingml/2006/chartDrawing">
    <cdr:from>
      <cdr:x>0.50177</cdr:x>
      <cdr:y>0.31235</cdr:y>
    </cdr:from>
    <cdr:to>
      <cdr:x>0.57792</cdr:x>
      <cdr:y>0.36826</cdr:y>
    </cdr:to>
    <cdr:sp macro="" textlink="">
      <cdr:nvSpPr>
        <cdr:cNvPr id="5" name="4 CuadroTexto"/>
        <cdr:cNvSpPr txBox="1"/>
      </cdr:nvSpPr>
      <cdr:spPr>
        <a:xfrm xmlns:a="http://schemas.openxmlformats.org/drawingml/2006/main">
          <a:off x="7134923" y="1925367"/>
          <a:ext cx="1082812" cy="344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2,096,232</a:t>
          </a:r>
          <a:endParaRPr lang="en-US" sz="1050"/>
        </a:p>
      </cdr:txBody>
    </cdr:sp>
  </cdr:relSizeAnchor>
  <cdr:relSizeAnchor xmlns:cdr="http://schemas.openxmlformats.org/drawingml/2006/chartDrawing">
    <cdr:from>
      <cdr:x>0.63831</cdr:x>
      <cdr:y>0.27167</cdr:y>
    </cdr:from>
    <cdr:to>
      <cdr:x>0.71445</cdr:x>
      <cdr:y>0.32368</cdr:y>
    </cdr:to>
    <cdr:sp macro="" textlink="">
      <cdr:nvSpPr>
        <cdr:cNvPr id="6" name="5 CuadroTexto"/>
        <cdr:cNvSpPr txBox="1"/>
      </cdr:nvSpPr>
      <cdr:spPr>
        <a:xfrm xmlns:a="http://schemas.openxmlformats.org/drawingml/2006/main">
          <a:off x="8337576" y="2215158"/>
          <a:ext cx="994545" cy="424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0"/>
            <a:t>2,417,992</a:t>
          </a:r>
          <a:endParaRPr lang="en-US" sz="1050" b="0"/>
        </a:p>
      </cdr:txBody>
    </cdr:sp>
  </cdr:relSizeAnchor>
  <cdr:relSizeAnchor xmlns:cdr="http://schemas.openxmlformats.org/drawingml/2006/chartDrawing">
    <cdr:from>
      <cdr:x>0.16501</cdr:x>
      <cdr:y>0.91372</cdr:y>
    </cdr:from>
    <cdr:to>
      <cdr:x>0.27717</cdr:x>
      <cdr:y>0.96453</cdr:y>
    </cdr:to>
    <cdr:sp macro="" textlink="">
      <cdr:nvSpPr>
        <cdr:cNvPr id="7" name="1 CuadroTexto"/>
        <cdr:cNvSpPr txBox="1"/>
      </cdr:nvSpPr>
      <cdr:spPr>
        <a:xfrm xmlns:a="http://schemas.openxmlformats.org/drawingml/2006/main">
          <a:off x="2341878" y="5333808"/>
          <a:ext cx="1591802" cy="296602"/>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1200" b="1"/>
            <a:t>Fuente:</a:t>
          </a:r>
          <a:r>
            <a:rPr lang="es-ES" sz="1200" b="1" baseline="0"/>
            <a:t> </a:t>
          </a:r>
          <a:r>
            <a:rPr lang="es-ES" sz="1200" b="0" baseline="0"/>
            <a:t>TSS</a:t>
          </a:r>
          <a:endParaRPr lang="es-ES" sz="1200" b="0"/>
        </a:p>
      </cdr:txBody>
    </cdr:sp>
  </cdr:relSizeAnchor>
  <cdr:relSizeAnchor xmlns:cdr="http://schemas.openxmlformats.org/drawingml/2006/chartDrawing">
    <cdr:from>
      <cdr:x>0.79038</cdr:x>
      <cdr:y>0.25026</cdr:y>
    </cdr:from>
    <cdr:to>
      <cdr:x>0.85433</cdr:x>
      <cdr:y>0.3014</cdr:y>
    </cdr:to>
    <cdr:sp macro="" textlink="">
      <cdr:nvSpPr>
        <cdr:cNvPr id="8" name="7 CuadroTexto"/>
        <cdr:cNvSpPr txBox="1"/>
      </cdr:nvSpPr>
      <cdr:spPr>
        <a:xfrm xmlns:a="http://schemas.openxmlformats.org/drawingml/2006/main">
          <a:off x="10323995" y="2040605"/>
          <a:ext cx="835319" cy="4169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2,545,254</a:t>
          </a:r>
        </a:p>
        <a:p xmlns:a="http://schemas.openxmlformats.org/drawingml/2006/main">
          <a:endParaRPr lang="en-US" sz="1200" b="1"/>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1</xdr:col>
      <xdr:colOff>342900</xdr:colOff>
      <xdr:row>0</xdr:row>
      <xdr:rowOff>57150</xdr:rowOff>
    </xdr:from>
    <xdr:to>
      <xdr:col>2</xdr:col>
      <xdr:colOff>207695</xdr:colOff>
      <xdr:row>0</xdr:row>
      <xdr:rowOff>838200</xdr:rowOff>
    </xdr:to>
    <xdr:pic>
      <xdr:nvPicPr>
        <xdr:cNvPr id="14170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 y="57150"/>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17319</xdr:colOff>
      <xdr:row>38</xdr:row>
      <xdr:rowOff>17318</xdr:rowOff>
    </xdr:from>
    <xdr:to>
      <xdr:col>17</xdr:col>
      <xdr:colOff>831273</xdr:colOff>
      <xdr:row>59</xdr:row>
      <xdr:rowOff>0</xdr:rowOff>
    </xdr:to>
    <xdr:graphicFrame macro="">
      <xdr:nvGraphicFramePr>
        <xdr:cNvPr id="141711"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487507</xdr:colOff>
      <xdr:row>0</xdr:row>
      <xdr:rowOff>162792</xdr:rowOff>
    </xdr:from>
    <xdr:to>
      <xdr:col>1</xdr:col>
      <xdr:colOff>351469</xdr:colOff>
      <xdr:row>0</xdr:row>
      <xdr:rowOff>952500</xdr:rowOff>
    </xdr:to>
    <xdr:pic>
      <xdr:nvPicPr>
        <xdr:cNvPr id="216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507" y="162792"/>
          <a:ext cx="1093553" cy="789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762000</xdr:colOff>
      <xdr:row>31</xdr:row>
      <xdr:rowOff>841375</xdr:rowOff>
    </xdr:from>
    <xdr:to>
      <xdr:col>6</xdr:col>
      <xdr:colOff>807719</xdr:colOff>
      <xdr:row>32</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857247</xdr:colOff>
      <xdr:row>0</xdr:row>
      <xdr:rowOff>595310</xdr:rowOff>
    </xdr:from>
    <xdr:to>
      <xdr:col>1</xdr:col>
      <xdr:colOff>690562</xdr:colOff>
      <xdr:row>0</xdr:row>
      <xdr:rowOff>1700892</xdr:rowOff>
    </xdr:to>
    <xdr:pic>
      <xdr:nvPicPr>
        <xdr:cNvPr id="1427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47" y="595310"/>
          <a:ext cx="1547815" cy="1105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119062</xdr:colOff>
      <xdr:row>38</xdr:row>
      <xdr:rowOff>119063</xdr:rowOff>
    </xdr:from>
    <xdr:to>
      <xdr:col>14</xdr:col>
      <xdr:colOff>738186</xdr:colOff>
      <xdr:row>91</xdr:row>
      <xdr:rowOff>71437</xdr:rowOff>
    </xdr:to>
    <xdr:graphicFrame macro="">
      <xdr:nvGraphicFramePr>
        <xdr:cNvPr id="14273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0.17187</cdr:x>
      <cdr:y>0.0058</cdr:y>
    </cdr:from>
    <cdr:to>
      <cdr:x>0.81771</cdr:x>
      <cdr:y>0.09091</cdr:y>
    </cdr:to>
    <cdr:sp macro="" textlink="">
      <cdr:nvSpPr>
        <cdr:cNvPr id="2" name="1 CuadroTexto"/>
        <cdr:cNvSpPr txBox="1"/>
      </cdr:nvSpPr>
      <cdr:spPr>
        <a:xfrm xmlns:a="http://schemas.openxmlformats.org/drawingml/2006/main">
          <a:off x="4714738" y="71437"/>
          <a:ext cx="17716682" cy="104776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2800" b="1"/>
            <a:t>Seguro Familiar de Salud (SFS) del Régimen Contributivo (RC)  </a:t>
          </a:r>
        </a:p>
        <a:p xmlns:a="http://schemas.openxmlformats.org/drawingml/2006/main">
          <a:pPr algn="ctr"/>
          <a:r>
            <a:rPr lang="es-DO" sz="2800" b="1"/>
            <a:t>Indice de Dependencia en Afiliación  y en Cápitas Pagadas  al SFS del RC</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448235</xdr:colOff>
      <xdr:row>0</xdr:row>
      <xdr:rowOff>188259</xdr:rowOff>
    </xdr:from>
    <xdr:to>
      <xdr:col>1</xdr:col>
      <xdr:colOff>305360</xdr:colOff>
      <xdr:row>0</xdr:row>
      <xdr:rowOff>740709</xdr:rowOff>
    </xdr:to>
    <xdr:pic>
      <xdr:nvPicPr>
        <xdr:cNvPr id="143473"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88259"/>
          <a:ext cx="753596"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22412</xdr:rowOff>
    </xdr:from>
    <xdr:to>
      <xdr:col>12</xdr:col>
      <xdr:colOff>672353</xdr:colOff>
      <xdr:row>44</xdr:row>
      <xdr:rowOff>11205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593912</xdr:colOff>
      <xdr:row>45</xdr:row>
      <xdr:rowOff>112058</xdr:rowOff>
    </xdr:from>
    <xdr:to>
      <xdr:col>4</xdr:col>
      <xdr:colOff>156883</xdr:colOff>
      <xdr:row>47</xdr:row>
      <xdr:rowOff>78440</xdr:rowOff>
    </xdr:to>
    <xdr:sp macro="" textlink="">
      <xdr:nvSpPr>
        <xdr:cNvPr id="3" name="2 CuadroTexto"/>
        <xdr:cNvSpPr txBox="1"/>
      </xdr:nvSpPr>
      <xdr:spPr>
        <a:xfrm>
          <a:off x="593912" y="9300882"/>
          <a:ext cx="4280647" cy="347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 </a:t>
          </a:r>
          <a:r>
            <a:rPr lang="es-DO" sz="1100"/>
            <a:t>Banco Central RD, TSS y SISALRIL</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518665</xdr:colOff>
      <xdr:row>0</xdr:row>
      <xdr:rowOff>160641</xdr:rowOff>
    </xdr:from>
    <xdr:to>
      <xdr:col>0</xdr:col>
      <xdr:colOff>1354988</xdr:colOff>
      <xdr:row>0</xdr:row>
      <xdr:rowOff>739588</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8665" y="160641"/>
          <a:ext cx="836323" cy="578947"/>
        </a:xfrm>
        <a:prstGeom prst="rect">
          <a:avLst/>
        </a:prstGeom>
      </xdr:spPr>
    </xdr:pic>
    <xdr:clientData/>
  </xdr:twoCellAnchor>
  <xdr:twoCellAnchor>
    <xdr:from>
      <xdr:col>0</xdr:col>
      <xdr:colOff>0</xdr:colOff>
      <xdr:row>31</xdr:row>
      <xdr:rowOff>112059</xdr:rowOff>
    </xdr:from>
    <xdr:to>
      <xdr:col>13</xdr:col>
      <xdr:colOff>246529</xdr:colOff>
      <xdr:row>70</xdr:row>
      <xdr:rowOff>112059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258536</xdr:colOff>
      <xdr:row>0</xdr:row>
      <xdr:rowOff>79820</xdr:rowOff>
    </xdr:from>
    <xdr:to>
      <xdr:col>0</xdr:col>
      <xdr:colOff>1034142</xdr:colOff>
      <xdr:row>0</xdr:row>
      <xdr:rowOff>624750</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58536" y="79820"/>
          <a:ext cx="775606" cy="544930"/>
        </a:xfrm>
        <a:prstGeom prst="rect">
          <a:avLst/>
        </a:prstGeom>
      </xdr:spPr>
    </xdr:pic>
    <xdr:clientData/>
  </xdr:twoCellAnchor>
  <xdr:twoCellAnchor>
    <xdr:from>
      <xdr:col>0</xdr:col>
      <xdr:colOff>0</xdr:colOff>
      <xdr:row>21</xdr:row>
      <xdr:rowOff>54428</xdr:rowOff>
    </xdr:from>
    <xdr:to>
      <xdr:col>16</xdr:col>
      <xdr:colOff>666749</xdr:colOff>
      <xdr:row>53</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374838</xdr:colOff>
      <xdr:row>0</xdr:row>
      <xdr:rowOff>227144</xdr:rowOff>
    </xdr:from>
    <xdr:to>
      <xdr:col>1</xdr:col>
      <xdr:colOff>71157</xdr:colOff>
      <xdr:row>0</xdr:row>
      <xdr:rowOff>705970</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74838" y="227144"/>
          <a:ext cx="783290" cy="478826"/>
        </a:xfrm>
        <a:prstGeom prst="rect">
          <a:avLst/>
        </a:prstGeom>
      </xdr:spPr>
    </xdr:pic>
    <xdr:clientData/>
  </xdr:twoCellAnchor>
  <xdr:twoCellAnchor>
    <xdr:from>
      <xdr:col>0</xdr:col>
      <xdr:colOff>0</xdr:colOff>
      <xdr:row>19</xdr:row>
      <xdr:rowOff>51953</xdr:rowOff>
    </xdr:from>
    <xdr:to>
      <xdr:col>15</xdr:col>
      <xdr:colOff>675409</xdr:colOff>
      <xdr:row>82</xdr:row>
      <xdr:rowOff>51954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637616</xdr:colOff>
      <xdr:row>0</xdr:row>
      <xdr:rowOff>252322</xdr:rowOff>
    </xdr:from>
    <xdr:to>
      <xdr:col>0</xdr:col>
      <xdr:colOff>1619249</xdr:colOff>
      <xdr:row>0</xdr:row>
      <xdr:rowOff>891667</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637616" y="252322"/>
          <a:ext cx="981633" cy="639345"/>
        </a:xfrm>
        <a:prstGeom prst="rect">
          <a:avLst/>
        </a:prstGeom>
      </xdr:spPr>
    </xdr:pic>
    <xdr:clientData/>
  </xdr:twoCellAnchor>
  <xdr:twoCellAnchor>
    <xdr:from>
      <xdr:col>0</xdr:col>
      <xdr:colOff>81643</xdr:colOff>
      <xdr:row>38</xdr:row>
      <xdr:rowOff>148878</xdr:rowOff>
    </xdr:from>
    <xdr:to>
      <xdr:col>10</xdr:col>
      <xdr:colOff>1469572</xdr:colOff>
      <xdr:row>59</xdr:row>
      <xdr:rowOff>54429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508907</xdr:colOff>
      <xdr:row>0</xdr:row>
      <xdr:rowOff>121003</xdr:rowOff>
    </xdr:from>
    <xdr:to>
      <xdr:col>0</xdr:col>
      <xdr:colOff>1387928</xdr:colOff>
      <xdr:row>0</xdr:row>
      <xdr:rowOff>726620</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08907" y="121003"/>
          <a:ext cx="879021" cy="605617"/>
        </a:xfrm>
        <a:prstGeom prst="rect">
          <a:avLst/>
        </a:prstGeom>
      </xdr:spPr>
    </xdr:pic>
    <xdr:clientData/>
  </xdr:twoCellAnchor>
  <xdr:twoCellAnchor>
    <xdr:from>
      <xdr:col>0</xdr:col>
      <xdr:colOff>0</xdr:colOff>
      <xdr:row>38</xdr:row>
      <xdr:rowOff>67234</xdr:rowOff>
    </xdr:from>
    <xdr:to>
      <xdr:col>12</xdr:col>
      <xdr:colOff>653141</xdr:colOff>
      <xdr:row>74</xdr:row>
      <xdr:rowOff>54428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291165</xdr:colOff>
      <xdr:row>0</xdr:row>
      <xdr:rowOff>68394</xdr:rowOff>
    </xdr:from>
    <xdr:to>
      <xdr:col>0</xdr:col>
      <xdr:colOff>1086971</xdr:colOff>
      <xdr:row>0</xdr:row>
      <xdr:rowOff>576785</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91165" y="68394"/>
          <a:ext cx="795806" cy="508391"/>
        </a:xfrm>
        <a:prstGeom prst="rect">
          <a:avLst/>
        </a:prstGeom>
      </xdr:spPr>
    </xdr:pic>
    <xdr:clientData/>
  </xdr:twoCellAnchor>
  <xdr:twoCellAnchor>
    <xdr:from>
      <xdr:col>0</xdr:col>
      <xdr:colOff>44823</xdr:colOff>
      <xdr:row>38</xdr:row>
      <xdr:rowOff>111124</xdr:rowOff>
    </xdr:from>
    <xdr:to>
      <xdr:col>11</xdr:col>
      <xdr:colOff>638735</xdr:colOff>
      <xdr:row>69</xdr:row>
      <xdr:rowOff>44823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340661</xdr:colOff>
      <xdr:row>0</xdr:row>
      <xdr:rowOff>89647</xdr:rowOff>
    </xdr:from>
    <xdr:to>
      <xdr:col>0</xdr:col>
      <xdr:colOff>1009090</xdr:colOff>
      <xdr:row>0</xdr:row>
      <xdr:rowOff>650875</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0661" y="89647"/>
          <a:ext cx="668429" cy="561228"/>
        </a:xfrm>
        <a:prstGeom prst="rect">
          <a:avLst/>
        </a:prstGeom>
      </xdr:spPr>
    </xdr:pic>
    <xdr:clientData/>
  </xdr:twoCellAnchor>
  <xdr:twoCellAnchor>
    <xdr:from>
      <xdr:col>0</xdr:col>
      <xdr:colOff>0</xdr:colOff>
      <xdr:row>38</xdr:row>
      <xdr:rowOff>33618</xdr:rowOff>
    </xdr:from>
    <xdr:to>
      <xdr:col>13</xdr:col>
      <xdr:colOff>593912</xdr:colOff>
      <xdr:row>58</xdr:row>
      <xdr:rowOff>134471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675408</xdr:colOff>
      <xdr:row>0</xdr:row>
      <xdr:rowOff>134949</xdr:rowOff>
    </xdr:from>
    <xdr:to>
      <xdr:col>1</xdr:col>
      <xdr:colOff>625890</xdr:colOff>
      <xdr:row>0</xdr:row>
      <xdr:rowOff>987137</xdr:rowOff>
    </xdr:to>
    <xdr:pic>
      <xdr:nvPicPr>
        <xdr:cNvPr id="3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408" y="134949"/>
          <a:ext cx="1180073" cy="852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94131</xdr:colOff>
      <xdr:row>0</xdr:row>
      <xdr:rowOff>89647</xdr:rowOff>
    </xdr:from>
    <xdr:to>
      <xdr:col>0</xdr:col>
      <xdr:colOff>762560</xdr:colOff>
      <xdr:row>0</xdr:row>
      <xdr:rowOff>650875</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131" y="89647"/>
          <a:ext cx="668429" cy="561228"/>
        </a:xfrm>
        <a:prstGeom prst="rect">
          <a:avLst/>
        </a:prstGeom>
      </xdr:spPr>
    </xdr:pic>
    <xdr:clientData/>
  </xdr:twoCellAnchor>
  <xdr:twoCellAnchor>
    <xdr:from>
      <xdr:col>0</xdr:col>
      <xdr:colOff>0</xdr:colOff>
      <xdr:row>40</xdr:row>
      <xdr:rowOff>15875</xdr:rowOff>
    </xdr:from>
    <xdr:to>
      <xdr:col>10</xdr:col>
      <xdr:colOff>1016000</xdr:colOff>
      <xdr:row>72</xdr:row>
      <xdr:rowOff>147544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478761</xdr:colOff>
      <xdr:row>0</xdr:row>
      <xdr:rowOff>172873</xdr:rowOff>
    </xdr:from>
    <xdr:to>
      <xdr:col>0</xdr:col>
      <xdr:colOff>1306287</xdr:colOff>
      <xdr:row>0</xdr:row>
      <xdr:rowOff>839014</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478761" y="172873"/>
          <a:ext cx="827526" cy="666141"/>
        </a:xfrm>
        <a:prstGeom prst="rect">
          <a:avLst/>
        </a:prstGeom>
      </xdr:spPr>
    </xdr:pic>
    <xdr:clientData/>
  </xdr:twoCellAnchor>
  <xdr:twoCellAnchor>
    <xdr:from>
      <xdr:col>0</xdr:col>
      <xdr:colOff>0</xdr:colOff>
      <xdr:row>39</xdr:row>
      <xdr:rowOff>0</xdr:rowOff>
    </xdr:from>
    <xdr:to>
      <xdr:col>12</xdr:col>
      <xdr:colOff>619124</xdr:colOff>
      <xdr:row>70</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516546</xdr:colOff>
      <xdr:row>0</xdr:row>
      <xdr:rowOff>139344</xdr:rowOff>
    </xdr:from>
    <xdr:to>
      <xdr:col>1</xdr:col>
      <xdr:colOff>319566</xdr:colOff>
      <xdr:row>0</xdr:row>
      <xdr:rowOff>546652</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6546" y="139344"/>
          <a:ext cx="565020" cy="407308"/>
        </a:xfrm>
        <a:prstGeom prst="rect">
          <a:avLst/>
        </a:prstGeom>
      </xdr:spPr>
    </xdr:pic>
    <xdr:clientData/>
  </xdr:twoCellAnchor>
  <xdr:twoCellAnchor>
    <xdr:from>
      <xdr:col>0</xdr:col>
      <xdr:colOff>78441</xdr:colOff>
      <xdr:row>19</xdr:row>
      <xdr:rowOff>56029</xdr:rowOff>
    </xdr:from>
    <xdr:to>
      <xdr:col>11</xdr:col>
      <xdr:colOff>504265</xdr:colOff>
      <xdr:row>39</xdr:row>
      <xdr:rowOff>78441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0.06172</cdr:x>
      <cdr:y>0.85278</cdr:y>
    </cdr:from>
    <cdr:to>
      <cdr:x>0.95709</cdr:x>
      <cdr:y>0.96213</cdr:y>
    </cdr:to>
    <cdr:sp macro="" textlink="">
      <cdr:nvSpPr>
        <cdr:cNvPr id="2" name="1 CuadroTexto"/>
        <cdr:cNvSpPr txBox="1"/>
      </cdr:nvSpPr>
      <cdr:spPr>
        <a:xfrm xmlns:a="http://schemas.openxmlformats.org/drawingml/2006/main">
          <a:off x="588309" y="3268196"/>
          <a:ext cx="85344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000" b="1">
              <a:effectLst/>
              <a:latin typeface="+mn-lt"/>
              <a:ea typeface="+mn-ea"/>
              <a:cs typeface="+mn-cs"/>
            </a:rPr>
            <a:t>Nota: </a:t>
          </a:r>
          <a:r>
            <a:rPr lang="es-ES" sz="1000">
              <a:effectLst/>
              <a:latin typeface="+mn-lt"/>
              <a:ea typeface="+mn-ea"/>
              <a:cs typeface="+mn-cs"/>
            </a:rPr>
            <a:t>Los datos de la población presentados  fueron tomados de las proyecciones de la Oficina Nacional de Estadísticas (ONE) en base al censo del 2002.  Estos datos serán actualizados una vez que la Oficina Nacional de Estadísticas (ONE) actualice sus proyecciones en base censo del 2010.</a:t>
          </a:r>
          <a:endParaRPr lang="es-DO" sz="1000">
            <a:effectLst/>
            <a:latin typeface="+mn-lt"/>
            <a:ea typeface="+mn-ea"/>
            <a:cs typeface="+mn-cs"/>
          </a:endParaRPr>
        </a:p>
        <a:p xmlns:a="http://schemas.openxmlformats.org/drawingml/2006/main">
          <a:endParaRPr lang="es-DO" sz="1000"/>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94131</xdr:colOff>
      <xdr:row>0</xdr:row>
      <xdr:rowOff>89647</xdr:rowOff>
    </xdr:from>
    <xdr:to>
      <xdr:col>0</xdr:col>
      <xdr:colOff>762560</xdr:colOff>
      <xdr:row>0</xdr:row>
      <xdr:rowOff>628650</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131" y="89647"/>
          <a:ext cx="668429" cy="539003"/>
        </a:xfrm>
        <a:prstGeom prst="rect">
          <a:avLst/>
        </a:prstGeom>
      </xdr:spPr>
    </xdr:pic>
    <xdr:clientData/>
  </xdr:twoCellAnchor>
  <xdr:twoCellAnchor>
    <xdr:from>
      <xdr:col>0</xdr:col>
      <xdr:colOff>100853</xdr:colOff>
      <xdr:row>14</xdr:row>
      <xdr:rowOff>57149</xdr:rowOff>
    </xdr:from>
    <xdr:to>
      <xdr:col>11</xdr:col>
      <xdr:colOff>714375</xdr:colOff>
      <xdr:row>42</xdr:row>
      <xdr:rowOff>66675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0.03338</cdr:x>
      <cdr:y>0.86589</cdr:y>
    </cdr:from>
    <cdr:to>
      <cdr:x>0.92813</cdr:x>
      <cdr:y>0.96236</cdr:y>
    </cdr:to>
    <cdr:sp macro="" textlink="">
      <cdr:nvSpPr>
        <cdr:cNvPr id="2" name="1 CuadroTexto"/>
        <cdr:cNvSpPr txBox="1"/>
      </cdr:nvSpPr>
      <cdr:spPr>
        <a:xfrm xmlns:a="http://schemas.openxmlformats.org/drawingml/2006/main">
          <a:off x="347382" y="4626909"/>
          <a:ext cx="9312089" cy="515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 </a:t>
          </a:r>
          <a:r>
            <a:rPr lang="es-ES" sz="1100">
              <a:effectLst/>
              <a:latin typeface="+mn-lt"/>
              <a:ea typeface="+mn-ea"/>
              <a:cs typeface="+mn-cs"/>
            </a:rPr>
            <a:t>Los datos de la población presentados  fueron tomados de las proyecciones de la Oficina Nacional de Estadísticas (ONE) en base al censo del 2002.  Estos datos serán actualizados una vez que la Oficina Nacional de Estadísticas (ONE) actualice sus proyecciones en base censo del 2010.</a:t>
          </a:r>
          <a:endParaRPr lang="es-DO" sz="1100">
            <a:effectLst/>
            <a:latin typeface="+mn-lt"/>
            <a:ea typeface="+mn-ea"/>
            <a:cs typeface="+mn-cs"/>
          </a:endParaRPr>
        </a:p>
        <a:p xmlns:a="http://schemas.openxmlformats.org/drawingml/2006/main">
          <a:endParaRPr lang="es-DO" sz="11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521419</xdr:colOff>
      <xdr:row>0</xdr:row>
      <xdr:rowOff>163287</xdr:rowOff>
    </xdr:from>
    <xdr:to>
      <xdr:col>1</xdr:col>
      <xdr:colOff>489858</xdr:colOff>
      <xdr:row>0</xdr:row>
      <xdr:rowOff>851551</xdr:rowOff>
    </xdr:to>
    <xdr:pic>
      <xdr:nvPicPr>
        <xdr:cNvPr id="144497"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419" y="163287"/>
          <a:ext cx="934546" cy="68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13605</xdr:colOff>
      <xdr:row>12</xdr:row>
      <xdr:rowOff>108857</xdr:rowOff>
    </xdr:from>
    <xdr:to>
      <xdr:col>10</xdr:col>
      <xdr:colOff>1415143</xdr:colOff>
      <xdr:row>47</xdr:row>
      <xdr:rowOff>54428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1238252</xdr:colOff>
      <xdr:row>12</xdr:row>
      <xdr:rowOff>122464</xdr:rowOff>
    </xdr:from>
    <xdr:to>
      <xdr:col>3</xdr:col>
      <xdr:colOff>1265465</xdr:colOff>
      <xdr:row>23</xdr:row>
      <xdr:rowOff>163286</xdr:rowOff>
    </xdr:to>
    <xdr:sp macro="" textlink="">
      <xdr:nvSpPr>
        <xdr:cNvPr id="2" name="1 Nube"/>
        <xdr:cNvSpPr/>
      </xdr:nvSpPr>
      <xdr:spPr>
        <a:xfrm>
          <a:off x="2204359" y="3769178"/>
          <a:ext cx="3333749" cy="2136322"/>
        </a:xfrm>
        <a:prstGeom prst="clou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600">
              <a:solidFill>
                <a:sysClr val="windowText" lastClr="000000"/>
              </a:solidFill>
            </a:rPr>
            <a:t>NO tenemos el dato TSS.</a:t>
          </a:r>
          <a:r>
            <a:rPr lang="es-DO" sz="1600" baseline="0">
              <a:solidFill>
                <a:sysClr val="windowText" lastClr="000000"/>
              </a:solidFill>
            </a:rPr>
            <a:t> Los datos que estan en el informe no coinciden con los reales.</a:t>
          </a:r>
          <a:endParaRPr lang="es-DO" sz="1600">
            <a:solidFill>
              <a:sysClr val="windowText" lastClr="00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278736</xdr:colOff>
      <xdr:row>0</xdr:row>
      <xdr:rowOff>106197</xdr:rowOff>
    </xdr:from>
    <xdr:to>
      <xdr:col>0</xdr:col>
      <xdr:colOff>1000125</xdr:colOff>
      <xdr:row>0</xdr:row>
      <xdr:rowOff>581024</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78736" y="106197"/>
          <a:ext cx="721389" cy="47482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13607</xdr:colOff>
      <xdr:row>12</xdr:row>
      <xdr:rowOff>68036</xdr:rowOff>
    </xdr:from>
    <xdr:to>
      <xdr:col>11</xdr:col>
      <xdr:colOff>435429</xdr:colOff>
      <xdr:row>49</xdr:row>
      <xdr:rowOff>13608</xdr:rowOff>
    </xdr:to>
    <xdr:graphicFrame macro="">
      <xdr:nvGraphicFramePr>
        <xdr:cNvPr id="145521"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616401</xdr:colOff>
      <xdr:row>0</xdr:row>
      <xdr:rowOff>205467</xdr:rowOff>
    </xdr:from>
    <xdr:to>
      <xdr:col>0</xdr:col>
      <xdr:colOff>1673678</xdr:colOff>
      <xdr:row>0</xdr:row>
      <xdr:rowOff>943102</xdr:rowOff>
    </xdr:to>
    <xdr:pic>
      <xdr:nvPicPr>
        <xdr:cNvPr id="145522"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401" y="205467"/>
          <a:ext cx="1057277" cy="737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7.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0</xdr:col>
      <xdr:colOff>542925</xdr:colOff>
      <xdr:row>0</xdr:row>
      <xdr:rowOff>200025</xdr:rowOff>
    </xdr:from>
    <xdr:to>
      <xdr:col>1</xdr:col>
      <xdr:colOff>542925</xdr:colOff>
      <xdr:row>0</xdr:row>
      <xdr:rowOff>857250</xdr:rowOff>
    </xdr:to>
    <xdr:pic>
      <xdr:nvPicPr>
        <xdr:cNvPr id="14654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200025"/>
          <a:ext cx="990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185060</xdr:rowOff>
    </xdr:from>
    <xdr:to>
      <xdr:col>11</xdr:col>
      <xdr:colOff>1592034</xdr:colOff>
      <xdr:row>65</xdr:row>
      <xdr:rowOff>136071</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0.09751</cdr:x>
      <cdr:y>0.9256</cdr:y>
    </cdr:from>
    <cdr:to>
      <cdr:x>0.33333</cdr:x>
      <cdr:y>0.97393</cdr:y>
    </cdr:to>
    <cdr:sp macro="" textlink="">
      <cdr:nvSpPr>
        <cdr:cNvPr id="2" name="1 CuadroTexto"/>
        <cdr:cNvSpPr txBox="1"/>
      </cdr:nvSpPr>
      <cdr:spPr>
        <a:xfrm xmlns:a="http://schemas.openxmlformats.org/drawingml/2006/main">
          <a:off x="1516492" y="5924546"/>
          <a:ext cx="3667829" cy="3093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a:t>Informes</a:t>
          </a:r>
          <a:r>
            <a:rPr lang="es-DO" sz="1400" baseline="0"/>
            <a:t> Mensuales de la TSS</a:t>
          </a:r>
          <a:endParaRPr lang="es-DO" sz="1400"/>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33</xdr:row>
      <xdr:rowOff>22411</xdr:rowOff>
    </xdr:from>
    <xdr:to>
      <xdr:col>9</xdr:col>
      <xdr:colOff>1086970</xdr:colOff>
      <xdr:row>75</xdr:row>
      <xdr:rowOff>123265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733986</xdr:colOff>
      <xdr:row>0</xdr:row>
      <xdr:rowOff>138392</xdr:rowOff>
    </xdr:from>
    <xdr:to>
      <xdr:col>0</xdr:col>
      <xdr:colOff>1436588</xdr:colOff>
      <xdr:row>0</xdr:row>
      <xdr:rowOff>627529</xdr:rowOff>
    </xdr:to>
    <xdr:pic>
      <xdr:nvPicPr>
        <xdr:cNvPr id="147570"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986" y="138392"/>
          <a:ext cx="702602" cy="489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0.12218</cdr:x>
      <cdr:y>0.96573</cdr:y>
    </cdr:from>
    <cdr:to>
      <cdr:x>0.18042</cdr:x>
      <cdr:y>0.98789</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653975" y="8040664"/>
          <a:ext cx="788343" cy="184453"/>
        </a:xfrm>
        <a:prstGeom xmlns:a="http://schemas.openxmlformats.org/drawingml/2006/main" prst="rect">
          <a:avLst/>
        </a:prstGeom>
      </cdr:spPr>
    </cdr:pic>
  </cdr:relSizeAnchor>
  <cdr:relSizeAnchor xmlns:cdr="http://schemas.openxmlformats.org/drawingml/2006/chartDrawing">
    <cdr:from>
      <cdr:x>0.34442</cdr:x>
      <cdr:y>0.10981</cdr:y>
    </cdr:from>
    <cdr:to>
      <cdr:x>0.36677</cdr:x>
      <cdr:y>0.12341</cdr:y>
    </cdr:to>
    <cdr:sp macro="" textlink="">
      <cdr:nvSpPr>
        <cdr:cNvPr id="8" name="7 Rectángulo"/>
        <cdr:cNvSpPr/>
      </cdr:nvSpPr>
      <cdr:spPr>
        <a:xfrm xmlns:a="http://schemas.openxmlformats.org/drawingml/2006/main">
          <a:off x="4612166" y="916706"/>
          <a:ext cx="299290" cy="11353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0.36318</cdr:x>
      <cdr:y>0.1037</cdr:y>
    </cdr:from>
    <cdr:to>
      <cdr:x>0.69133</cdr:x>
      <cdr:y>0.13863</cdr:y>
    </cdr:to>
    <cdr:sp macro="" textlink="">
      <cdr:nvSpPr>
        <cdr:cNvPr id="9" name="8 CuadroTexto"/>
        <cdr:cNvSpPr txBox="1"/>
      </cdr:nvSpPr>
      <cdr:spPr>
        <a:xfrm xmlns:a="http://schemas.openxmlformats.org/drawingml/2006/main">
          <a:off x="4863353" y="865697"/>
          <a:ext cx="4394206" cy="291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ARS de Autogestión                         Ya no existen</a:t>
          </a:r>
        </a:p>
      </cdr:txBody>
    </cdr:sp>
  </cdr:relSizeAnchor>
  <cdr:relSizeAnchor xmlns:cdr="http://schemas.openxmlformats.org/drawingml/2006/chartDrawing">
    <cdr:from>
      <cdr:x>0.48677</cdr:x>
      <cdr:y>0.11326</cdr:y>
    </cdr:from>
    <cdr:to>
      <cdr:x>0.51346</cdr:x>
      <cdr:y>0.12551</cdr:y>
    </cdr:to>
    <cdr:sp macro="" textlink="">
      <cdr:nvSpPr>
        <cdr:cNvPr id="10" name="9 Rectángulo"/>
        <cdr:cNvSpPr/>
      </cdr:nvSpPr>
      <cdr:spPr>
        <a:xfrm xmlns:a="http://schemas.openxmlformats.org/drawingml/2006/main" flipH="1" flipV="1">
          <a:off x="6518301" y="945572"/>
          <a:ext cx="357406" cy="102268"/>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xdr:colOff>
      <xdr:row>3</xdr:row>
      <xdr:rowOff>207818</xdr:rowOff>
    </xdr:from>
    <xdr:to>
      <xdr:col>9</xdr:col>
      <xdr:colOff>1887683</xdr:colOff>
      <xdr:row>54</xdr:row>
      <xdr:rowOff>86591</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691170</xdr:colOff>
      <xdr:row>0</xdr:row>
      <xdr:rowOff>363682</xdr:rowOff>
    </xdr:from>
    <xdr:to>
      <xdr:col>0</xdr:col>
      <xdr:colOff>1821722</xdr:colOff>
      <xdr:row>0</xdr:row>
      <xdr:rowOff>1112075</xdr:rowOff>
    </xdr:to>
    <xdr:pic>
      <xdr:nvPicPr>
        <xdr:cNvPr id="148594"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170" y="363682"/>
          <a:ext cx="1130552" cy="74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0.08193</cdr:x>
      <cdr:y>0.95625</cdr:y>
    </cdr:from>
    <cdr:to>
      <cdr:x>0.28828</cdr:x>
      <cdr:y>0.99021</cdr:y>
    </cdr:to>
    <cdr:sp macro="" textlink="">
      <cdr:nvSpPr>
        <cdr:cNvPr id="2" name="1 CuadroTexto"/>
        <cdr:cNvSpPr txBox="1"/>
      </cdr:nvSpPr>
      <cdr:spPr>
        <a:xfrm xmlns:a="http://schemas.openxmlformats.org/drawingml/2006/main">
          <a:off x="1167161" y="9810935"/>
          <a:ext cx="2939803" cy="3484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33</xdr:row>
      <xdr:rowOff>102054</xdr:rowOff>
    </xdr:from>
    <xdr:to>
      <xdr:col>245</xdr:col>
      <xdr:colOff>830035</xdr:colOff>
      <xdr:row>72</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33</xdr:row>
      <xdr:rowOff>111124</xdr:rowOff>
    </xdr:from>
    <xdr:to>
      <xdr:col>246</xdr:col>
      <xdr:colOff>5196</xdr:colOff>
      <xdr:row>72</xdr:row>
      <xdr:rowOff>27215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291193</xdr:colOff>
      <xdr:row>0</xdr:row>
      <xdr:rowOff>164646</xdr:rowOff>
    </xdr:from>
    <xdr:to>
      <xdr:col>0</xdr:col>
      <xdr:colOff>1265465</xdr:colOff>
      <xdr:row>0</xdr:row>
      <xdr:rowOff>857250</xdr:rowOff>
    </xdr:to>
    <xdr:pic>
      <xdr:nvPicPr>
        <xdr:cNvPr id="149618"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193" y="164646"/>
          <a:ext cx="974272" cy="692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122464</xdr:rowOff>
    </xdr:from>
    <xdr:to>
      <xdr:col>10</xdr:col>
      <xdr:colOff>707572</xdr:colOff>
      <xdr:row>46</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2000250</xdr:colOff>
      <xdr:row>15</xdr:row>
      <xdr:rowOff>122465</xdr:rowOff>
    </xdr:from>
    <xdr:to>
      <xdr:col>8</xdr:col>
      <xdr:colOff>95250</xdr:colOff>
      <xdr:row>19</xdr:row>
      <xdr:rowOff>1</xdr:rowOff>
    </xdr:to>
    <xdr:sp macro="" textlink="">
      <xdr:nvSpPr>
        <xdr:cNvPr id="2" name="1 CuadroTexto"/>
        <xdr:cNvSpPr txBox="1"/>
      </xdr:nvSpPr>
      <xdr:spPr>
        <a:xfrm>
          <a:off x="2000250" y="2925536"/>
          <a:ext cx="7157357" cy="639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800" b="1"/>
            <a:t>Distribución de la Inversión Financiera de los Fondos del SFS del RC </a:t>
          </a: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0.04811</cdr:x>
      <cdr:y>0.90378</cdr:y>
    </cdr:from>
    <cdr:to>
      <cdr:x>0.43433</cdr:x>
      <cdr:y>0.96283</cdr:y>
    </cdr:to>
    <cdr:sp macro="" textlink="">
      <cdr:nvSpPr>
        <cdr:cNvPr id="2" name="1 CuadroTexto"/>
        <cdr:cNvSpPr txBox="1"/>
      </cdr:nvSpPr>
      <cdr:spPr>
        <a:xfrm xmlns:a="http://schemas.openxmlformats.org/drawingml/2006/main">
          <a:off x="503464" y="5623833"/>
          <a:ext cx="4041322"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 </a:t>
          </a:r>
          <a:r>
            <a:rPr lang="es-DO" sz="16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552450</xdr:colOff>
      <xdr:row>0</xdr:row>
      <xdr:rowOff>219075</xdr:rowOff>
    </xdr:from>
    <xdr:to>
      <xdr:col>1</xdr:col>
      <xdr:colOff>628650</xdr:colOff>
      <xdr:row>0</xdr:row>
      <xdr:rowOff>1162050</xdr:rowOff>
    </xdr:to>
    <xdr:pic>
      <xdr:nvPicPr>
        <xdr:cNvPr id="4377"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219075"/>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191301</xdr:colOff>
      <xdr:row>0</xdr:row>
      <xdr:rowOff>172093</xdr:rowOff>
    </xdr:from>
    <xdr:to>
      <xdr:col>0</xdr:col>
      <xdr:colOff>1127669</xdr:colOff>
      <xdr:row>0</xdr:row>
      <xdr:rowOff>802821</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91301" y="172093"/>
          <a:ext cx="936368" cy="63072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9</xdr:row>
      <xdr:rowOff>108857</xdr:rowOff>
    </xdr:from>
    <xdr:to>
      <xdr:col>11</xdr:col>
      <xdr:colOff>108858</xdr:colOff>
      <xdr:row>46</xdr:row>
      <xdr:rowOff>95251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653143</xdr:colOff>
      <xdr:row>42</xdr:row>
      <xdr:rowOff>108857</xdr:rowOff>
    </xdr:from>
    <xdr:to>
      <xdr:col>1</xdr:col>
      <xdr:colOff>653143</xdr:colOff>
      <xdr:row>45</xdr:row>
      <xdr:rowOff>0</xdr:rowOff>
    </xdr:to>
    <xdr:sp macro="" textlink="">
      <xdr:nvSpPr>
        <xdr:cNvPr id="3" name="2 CuadroTexto"/>
        <xdr:cNvSpPr txBox="1"/>
      </xdr:nvSpPr>
      <xdr:spPr>
        <a:xfrm>
          <a:off x="653143" y="9688286"/>
          <a:ext cx="4558393" cy="4626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a:t>TSS</a:t>
          </a:r>
        </a:p>
      </xdr:txBody>
    </xdr:sp>
    <xdr:clientData/>
  </xdr:twoCellAnchor>
</xdr:wsDr>
</file>

<file path=xl/drawings/drawing81.xml><?xml version="1.0" encoding="utf-8"?>
<c:userShapes xmlns:c="http://schemas.openxmlformats.org/drawingml/2006/chart">
  <cdr:relSizeAnchor xmlns:cdr="http://schemas.openxmlformats.org/drawingml/2006/chartDrawing">
    <cdr:from>
      <cdr:x>0.17594</cdr:x>
      <cdr:y>0.05094</cdr:y>
    </cdr:from>
    <cdr:to>
      <cdr:x>0.86047</cdr:x>
      <cdr:y>0.15094</cdr:y>
    </cdr:to>
    <cdr:sp macro="" textlink="">
      <cdr:nvSpPr>
        <cdr:cNvPr id="2" name="1 CuadroTexto"/>
        <cdr:cNvSpPr txBox="1"/>
      </cdr:nvSpPr>
      <cdr:spPr>
        <a:xfrm xmlns:a="http://schemas.openxmlformats.org/drawingml/2006/main">
          <a:off x="2367643" y="367393"/>
          <a:ext cx="9212036" cy="72117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DO" sz="2000" b="1"/>
            <a:t>Distribución de la Inversión Financiera de los Fondos de la Cuenta Cuidado de la Salud  por Tipo de Instrumento</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19050</xdr:colOff>
      <xdr:row>13</xdr:row>
      <xdr:rowOff>171450</xdr:rowOff>
    </xdr:from>
    <xdr:to>
      <xdr:col>11</xdr:col>
      <xdr:colOff>514350</xdr:colOff>
      <xdr:row>36</xdr:row>
      <xdr:rowOff>38100</xdr:rowOff>
    </xdr:to>
    <xdr:graphicFrame macro="">
      <xdr:nvGraphicFramePr>
        <xdr:cNvPr id="15172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57150</xdr:rowOff>
    </xdr:from>
    <xdr:to>
      <xdr:col>1</xdr:col>
      <xdr:colOff>0</xdr:colOff>
      <xdr:row>0</xdr:row>
      <xdr:rowOff>542925</xdr:rowOff>
    </xdr:to>
    <xdr:pic>
      <xdr:nvPicPr>
        <xdr:cNvPr id="151722"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57150"/>
          <a:ext cx="704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85725</xdr:colOff>
      <xdr:row>0</xdr:row>
      <xdr:rowOff>581025</xdr:rowOff>
    </xdr:to>
    <xdr:pic>
      <xdr:nvPicPr>
        <xdr:cNvPr id="151723"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28575"/>
          <a:ext cx="819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0.01801</cdr:x>
      <cdr:y>0.94458</cdr:y>
    </cdr:from>
    <cdr:to>
      <cdr:x>0.15634</cdr:x>
      <cdr:y>1</cdr:y>
    </cdr:to>
    <cdr:sp macro="" textlink="">
      <cdr:nvSpPr>
        <cdr:cNvPr id="2" name="1 CuadroTexto"/>
        <cdr:cNvSpPr txBox="1"/>
      </cdr:nvSpPr>
      <cdr:spPr>
        <a:xfrm xmlns:a="http://schemas.openxmlformats.org/drawingml/2006/main">
          <a:off x="172270" y="5018899"/>
          <a:ext cx="1322863" cy="2919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latin typeface="+mn-lt"/>
              <a:ea typeface="+mn-ea"/>
              <a:cs typeface="+mn-cs"/>
            </a:rPr>
            <a:t>Fuente: </a:t>
          </a:r>
          <a:r>
            <a:rPr lang="es-ES" sz="1100">
              <a:latin typeface="+mn-lt"/>
              <a:ea typeface="+mn-ea"/>
              <a:cs typeface="+mn-cs"/>
            </a:rPr>
            <a:t>TSS</a:t>
          </a:r>
          <a:endParaRPr lang="en-US"/>
        </a:p>
        <a:p xmlns:a="http://schemas.openxmlformats.org/drawingml/2006/main">
          <a:endParaRPr lang="en-US" sz="1100"/>
        </a:p>
      </cdr:txBody>
    </cdr:sp>
  </cdr:relSizeAnchor>
  <cdr:relSizeAnchor xmlns:cdr="http://schemas.openxmlformats.org/drawingml/2006/chartDrawing">
    <cdr:from>
      <cdr:x>0.29461</cdr:x>
      <cdr:y>0.73161</cdr:y>
    </cdr:from>
    <cdr:to>
      <cdr:x>0.35164</cdr:x>
      <cdr:y>0.75746</cdr:y>
    </cdr:to>
    <cdr:sp macro="" textlink="">
      <cdr:nvSpPr>
        <cdr:cNvPr id="4" name="3 CuadroTexto"/>
        <cdr:cNvSpPr txBox="1"/>
      </cdr:nvSpPr>
      <cdr:spPr>
        <a:xfrm xmlns:a="http://schemas.openxmlformats.org/drawingml/2006/main">
          <a:off x="2657475" y="3505200"/>
          <a:ext cx="514350" cy="123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0.27518</cdr:x>
      <cdr:y>0.67796</cdr:y>
    </cdr:from>
    <cdr:to>
      <cdr:x>0.35015</cdr:x>
      <cdr:y>0.72966</cdr:y>
    </cdr:to>
    <cdr:sp macro="" textlink="">
      <cdr:nvSpPr>
        <cdr:cNvPr id="5" name="4 CuadroTexto"/>
        <cdr:cNvSpPr txBox="1"/>
      </cdr:nvSpPr>
      <cdr:spPr>
        <a:xfrm xmlns:a="http://schemas.openxmlformats.org/drawingml/2006/main">
          <a:off x="2608030" y="3086711"/>
          <a:ext cx="710519" cy="2353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a:t>
          </a:r>
          <a:r>
            <a:rPr lang="en-US" sz="1100"/>
            <a:t>1</a:t>
          </a:r>
        </a:p>
      </cdr:txBody>
    </cdr:sp>
  </cdr:relSizeAnchor>
  <cdr:relSizeAnchor xmlns:cdr="http://schemas.openxmlformats.org/drawingml/2006/chartDrawing">
    <cdr:from>
      <cdr:x>0.35944</cdr:x>
      <cdr:y>0.61656</cdr:y>
    </cdr:from>
    <cdr:to>
      <cdr:x>0.44111</cdr:x>
      <cdr:y>0.66918</cdr:y>
    </cdr:to>
    <cdr:sp macro="" textlink="">
      <cdr:nvSpPr>
        <cdr:cNvPr id="6" name="5 CuadroTexto"/>
        <cdr:cNvSpPr txBox="1"/>
      </cdr:nvSpPr>
      <cdr:spPr>
        <a:xfrm xmlns:a="http://schemas.openxmlformats.org/drawingml/2006/main">
          <a:off x="3406592" y="2807169"/>
          <a:ext cx="774017" cy="2395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513,416</a:t>
          </a:r>
        </a:p>
      </cdr:txBody>
    </cdr:sp>
  </cdr:relSizeAnchor>
  <cdr:relSizeAnchor xmlns:cdr="http://schemas.openxmlformats.org/drawingml/2006/chartDrawing">
    <cdr:from>
      <cdr:x>0.44774</cdr:x>
      <cdr:y>0.49639</cdr:y>
    </cdr:from>
    <cdr:to>
      <cdr:x>0.54236</cdr:x>
      <cdr:y>0.55315</cdr:y>
    </cdr:to>
    <cdr:sp macro="" textlink="">
      <cdr:nvSpPr>
        <cdr:cNvPr id="7" name="6 CuadroTexto"/>
        <cdr:cNvSpPr txBox="1"/>
      </cdr:nvSpPr>
      <cdr:spPr>
        <a:xfrm xmlns:a="http://schemas.openxmlformats.org/drawingml/2006/main">
          <a:off x="4255676" y="2108746"/>
          <a:ext cx="899347" cy="241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1,081,936</a:t>
          </a:r>
        </a:p>
      </cdr:txBody>
    </cdr:sp>
  </cdr:relSizeAnchor>
  <cdr:relSizeAnchor xmlns:cdr="http://schemas.openxmlformats.org/drawingml/2006/chartDrawing">
    <cdr:from>
      <cdr:x>0.54454</cdr:x>
      <cdr:y>0.46207</cdr:y>
    </cdr:from>
    <cdr:to>
      <cdr:x>0.63015</cdr:x>
      <cdr:y>0.51285</cdr:y>
    </cdr:to>
    <cdr:sp macro="" textlink="">
      <cdr:nvSpPr>
        <cdr:cNvPr id="8" name="7 CuadroTexto"/>
        <cdr:cNvSpPr txBox="1"/>
      </cdr:nvSpPr>
      <cdr:spPr>
        <a:xfrm xmlns:a="http://schemas.openxmlformats.org/drawingml/2006/main">
          <a:off x="5175733" y="1962932"/>
          <a:ext cx="813709" cy="215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1,224,643</a:t>
          </a:r>
        </a:p>
      </cdr:txBody>
    </cdr:sp>
  </cdr:relSizeAnchor>
  <cdr:relSizeAnchor xmlns:cdr="http://schemas.openxmlformats.org/drawingml/2006/chartDrawing">
    <cdr:from>
      <cdr:x>0.64617</cdr:x>
      <cdr:y>0.45079</cdr:y>
    </cdr:from>
    <cdr:to>
      <cdr:x>0.73008</cdr:x>
      <cdr:y>0.51078</cdr:y>
    </cdr:to>
    <cdr:sp macro="" textlink="">
      <cdr:nvSpPr>
        <cdr:cNvPr id="9" name="8 CuadroTexto"/>
        <cdr:cNvSpPr txBox="1"/>
      </cdr:nvSpPr>
      <cdr:spPr>
        <a:xfrm xmlns:a="http://schemas.openxmlformats.org/drawingml/2006/main">
          <a:off x="6179378" y="2168367"/>
          <a:ext cx="802439" cy="2885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1,346,166</a:t>
          </a:r>
          <a:endParaRPr lang="en-US" sz="1400"/>
        </a:p>
      </cdr:txBody>
    </cdr:sp>
  </cdr:relSizeAnchor>
  <cdr:relSizeAnchor xmlns:cdr="http://schemas.openxmlformats.org/drawingml/2006/chartDrawing">
    <cdr:from>
      <cdr:x>0.72692</cdr:x>
      <cdr:y>0.3326</cdr:y>
    </cdr:from>
    <cdr:to>
      <cdr:x>0.82763</cdr:x>
      <cdr:y>0.38169</cdr:y>
    </cdr:to>
    <cdr:sp macro="" textlink="">
      <cdr:nvSpPr>
        <cdr:cNvPr id="10" name="9 CuadroTexto"/>
        <cdr:cNvSpPr txBox="1"/>
      </cdr:nvSpPr>
      <cdr:spPr>
        <a:xfrm xmlns:a="http://schemas.openxmlformats.org/drawingml/2006/main">
          <a:off x="6889340" y="1723379"/>
          <a:ext cx="954466" cy="2543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0"/>
            <a:t>1,847,833</a:t>
          </a:r>
          <a:endParaRPr lang="en-US" sz="1100" b="0"/>
        </a:p>
      </cdr:txBody>
    </cdr:sp>
  </cdr:relSizeAnchor>
  <cdr:relSizeAnchor xmlns:cdr="http://schemas.openxmlformats.org/drawingml/2006/chartDrawing">
    <cdr:from>
      <cdr:x>0.82968</cdr:x>
      <cdr:y>0.29044</cdr:y>
    </cdr:from>
    <cdr:to>
      <cdr:x>0.92729</cdr:x>
      <cdr:y>0.34653</cdr:y>
    </cdr:to>
    <cdr:sp macro="" textlink="">
      <cdr:nvSpPr>
        <cdr:cNvPr id="11" name="10 CuadroTexto"/>
        <cdr:cNvSpPr txBox="1"/>
      </cdr:nvSpPr>
      <cdr:spPr>
        <a:xfrm xmlns:a="http://schemas.openxmlformats.org/drawingml/2006/main">
          <a:off x="7863188" y="1504950"/>
          <a:ext cx="925087" cy="2906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2,006,919</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66675</xdr:colOff>
      <xdr:row>13</xdr:row>
      <xdr:rowOff>66676</xdr:rowOff>
    </xdr:from>
    <xdr:to>
      <xdr:col>11</xdr:col>
      <xdr:colOff>638175</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0</xdr:row>
      <xdr:rowOff>228600</xdr:rowOff>
    </xdr:from>
    <xdr:to>
      <xdr:col>0</xdr:col>
      <xdr:colOff>907351</xdr:colOff>
      <xdr:row>0</xdr:row>
      <xdr:rowOff>685800</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228600" y="228600"/>
          <a:ext cx="678751" cy="457200"/>
        </a:xfrm>
        <a:prstGeom prst="rect">
          <a:avLst/>
        </a:prstGeom>
        <a:ln>
          <a:noFill/>
        </a:ln>
        <a:effectLst>
          <a:outerShdw blurRad="190500" algn="tl" rotWithShape="0">
            <a:srgbClr val="000000">
              <a:alpha val="70000"/>
            </a:srgbClr>
          </a:outerShdw>
        </a:effec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0.04276</cdr:x>
      <cdr:y>0.88387</cdr:y>
    </cdr:from>
    <cdr:to>
      <cdr:x>0.37221</cdr:x>
      <cdr:y>0.94409</cdr:y>
    </cdr:to>
    <cdr:sp macro="" textlink="">
      <cdr:nvSpPr>
        <cdr:cNvPr id="2" name="1 CuadroTexto"/>
        <cdr:cNvSpPr txBox="1"/>
      </cdr:nvSpPr>
      <cdr:spPr>
        <a:xfrm xmlns:a="http://schemas.openxmlformats.org/drawingml/2006/main">
          <a:off x="419100" y="3914774"/>
          <a:ext cx="32289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t>Fuente: </a:t>
          </a:r>
          <a:r>
            <a:rPr lang="es-DO" sz="1100"/>
            <a:t>Senasa</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13</xdr:row>
      <xdr:rowOff>95251</xdr:rowOff>
    </xdr:from>
    <xdr:to>
      <xdr:col>11</xdr:col>
      <xdr:colOff>676274</xdr:colOff>
      <xdr:row>36</xdr:row>
      <xdr:rowOff>133351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457200</xdr:colOff>
      <xdr:row>0</xdr:row>
      <xdr:rowOff>190500</xdr:rowOff>
    </xdr:from>
    <xdr:to>
      <xdr:col>0</xdr:col>
      <xdr:colOff>994545</xdr:colOff>
      <xdr:row>0</xdr:row>
      <xdr:rowOff>552450</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7200" y="190500"/>
          <a:ext cx="537345" cy="361950"/>
        </a:xfrm>
        <a:prstGeom prst="rect">
          <a:avLst/>
        </a:prstGeom>
        <a:ln>
          <a:noFill/>
        </a:ln>
        <a:effectLst>
          <a:outerShdw blurRad="190500" algn="tl" rotWithShape="0">
            <a:srgbClr val="000000">
              <a:alpha val="70000"/>
            </a:srgbClr>
          </a:outerShdw>
        </a:effectLst>
      </xdr:spPr>
    </xdr:pic>
    <xdr:clientData/>
  </xdr:twoCellAnchor>
  <xdr:twoCellAnchor>
    <xdr:from>
      <xdr:col>5</xdr:col>
      <xdr:colOff>704850</xdr:colOff>
      <xdr:row>5</xdr:row>
      <xdr:rowOff>95250</xdr:rowOff>
    </xdr:from>
    <xdr:to>
      <xdr:col>10</xdr:col>
      <xdr:colOff>419100</xdr:colOff>
      <xdr:row>15</xdr:row>
      <xdr:rowOff>114300</xdr:rowOff>
    </xdr:to>
    <xdr:sp macro="" textlink="">
      <xdr:nvSpPr>
        <xdr:cNvPr id="4" name="3 Explosión 2"/>
        <xdr:cNvSpPr/>
      </xdr:nvSpPr>
      <xdr:spPr>
        <a:xfrm>
          <a:off x="5362575" y="1752600"/>
          <a:ext cx="3524250" cy="1924050"/>
        </a:xfrm>
        <a:prstGeom prst="irregularSeal2">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Cual es la diferencia con la</a:t>
          </a:r>
          <a:r>
            <a:rPr lang="en-US" sz="1100" baseline="0"/>
            <a:t> tabla y el gráfico de la hoja anterior</a:t>
          </a:r>
          <a:endParaRPr lang="en-US" sz="1100"/>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0.04904</cdr:x>
      <cdr:y>0.90302</cdr:y>
    </cdr:from>
    <cdr:to>
      <cdr:x>0.22788</cdr:x>
      <cdr:y>0.99248</cdr:y>
    </cdr:to>
    <cdr:sp macro="" textlink="">
      <cdr:nvSpPr>
        <cdr:cNvPr id="2" name="3 CuadroTexto"/>
        <cdr:cNvSpPr txBox="1"/>
      </cdr:nvSpPr>
      <cdr:spPr>
        <a:xfrm xmlns:a="http://schemas.openxmlformats.org/drawingml/2006/main">
          <a:off x="485775" y="3990974"/>
          <a:ext cx="1771650" cy="3953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a:t>
          </a:r>
          <a:r>
            <a:rPr lang="es-DO" sz="1100" baseline="0"/>
            <a:t> SENASA</a:t>
          </a:r>
          <a:endParaRPr lang="es-DO" sz="1100"/>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13</xdr:row>
      <xdr:rowOff>71437</xdr:rowOff>
    </xdr:from>
    <xdr:to>
      <xdr:col>11</xdr:col>
      <xdr:colOff>695325</xdr:colOff>
      <xdr:row>39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400050</xdr:colOff>
      <xdr:row>0</xdr:row>
      <xdr:rowOff>238125</xdr:rowOff>
    </xdr:from>
    <xdr:to>
      <xdr:col>0</xdr:col>
      <xdr:colOff>933450</xdr:colOff>
      <xdr:row>0</xdr:row>
      <xdr:rowOff>597418</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00050" y="238125"/>
          <a:ext cx="533400" cy="359293"/>
        </a:xfrm>
        <a:prstGeom prst="rect">
          <a:avLst/>
        </a:prstGeom>
        <a:ln>
          <a:noFill/>
        </a:ln>
        <a:effectLst>
          <a:outerShdw blurRad="190500" algn="tl" rotWithShape="0">
            <a:srgbClr val="000000">
              <a:alpha val="70000"/>
            </a:srgbClr>
          </a:outerShdw>
        </a:effec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0.04457</cdr:x>
      <cdr:y>0.87265</cdr:y>
    </cdr:from>
    <cdr:to>
      <cdr:x>0.48879</cdr:x>
      <cdr:y>0.95071</cdr:y>
    </cdr:to>
    <cdr:sp macro="" textlink="">
      <cdr:nvSpPr>
        <cdr:cNvPr id="2" name="3 CuadroTexto"/>
        <cdr:cNvSpPr txBox="1"/>
      </cdr:nvSpPr>
      <cdr:spPr>
        <a:xfrm xmlns:a="http://schemas.openxmlformats.org/drawingml/2006/main">
          <a:off x="450850" y="4384582"/>
          <a:ext cx="4493559" cy="3922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a:t>
          </a:r>
          <a:r>
            <a:rPr lang="es-DO" sz="1100" baseline="0"/>
            <a:t> SENASA</a:t>
          </a:r>
          <a:endParaRPr lang="es-DO" sz="1100"/>
        </a:p>
      </cdr:txBody>
    </cdr:sp>
  </cdr:relSizeAnchor>
</c:userShapes>
</file>

<file path=xl/drawings/drawing9.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13</xdr:row>
      <xdr:rowOff>57150</xdr:rowOff>
    </xdr:from>
    <xdr:to>
      <xdr:col>21</xdr:col>
      <xdr:colOff>676274</xdr:colOff>
      <xdr:row>36</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390525</xdr:colOff>
      <xdr:row>0</xdr:row>
      <xdr:rowOff>123825</xdr:rowOff>
    </xdr:from>
    <xdr:to>
      <xdr:col>1</xdr:col>
      <xdr:colOff>190500</xdr:colOff>
      <xdr:row>0</xdr:row>
      <xdr:rowOff>534445</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5" y="123825"/>
          <a:ext cx="609600" cy="410620"/>
        </a:xfrm>
        <a:prstGeom prst="rect">
          <a:avLst/>
        </a:prstGeom>
        <a:ln>
          <a:noFill/>
        </a:ln>
        <a:effectLst>
          <a:outerShdw blurRad="190500" algn="tl" rotWithShape="0">
            <a:srgbClr val="000000">
              <a:alpha val="70000"/>
            </a:srgbClr>
          </a:outerShdw>
        </a:effec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0.05551</cdr:x>
      <cdr:y>0.89079</cdr:y>
    </cdr:from>
    <cdr:to>
      <cdr:x>0.28802</cdr:x>
      <cdr:y>0.9861</cdr:y>
    </cdr:to>
    <cdr:sp macro="" textlink="">
      <cdr:nvSpPr>
        <cdr:cNvPr id="2" name="3 CuadroTexto"/>
        <cdr:cNvSpPr txBox="1"/>
      </cdr:nvSpPr>
      <cdr:spPr>
        <a:xfrm xmlns:a="http://schemas.openxmlformats.org/drawingml/2006/main">
          <a:off x="622300" y="3962400"/>
          <a:ext cx="2606675" cy="4239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b="1" baseline="0"/>
            <a:t> </a:t>
          </a:r>
          <a:r>
            <a:rPr lang="es-DO" sz="1100" baseline="0"/>
            <a:t>SENASA</a:t>
          </a:r>
          <a:endParaRPr lang="es-DO" sz="1100"/>
        </a:p>
      </cdr:txBody>
    </cdr:sp>
  </cdr:relSizeAnchor>
</c:userShapes>
</file>

<file path=xl/drawings/drawing92.xml><?xml version="1.0" encoding="utf-8"?>
<xdr:wsDr xmlns:xdr="http://schemas.openxmlformats.org/drawingml/2006/spreadsheetDrawing" xmlns:a="http://schemas.openxmlformats.org/drawingml/2006/main">
  <xdr:twoCellAnchor>
    <xdr:from>
      <xdr:col>4</xdr:col>
      <xdr:colOff>7844</xdr:colOff>
      <xdr:row>2</xdr:row>
      <xdr:rowOff>4202</xdr:rowOff>
    </xdr:from>
    <xdr:to>
      <xdr:col>14</xdr:col>
      <xdr:colOff>683559</xdr:colOff>
      <xdr:row>42</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347383</xdr:colOff>
      <xdr:row>0</xdr:row>
      <xdr:rowOff>156881</xdr:rowOff>
    </xdr:from>
    <xdr:to>
      <xdr:col>0</xdr:col>
      <xdr:colOff>1019735</xdr:colOff>
      <xdr:row>0</xdr:row>
      <xdr:rowOff>609770</xdr:rowOff>
    </xdr:to>
    <xdr:pic>
      <xdr:nvPicPr>
        <xdr:cNvPr id="3"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47383" y="156881"/>
          <a:ext cx="672352" cy="452889"/>
        </a:xfrm>
        <a:prstGeom prst="rect">
          <a:avLst/>
        </a:prstGeom>
        <a:ln>
          <a:noFill/>
        </a:ln>
        <a:effectLst>
          <a:outerShdw blurRad="190500" algn="tl" rotWithShape="0">
            <a:srgbClr val="000000">
              <a:alpha val="70000"/>
            </a:srgbClr>
          </a:outerShdw>
        </a:effectLst>
      </xdr:spPr>
    </xdr:pic>
    <xdr:clientData/>
  </xdr:twoCellAnchor>
</xdr:wsDr>
</file>

<file path=xl/drawings/drawing93.xml><?xml version="1.0" encoding="utf-8"?>
<c:userShapes xmlns:c="http://schemas.openxmlformats.org/drawingml/2006/chart">
  <cdr:relSizeAnchor xmlns:cdr="http://schemas.openxmlformats.org/drawingml/2006/chartDrawing">
    <cdr:from>
      <cdr:x>0.13985</cdr:x>
      <cdr:y>0.91288</cdr:y>
    </cdr:from>
    <cdr:to>
      <cdr:x>0.68153</cdr:x>
      <cdr:y>0.96743</cdr:y>
    </cdr:to>
    <cdr:sp macro="" textlink="">
      <cdr:nvSpPr>
        <cdr:cNvPr id="2" name="3 CuadroTexto"/>
        <cdr:cNvSpPr txBox="1"/>
      </cdr:nvSpPr>
      <cdr:spPr>
        <a:xfrm xmlns:a="http://schemas.openxmlformats.org/drawingml/2006/main">
          <a:off x="1160183" y="7453570"/>
          <a:ext cx="4493559" cy="4453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a:t>
          </a:r>
          <a:r>
            <a:rPr lang="es-DO" sz="1100" baseline="0"/>
            <a:t> SENASA</a:t>
          </a:r>
          <a:endParaRPr lang="es-DO" sz="1100"/>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24</xdr:row>
      <xdr:rowOff>67235</xdr:rowOff>
    </xdr:from>
    <xdr:to>
      <xdr:col>12</xdr:col>
      <xdr:colOff>683559</xdr:colOff>
      <xdr:row>63</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0.03238</cdr:x>
      <cdr:y>0.94632</cdr:y>
    </cdr:from>
    <cdr:to>
      <cdr:x>0.18421</cdr:x>
      <cdr:y>1</cdr:y>
    </cdr:to>
    <cdr:sp macro="" textlink="">
      <cdr:nvSpPr>
        <cdr:cNvPr id="2" name="3 CuadroTexto"/>
        <cdr:cNvSpPr txBox="1"/>
      </cdr:nvSpPr>
      <cdr:spPr>
        <a:xfrm xmlns:a="http://schemas.openxmlformats.org/drawingml/2006/main">
          <a:off x="330947" y="6914030"/>
          <a:ext cx="1551641" cy="3922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a:t>
          </a:r>
          <a:r>
            <a:rPr lang="es-DO" sz="1100" baseline="0"/>
            <a:t> SENASA</a:t>
          </a:r>
          <a:endParaRPr lang="es-DO" sz="1100"/>
        </a:p>
      </cdr:txBody>
    </cdr:sp>
  </cdr:relSizeAnchor>
</c:userShapes>
</file>

<file path=xl/drawings/drawing96.xml><?xml version="1.0" encoding="utf-8"?>
<xdr:wsDr xmlns:xdr="http://schemas.openxmlformats.org/drawingml/2006/spreadsheetDrawing" xmlns:a="http://schemas.openxmlformats.org/drawingml/2006/main">
  <xdr:oneCellAnchor>
    <xdr:from>
      <xdr:col>0</xdr:col>
      <xdr:colOff>575846</xdr:colOff>
      <xdr:row>0</xdr:row>
      <xdr:rowOff>244930</xdr:rowOff>
    </xdr:from>
    <xdr:ext cx="873552" cy="707570"/>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5846" y="244930"/>
          <a:ext cx="873552" cy="707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40821</xdr:colOff>
      <xdr:row>13</xdr:row>
      <xdr:rowOff>54428</xdr:rowOff>
    </xdr:from>
    <xdr:to>
      <xdr:col>10</xdr:col>
      <xdr:colOff>1782536</xdr:colOff>
      <xdr:row>50</xdr:row>
      <xdr:rowOff>190499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0.06839</cdr:x>
      <cdr:y>0.91969</cdr:y>
    </cdr:from>
    <cdr:to>
      <cdr:x>0.2366</cdr:x>
      <cdr:y>0.97706</cdr:y>
    </cdr:to>
    <cdr:sp macro="" textlink="">
      <cdr:nvSpPr>
        <cdr:cNvPr id="2" name="1 CuadroTexto"/>
        <cdr:cNvSpPr txBox="1"/>
      </cdr:nvSpPr>
      <cdr:spPr>
        <a:xfrm xmlns:a="http://schemas.openxmlformats.org/drawingml/2006/main">
          <a:off x="1006930" y="6545037"/>
          <a:ext cx="2476500" cy="408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200" b="1"/>
            <a:t>Fuente: </a:t>
          </a:r>
          <a:r>
            <a:rPr lang="es-DO" sz="1200"/>
            <a:t>Página</a:t>
          </a:r>
          <a:r>
            <a:rPr lang="es-DO" sz="1200" baseline="0"/>
            <a:t> web de la SiSALRIL</a:t>
          </a:r>
          <a:endParaRPr lang="es-DO" sz="1200"/>
        </a:p>
      </cdr:txBody>
    </cdr:sp>
  </cdr:relSizeAnchor>
</c:userShapes>
</file>

<file path=xl/drawings/drawing98.xml><?xml version="1.0" encoding="utf-8"?>
<xdr:wsDr xmlns:xdr="http://schemas.openxmlformats.org/drawingml/2006/spreadsheetDrawing" xmlns:a="http://schemas.openxmlformats.org/drawingml/2006/main">
  <xdr:twoCellAnchor>
    <xdr:from>
      <xdr:col>2</xdr:col>
      <xdr:colOff>415635</xdr:colOff>
      <xdr:row>4</xdr:row>
      <xdr:rowOff>69271</xdr:rowOff>
    </xdr:from>
    <xdr:to>
      <xdr:col>12</xdr:col>
      <xdr:colOff>571498</xdr:colOff>
      <xdr:row>50</xdr:row>
      <xdr:rowOff>34636</xdr:rowOff>
    </xdr:to>
    <xdr:pic>
      <xdr:nvPicPr>
        <xdr:cNvPr id="5" name="Imagen 3" descr="C:\Documents and Settings\amaury.gonzalez\Escritorio\CNSS.jpg"/>
        <xdr:cNvPicPr>
          <a:picLocks noChangeAspect="1" noChangeArrowheads="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34200" t="10352" r="33800" b="39458"/>
        <a:stretch/>
      </xdr:blipFill>
      <xdr:spPr bwMode="auto">
        <a:xfrm>
          <a:off x="1974271" y="831271"/>
          <a:ext cx="8001000" cy="8728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0</xdr:row>
      <xdr:rowOff>17318</xdr:rowOff>
    </xdr:from>
    <xdr:to>
      <xdr:col>15</xdr:col>
      <xdr:colOff>761999</xdr:colOff>
      <xdr:row>52</xdr:row>
      <xdr:rowOff>155864</xdr:rowOff>
    </xdr:to>
    <xdr:sp macro="" textlink="">
      <xdr:nvSpPr>
        <xdr:cNvPr id="3" name="2 CuadroTexto"/>
        <xdr:cNvSpPr txBox="1"/>
      </xdr:nvSpPr>
      <xdr:spPr>
        <a:xfrm>
          <a:off x="69273" y="17318"/>
          <a:ext cx="12434453" cy="10044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DO" sz="7200" b="1" i="0" u="none" strike="noStrike" kern="0" cap="none" spc="0" normalizeH="0" baseline="0" noProof="0">
              <a:ln>
                <a:noFill/>
              </a:ln>
              <a:solidFill>
                <a:srgbClr val="9BBB59">
                  <a:lumMod val="50000"/>
                </a:srgbClr>
              </a:solidFill>
              <a:effectLst/>
              <a:uLnTx/>
              <a:uFillTx/>
              <a:latin typeface="+mn-lt"/>
              <a:ea typeface="+mn-ea"/>
              <a:cs typeface="+mn-cs"/>
            </a:rPr>
            <a:t>(SFS)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DO" sz="7200" b="1" i="0" u="none" strike="noStrike" kern="0" cap="none" spc="0" normalizeH="0" baseline="0" noProof="0">
              <a:ln>
                <a:noFill/>
              </a:ln>
              <a:solidFill>
                <a:srgbClr val="9BBB59">
                  <a:lumMod val="50000"/>
                </a:srgbClr>
              </a:solidFill>
              <a:effectLst/>
              <a:uLnTx/>
              <a:uFillTx/>
              <a:latin typeface="+mn-lt"/>
              <a:ea typeface="+mn-ea"/>
              <a:cs typeface="+mn-cs"/>
            </a:rPr>
            <a:t>Seguro Familiar de Salud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DO" sz="7200" b="1" i="0" u="none" strike="noStrike" kern="0" cap="none" spc="0" normalizeH="0" baseline="0" noProof="0">
              <a:ln>
                <a:noFill/>
              </a:ln>
              <a:solidFill>
                <a:srgbClr val="9BBB59">
                  <a:lumMod val="50000"/>
                </a:srgbClr>
              </a:solidFill>
              <a:effectLst/>
              <a:uLnTx/>
              <a:uFillTx/>
              <a:latin typeface="+mn-lt"/>
              <a:ea typeface="+mn-ea"/>
              <a:cs typeface="+mn-cs"/>
            </a:rPr>
            <a:t>Régimen Subsidiado</a:t>
          </a:r>
        </a:p>
        <a:p>
          <a:pPr eaLnBrk="1" fontAlgn="auto" latinLnBrk="0" hangingPunct="1"/>
          <a:endParaRPr lang="es-DO" sz="6600">
            <a:effectLst/>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15</xdr:row>
      <xdr:rowOff>123265</xdr:rowOff>
    </xdr:from>
    <xdr:to>
      <xdr:col>13</xdr:col>
      <xdr:colOff>1624853</xdr:colOff>
      <xdr:row>40</xdr:row>
      <xdr:rowOff>78442</xdr:rowOff>
    </xdr:to>
    <xdr:graphicFrame macro="">
      <xdr:nvGraphicFramePr>
        <xdr:cNvPr id="152746"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0</xdr:row>
      <xdr:rowOff>179294</xdr:rowOff>
    </xdr:from>
    <xdr:to>
      <xdr:col>1</xdr:col>
      <xdr:colOff>773205</xdr:colOff>
      <xdr:row>0</xdr:row>
      <xdr:rowOff>739588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750794" y="179294"/>
          <a:ext cx="750793" cy="560294"/>
        </a:xfrm>
        <a:prstGeom prst="rect">
          <a:avLst/>
        </a:prstGeom>
        <a:ln>
          <a:noFill/>
        </a:ln>
        <a:effectLst>
          <a:outerShdw blurRad="190500" algn="tl" rotWithShape="0">
            <a:srgbClr val="000000">
              <a:alpha val="7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g\05.%20Informe%20SDSS\2010\Informe%20Enero-%20Abril%202010\Enero-Abril%202010\Boletin%20No.1%20A&#241;o%202010\Versiones%20del%20bolelin\Boletin%20y%20BD\EXCEL\Copy%20of%20Base%20de%20datos%20definitiva%2002-19-2010%20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beliza.rivas\Local%20Settings\Temporary%20Internet%20Files\Content.Outlook\8M17EO26\Libro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eliza.rivas\Desktop\Copia%20de%201a.%20Estad&#237;sticas%20del%20SDSS%202002-2011%20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g\02.%20Estadisticas\00.%20Matriz%20del%20sistema\1.%20Matriz%20General\1a.%20Estad&#237;sticas%20del%20SDSS%202002-2011%20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Estad&#237;sticas%20del%20SDSS%202002-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g\05.%20Informe%20SDSS\2011\Material%20Bolet&#237;n\EStad&#237;sticas%20Bolet&#237;n%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g\Afiliados%20por%20A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gilma.santana\Desktop\Copia%20de%20Boletin%20Abri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Ramon_Frias\Desktop\2010%20%20%20Formato%20de%20Nueva%20%20Dispersi&#243;n%20Diaria%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ig\02.%20Estadisticas\01.%20Estadistica%20del%20Sistema\1.%20Matriz%20General\1a.%20Estad&#237;sticas%20del%20SDSS%202002-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S - RS"/>
      <sheetName val="Orden del Boletin"/>
      <sheetName val="TSS Contributivo"/>
      <sheetName val="TSS Subsidiado."/>
      <sheetName val="Proy -Afiliación total"/>
      <sheetName val="SDSS"/>
      <sheetName val="SVDS "/>
      <sheetName val="Empresas"/>
      <sheetName val="SFS-RC"/>
      <sheetName val="RL"/>
      <sheetName val="EI"/>
      <sheetName val="CMR 2"/>
      <sheetName val="Otros"/>
      <sheetName val="Solic. Pens."/>
      <sheetName val="Decreto 342-09"/>
      <sheetName val="Provincia Población"/>
      <sheetName val="Hoja1"/>
      <sheetName val="G.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6">
          <cell r="C96">
            <v>1687099942.1400001</v>
          </cell>
        </row>
        <row r="122">
          <cell r="BK122">
            <v>1687099942.1400001</v>
          </cell>
          <cell r="BL122">
            <v>73407508.640000001</v>
          </cell>
          <cell r="BM122">
            <v>11097268.350000001</v>
          </cell>
        </row>
        <row r="290">
          <cell r="J290">
            <v>1223094.78</v>
          </cell>
        </row>
        <row r="291">
          <cell r="J291">
            <v>614996</v>
          </cell>
        </row>
        <row r="292">
          <cell r="J292">
            <v>206426</v>
          </cell>
        </row>
        <row r="293">
          <cell r="J293">
            <v>46875</v>
          </cell>
        </row>
        <row r="294">
          <cell r="J294">
            <v>38255</v>
          </cell>
        </row>
        <row r="295">
          <cell r="J295">
            <v>1119310</v>
          </cell>
        </row>
        <row r="296">
          <cell r="J296">
            <v>1076754</v>
          </cell>
        </row>
        <row r="297">
          <cell r="J297">
            <v>2571227</v>
          </cell>
        </row>
        <row r="298">
          <cell r="J298">
            <v>98000</v>
          </cell>
        </row>
        <row r="299">
          <cell r="J299">
            <v>2116143.4</v>
          </cell>
        </row>
        <row r="300">
          <cell r="J300">
            <v>1119950</v>
          </cell>
        </row>
        <row r="301">
          <cell r="J301">
            <v>10231031.18</v>
          </cell>
        </row>
        <row r="306">
          <cell r="F306">
            <v>3874130</v>
          </cell>
        </row>
        <row r="307">
          <cell r="F307">
            <v>6478355</v>
          </cell>
        </row>
        <row r="308">
          <cell r="F308">
            <v>9832872</v>
          </cell>
        </row>
        <row r="309">
          <cell r="F309">
            <v>8812112</v>
          </cell>
        </row>
        <row r="310">
          <cell r="F310">
            <v>9400649</v>
          </cell>
        </row>
        <row r="311">
          <cell r="F311">
            <v>8317545</v>
          </cell>
        </row>
        <row r="312">
          <cell r="F312">
            <v>8663513</v>
          </cell>
        </row>
        <row r="313">
          <cell r="F313">
            <v>11258070</v>
          </cell>
        </row>
        <row r="314">
          <cell r="F314">
            <v>7778456</v>
          </cell>
        </row>
        <row r="315">
          <cell r="F315">
            <v>10001066</v>
          </cell>
        </row>
        <row r="316">
          <cell r="F316">
            <v>6762455</v>
          </cell>
          <cell r="BP316">
            <v>808326.34</v>
          </cell>
        </row>
        <row r="317">
          <cell r="BP317">
            <v>495297.79</v>
          </cell>
        </row>
        <row r="318">
          <cell r="F318">
            <v>91179223</v>
          </cell>
          <cell r="BP318">
            <v>514083.71</v>
          </cell>
        </row>
        <row r="319">
          <cell r="BP319">
            <v>542588.81000000006</v>
          </cell>
        </row>
        <row r="320">
          <cell r="BP320">
            <v>493308.81</v>
          </cell>
        </row>
        <row r="321">
          <cell r="BP321">
            <v>493308.01</v>
          </cell>
        </row>
        <row r="322">
          <cell r="BP322">
            <v>510638.23</v>
          </cell>
        </row>
        <row r="323">
          <cell r="BP323">
            <v>910094.88</v>
          </cell>
        </row>
        <row r="324">
          <cell r="BP324">
            <v>1277902.5900000001</v>
          </cell>
        </row>
        <row r="325">
          <cell r="BP325">
            <v>634165.11</v>
          </cell>
        </row>
        <row r="326">
          <cell r="BP326">
            <v>888214.91</v>
          </cell>
        </row>
        <row r="367">
          <cell r="D367">
            <v>209</v>
          </cell>
          <cell r="E367">
            <v>436</v>
          </cell>
          <cell r="F367">
            <v>877695.23</v>
          </cell>
        </row>
        <row r="368">
          <cell r="D368">
            <v>216</v>
          </cell>
          <cell r="E368">
            <v>454</v>
          </cell>
          <cell r="F368">
            <v>992627.75</v>
          </cell>
        </row>
        <row r="369">
          <cell r="D369">
            <v>233</v>
          </cell>
          <cell r="E369">
            <v>470</v>
          </cell>
          <cell r="F369">
            <v>1634121.86</v>
          </cell>
        </row>
        <row r="370">
          <cell r="D370">
            <v>235</v>
          </cell>
          <cell r="E370">
            <v>478</v>
          </cell>
          <cell r="F370">
            <v>779568.29</v>
          </cell>
        </row>
        <row r="371">
          <cell r="D371">
            <v>244</v>
          </cell>
          <cell r="E371">
            <v>487</v>
          </cell>
          <cell r="F371">
            <v>1243211.67</v>
          </cell>
        </row>
        <row r="372">
          <cell r="D372">
            <v>254</v>
          </cell>
          <cell r="E372">
            <v>528</v>
          </cell>
          <cell r="F372">
            <v>2522691.44</v>
          </cell>
        </row>
        <row r="373">
          <cell r="D373">
            <v>272</v>
          </cell>
          <cell r="E373">
            <v>538</v>
          </cell>
          <cell r="F373">
            <v>1358174.81</v>
          </cell>
        </row>
        <row r="374">
          <cell r="D374">
            <v>272</v>
          </cell>
          <cell r="E374">
            <v>542</v>
          </cell>
          <cell r="F374">
            <v>1043127.25</v>
          </cell>
        </row>
        <row r="375">
          <cell r="D375">
            <v>296</v>
          </cell>
          <cell r="E375">
            <v>562</v>
          </cell>
          <cell r="F375">
            <v>2284757.4700000002</v>
          </cell>
        </row>
        <row r="376">
          <cell r="D376">
            <v>293</v>
          </cell>
          <cell r="E376">
            <v>573</v>
          </cell>
          <cell r="F376">
            <v>1408841.71</v>
          </cell>
        </row>
        <row r="377">
          <cell r="D377">
            <v>300</v>
          </cell>
          <cell r="E377">
            <v>591</v>
          </cell>
          <cell r="F377">
            <v>1181305.04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ón"/>
      <sheetName val="Región (2)"/>
      <sheetName val="VII.1 CMR"/>
      <sheetName val="Región1"/>
      <sheetName val="Región1 (2)"/>
      <sheetName val="Apelaciones1"/>
      <sheetName val="Apelaciones2"/>
    </sheetNames>
    <sheetDataSet>
      <sheetData sheetId="0"/>
      <sheetData sheetId="1"/>
      <sheetData sheetId="2">
        <row r="3">
          <cell r="B3" t="str">
            <v xml:space="preserve"> Solicitudes de Evaluación</v>
          </cell>
        </row>
      </sheetData>
      <sheetData sheetId="3">
        <row r="3">
          <cell r="B3" t="str">
            <v>Solicitudes Totales</v>
          </cell>
        </row>
        <row r="13">
          <cell r="B13">
            <v>7556</v>
          </cell>
          <cell r="C13">
            <v>5618</v>
          </cell>
        </row>
      </sheetData>
      <sheetData sheetId="4"/>
      <sheetData sheetId="5">
        <row r="3">
          <cell r="B3" t="str">
            <v>Afiliado</v>
          </cell>
        </row>
      </sheetData>
      <sheetData sheetId="6">
        <row r="3">
          <cell r="B3" t="str">
            <v>Revisado validado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Cuidado salud"/>
      <sheetName val="Dispersión por AFP's"/>
      <sheetName val="Dispersión por ARS"/>
      <sheetName val="Proyección"/>
      <sheetName val="RCIF"/>
      <sheetName val="Hoja1"/>
      <sheetName val="Recaudos y gastos TSS 03-08"/>
      <sheetName val="Certif. Finan.R.C m"/>
      <sheetName val="Certif. Finan.R.C j"/>
      <sheetName val="Cert. Finan. R.S. "/>
      <sheetName val="Cert. Finan R.C.S."/>
      <sheetName val="FSS SIPEN"/>
      <sheetName val="Definiciones riesgos"/>
      <sheetName val="Cartera Inv."/>
      <sheetName val="Rentab. Nominal"/>
      <sheetName val="Hoja2"/>
    </sheetNames>
    <sheetDataSet>
      <sheetData sheetId="0" refreshError="1"/>
      <sheetData sheetId="1"/>
      <sheetData sheetId="2"/>
      <sheetData sheetId="3" refreshError="1"/>
      <sheetData sheetId="4"/>
      <sheetData sheetId="5" refreshError="1"/>
      <sheetData sheetId="6" refreshError="1"/>
      <sheetData sheetId="7">
        <row r="178">
          <cell r="D178">
            <v>11217488.195331346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Cuidado salud"/>
      <sheetName val="Dispersión por AFP's"/>
      <sheetName val="Dispersión por ARS"/>
      <sheetName val="RCIF"/>
      <sheetName val="Hoja1"/>
      <sheetName val="Tabla poblacional"/>
      <sheetName val="Recaudos y gastos TSS 03-08"/>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ección DM 2011"/>
      <sheetName val="Población total RD"/>
      <sheetName val="Hombres"/>
      <sheetName val="Mujeres"/>
      <sheetName val="Proyección DM.2008"/>
      <sheetName val="Proy. Provincias"/>
      <sheetName val="Afil. SFS x Prov x Sector"/>
      <sheetName val="Proy. Provincias (2)"/>
    </sheetNames>
    <sheetDataSet>
      <sheetData sheetId="0" refreshError="1"/>
      <sheetData sheetId="1" refreshError="1">
        <row r="115">
          <cell r="DW115">
            <v>2545254</v>
          </cell>
          <cell r="DX115">
            <v>1217991</v>
          </cell>
        </row>
        <row r="121">
          <cell r="V121">
            <v>679951152.83999991</v>
          </cell>
        </row>
      </sheetData>
      <sheetData sheetId="2" refreshError="1">
        <row r="117">
          <cell r="P117">
            <v>2004773</v>
          </cell>
          <cell r="Q117">
            <v>889908</v>
          </cell>
          <cell r="R117">
            <v>1114865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Dispersión por ARS"/>
      <sheetName val="Rec.xsector"/>
      <sheetName val="Aportes"/>
      <sheetName val="Efectivo Recibido X Rubros"/>
      <sheetName val="Dispersión por AFP's"/>
      <sheetName val="Ind. Pobrez."/>
      <sheetName val="Cuidado salud"/>
      <sheetName val="CSP"/>
      <sheetName val="Cuidado S.Personas REC &amp; Pagos"/>
      <sheetName val="RCIF"/>
      <sheetName val="Hoja1"/>
      <sheetName val="Recaudos y gastos TSS 03-08"/>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Proye."/>
      <sheetName val="Hoja5"/>
      <sheetName val="Total. Población"/>
      <sheetName val="Hoja6"/>
    </sheetNames>
    <sheetDataSet>
      <sheetData sheetId="0"/>
      <sheetData sheetId="1">
        <row r="161">
          <cell r="E161">
            <v>69920892914.539993</v>
          </cell>
          <cell r="BE161">
            <v>70212118559.800003</v>
          </cell>
        </row>
      </sheetData>
      <sheetData sheetId="2">
        <row r="163">
          <cell r="D163">
            <v>6839999499</v>
          </cell>
          <cell r="H163">
            <v>7378610518.96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ertura SDSS"/>
      <sheetName val="Afiliación"/>
      <sheetName val="Egreso Ingreso"/>
      <sheetName val="CMR"/>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 SFS x ARS"/>
      <sheetName val="Afil. SFS x Región x Sector"/>
      <sheetName val="Afil. SFS x Región x Edad"/>
      <sheetName val="Afil. SFS x Prov y Edad"/>
      <sheetName val="Afil. SFS x Prov x Sector"/>
      <sheetName val="Afil. SFS x Prov. EPriv"/>
      <sheetName val="Afil. SFS x Prov EPub D "/>
      <sheetName val="Afil. SFS x Prov. EPub.C"/>
      <sheetName val="Afil. SFS x Prov. Art. 124 Ley"/>
      <sheetName val="Comparativo afil. x edad"/>
      <sheetName val="Comparativo afil. x región"/>
      <sheetName val="Hoja1"/>
    </sheetNames>
    <sheetDataSet>
      <sheetData sheetId="0">
        <row r="3">
          <cell r="B3" t="str">
            <v xml:space="preserve">0-4  </v>
          </cell>
          <cell r="C3" t="str">
            <v>5-14</v>
          </cell>
          <cell r="D3" t="str">
            <v>15-24</v>
          </cell>
          <cell r="E3" t="str">
            <v>25-34</v>
          </cell>
          <cell r="F3" t="str">
            <v>35-44</v>
          </cell>
          <cell r="G3" t="str">
            <v>45-54</v>
          </cell>
          <cell r="H3" t="str">
            <v>55-64</v>
          </cell>
          <cell r="I3" t="str">
            <v xml:space="preserve"> 65 y más</v>
          </cell>
        </row>
        <row r="4">
          <cell r="A4" t="str">
            <v>ARS HUMANO</v>
          </cell>
          <cell r="B4">
            <v>84540</v>
          </cell>
          <cell r="C4">
            <v>162909</v>
          </cell>
          <cell r="D4">
            <v>124060</v>
          </cell>
          <cell r="E4">
            <v>171034</v>
          </cell>
          <cell r="F4">
            <v>135601</v>
          </cell>
          <cell r="G4">
            <v>74500</v>
          </cell>
          <cell r="H4">
            <v>37710</v>
          </cell>
          <cell r="I4">
            <v>21944</v>
          </cell>
        </row>
        <row r="5">
          <cell r="A5" t="str">
            <v>ARS SENASA</v>
          </cell>
          <cell r="B5">
            <v>25929</v>
          </cell>
          <cell r="C5">
            <v>80375</v>
          </cell>
          <cell r="D5">
            <v>57821</v>
          </cell>
          <cell r="E5">
            <v>52369</v>
          </cell>
          <cell r="F5">
            <v>64743</v>
          </cell>
          <cell r="G5">
            <v>66621</v>
          </cell>
          <cell r="H5">
            <v>43644</v>
          </cell>
          <cell r="I5">
            <v>29974</v>
          </cell>
        </row>
        <row r="6">
          <cell r="A6" t="str">
            <v>ARS PALIC-SALUD</v>
          </cell>
          <cell r="B6">
            <v>36360</v>
          </cell>
          <cell r="C6">
            <v>69672</v>
          </cell>
          <cell r="D6">
            <v>48789</v>
          </cell>
          <cell r="E6">
            <v>74438</v>
          </cell>
          <cell r="F6">
            <v>43499</v>
          </cell>
          <cell r="G6">
            <v>29347</v>
          </cell>
          <cell r="H6">
            <v>14927</v>
          </cell>
          <cell r="I6">
            <v>9735</v>
          </cell>
        </row>
        <row r="7">
          <cell r="A7" t="str">
            <v>ARS UNIVERSAL, S.A.</v>
          </cell>
          <cell r="B7">
            <v>28453</v>
          </cell>
          <cell r="C7">
            <v>54511</v>
          </cell>
          <cell r="D7">
            <v>35734</v>
          </cell>
          <cell r="E7">
            <v>57459</v>
          </cell>
          <cell r="F7">
            <v>43950</v>
          </cell>
          <cell r="G7">
            <v>25292</v>
          </cell>
          <cell r="H7">
            <v>12948</v>
          </cell>
          <cell r="I7">
            <v>8170</v>
          </cell>
        </row>
        <row r="8">
          <cell r="A8" t="str">
            <v>ARS SALUD SEGURA</v>
          </cell>
          <cell r="B8">
            <v>8694</v>
          </cell>
          <cell r="C8">
            <v>22021</v>
          </cell>
          <cell r="D8">
            <v>18261</v>
          </cell>
          <cell r="E8">
            <v>31311</v>
          </cell>
          <cell r="F8">
            <v>25500</v>
          </cell>
          <cell r="G8">
            <v>15477</v>
          </cell>
          <cell r="H8">
            <v>7587</v>
          </cell>
          <cell r="I8">
            <v>2682</v>
          </cell>
        </row>
        <row r="9">
          <cell r="A9" t="str">
            <v>ARS SEMMA</v>
          </cell>
          <cell r="B9">
            <v>5797</v>
          </cell>
          <cell r="C9">
            <v>25642</v>
          </cell>
          <cell r="D9">
            <v>16264</v>
          </cell>
          <cell r="E9">
            <v>9063</v>
          </cell>
          <cell r="F9">
            <v>21084</v>
          </cell>
          <cell r="G9">
            <v>26631</v>
          </cell>
          <cell r="H9">
            <v>11736</v>
          </cell>
          <cell r="I9">
            <v>2560</v>
          </cell>
        </row>
        <row r="10">
          <cell r="A10" t="str">
            <v>ARS SERVICIOS DOMINICANOS DE SALUD</v>
          </cell>
          <cell r="B10">
            <v>6591</v>
          </cell>
          <cell r="C10">
            <v>14929</v>
          </cell>
          <cell r="D10">
            <v>12154</v>
          </cell>
          <cell r="E10">
            <v>13799</v>
          </cell>
          <cell r="F10">
            <v>12475</v>
          </cell>
          <cell r="G10">
            <v>8415</v>
          </cell>
          <cell r="H10">
            <v>4665</v>
          </cell>
          <cell r="I10">
            <v>3030</v>
          </cell>
        </row>
        <row r="11">
          <cell r="A11" t="str">
            <v>ARS LA COLONIAL</v>
          </cell>
          <cell r="B11">
            <v>3869</v>
          </cell>
          <cell r="C11">
            <v>9145</v>
          </cell>
          <cell r="D11">
            <v>5967</v>
          </cell>
          <cell r="E11">
            <v>8105</v>
          </cell>
          <cell r="F11">
            <v>8061</v>
          </cell>
          <cell r="G11">
            <v>6555</v>
          </cell>
          <cell r="H11">
            <v>3961</v>
          </cell>
          <cell r="I11">
            <v>2599</v>
          </cell>
        </row>
        <row r="12">
          <cell r="A12" t="str">
            <v>ARS FUTURO S. A.</v>
          </cell>
          <cell r="B12">
            <v>2658</v>
          </cell>
          <cell r="C12">
            <v>5477</v>
          </cell>
          <cell r="D12">
            <v>15288</v>
          </cell>
          <cell r="E12">
            <v>10133</v>
          </cell>
          <cell r="F12">
            <v>6826</v>
          </cell>
          <cell r="G12">
            <v>3634</v>
          </cell>
          <cell r="H12">
            <v>1816</v>
          </cell>
          <cell r="I12">
            <v>905</v>
          </cell>
        </row>
        <row r="13">
          <cell r="A13" t="str">
            <v>ARS SIMAG</v>
          </cell>
          <cell r="B13">
            <v>3687</v>
          </cell>
          <cell r="C13">
            <v>8901</v>
          </cell>
          <cell r="D13">
            <v>7943</v>
          </cell>
          <cell r="E13">
            <v>7299</v>
          </cell>
          <cell r="F13">
            <v>6334</v>
          </cell>
          <cell r="G13">
            <v>4640</v>
          </cell>
          <cell r="H13">
            <v>2636</v>
          </cell>
          <cell r="I13">
            <v>1339</v>
          </cell>
        </row>
        <row r="14">
          <cell r="A14" t="str">
            <v>ARS DR. YUNEN, S. A.</v>
          </cell>
          <cell r="B14">
            <v>3128</v>
          </cell>
          <cell r="C14">
            <v>6385</v>
          </cell>
          <cell r="D14">
            <v>6180</v>
          </cell>
          <cell r="E14">
            <v>7421</v>
          </cell>
          <cell r="F14">
            <v>5308</v>
          </cell>
          <cell r="G14">
            <v>3279</v>
          </cell>
          <cell r="H14">
            <v>1608</v>
          </cell>
          <cell r="I14">
            <v>648</v>
          </cell>
        </row>
        <row r="15">
          <cell r="A15" t="str">
            <v>ARS RENACER</v>
          </cell>
          <cell r="B15">
            <v>1595</v>
          </cell>
          <cell r="C15">
            <v>3179</v>
          </cell>
          <cell r="D15">
            <v>9536</v>
          </cell>
          <cell r="E15">
            <v>6698</v>
          </cell>
          <cell r="F15">
            <v>4351</v>
          </cell>
          <cell r="G15">
            <v>2840</v>
          </cell>
          <cell r="H15">
            <v>1377</v>
          </cell>
          <cell r="I15">
            <v>587</v>
          </cell>
        </row>
        <row r="16">
          <cell r="A16" t="str">
            <v>ARS RESERVAS</v>
          </cell>
          <cell r="B16">
            <v>1972</v>
          </cell>
          <cell r="C16">
            <v>4302</v>
          </cell>
          <cell r="D16">
            <v>2917</v>
          </cell>
          <cell r="E16">
            <v>3596</v>
          </cell>
          <cell r="F16">
            <v>3565</v>
          </cell>
          <cell r="G16">
            <v>2654</v>
          </cell>
          <cell r="H16">
            <v>1771</v>
          </cell>
          <cell r="I16">
            <v>2009</v>
          </cell>
        </row>
        <row r="17">
          <cell r="A17" t="str">
            <v>ARS ASEMAP</v>
          </cell>
          <cell r="B17">
            <v>1505</v>
          </cell>
          <cell r="C17">
            <v>3381</v>
          </cell>
          <cell r="D17">
            <v>4464</v>
          </cell>
          <cell r="E17">
            <v>4374</v>
          </cell>
          <cell r="F17">
            <v>3206</v>
          </cell>
          <cell r="G17">
            <v>1941</v>
          </cell>
          <cell r="H17">
            <v>961</v>
          </cell>
          <cell r="I17">
            <v>419</v>
          </cell>
        </row>
        <row r="18">
          <cell r="A18" t="str">
            <v>ARS APS</v>
          </cell>
          <cell r="B18">
            <v>1051</v>
          </cell>
          <cell r="C18">
            <v>2450</v>
          </cell>
          <cell r="D18">
            <v>4168</v>
          </cell>
          <cell r="E18">
            <v>4143</v>
          </cell>
          <cell r="F18">
            <v>3043</v>
          </cell>
          <cell r="G18">
            <v>2381</v>
          </cell>
          <cell r="H18">
            <v>1571</v>
          </cell>
          <cell r="I18">
            <v>1420</v>
          </cell>
        </row>
        <row r="19">
          <cell r="A19" t="str">
            <v>ARS MONUMENTAL</v>
          </cell>
          <cell r="B19">
            <v>1419</v>
          </cell>
          <cell r="C19">
            <v>3523</v>
          </cell>
          <cell r="D19">
            <v>2744</v>
          </cell>
          <cell r="E19">
            <v>2960</v>
          </cell>
          <cell r="F19">
            <v>2774</v>
          </cell>
          <cell r="G19">
            <v>1919</v>
          </cell>
          <cell r="H19">
            <v>1035</v>
          </cell>
          <cell r="I19">
            <v>755</v>
          </cell>
        </row>
        <row r="20">
          <cell r="A20" t="str">
            <v>ARS CMD</v>
          </cell>
          <cell r="B20">
            <v>579</v>
          </cell>
          <cell r="C20">
            <v>2335</v>
          </cell>
          <cell r="D20">
            <v>2648</v>
          </cell>
          <cell r="E20">
            <v>898</v>
          </cell>
          <cell r="F20">
            <v>1471</v>
          </cell>
          <cell r="G20">
            <v>3307</v>
          </cell>
          <cell r="H20">
            <v>2678</v>
          </cell>
          <cell r="I20">
            <v>3117</v>
          </cell>
        </row>
        <row r="21">
          <cell r="A21" t="str">
            <v>ARS GRUPO MEDICO ASOCIADO</v>
          </cell>
          <cell r="B21">
            <v>1312</v>
          </cell>
          <cell r="C21">
            <v>3515</v>
          </cell>
          <cell r="D21">
            <v>2468</v>
          </cell>
          <cell r="E21">
            <v>2895</v>
          </cell>
          <cell r="F21">
            <v>2790</v>
          </cell>
          <cell r="G21">
            <v>2067</v>
          </cell>
          <cell r="H21">
            <v>1171</v>
          </cell>
          <cell r="I21">
            <v>574</v>
          </cell>
        </row>
        <row r="22">
          <cell r="A22" t="str">
            <v>ARS CONSTITUCION</v>
          </cell>
          <cell r="B22">
            <v>1345</v>
          </cell>
          <cell r="C22">
            <v>3071</v>
          </cell>
          <cell r="D22">
            <v>2458</v>
          </cell>
          <cell r="E22">
            <v>3302</v>
          </cell>
          <cell r="F22">
            <v>2621</v>
          </cell>
          <cell r="G22">
            <v>1707</v>
          </cell>
          <cell r="H22">
            <v>927</v>
          </cell>
          <cell r="I22">
            <v>497</v>
          </cell>
        </row>
        <row r="23">
          <cell r="A23" t="str">
            <v>ARS METASALUD</v>
          </cell>
          <cell r="B23">
            <v>609</v>
          </cell>
          <cell r="C23">
            <v>1534</v>
          </cell>
          <cell r="D23">
            <v>1679</v>
          </cell>
          <cell r="E23">
            <v>1584</v>
          </cell>
          <cell r="F23">
            <v>1494</v>
          </cell>
          <cell r="G23">
            <v>1389</v>
          </cell>
          <cell r="H23">
            <v>874</v>
          </cell>
          <cell r="I23">
            <v>510</v>
          </cell>
        </row>
        <row r="24">
          <cell r="A24" t="str">
            <v>ARS PLAN SALUD</v>
          </cell>
          <cell r="B24">
            <v>467</v>
          </cell>
          <cell r="C24">
            <v>1450</v>
          </cell>
          <cell r="D24">
            <v>1402</v>
          </cell>
          <cell r="E24">
            <v>797</v>
          </cell>
          <cell r="F24">
            <v>1072</v>
          </cell>
          <cell r="G24">
            <v>1302</v>
          </cell>
          <cell r="H24">
            <v>831</v>
          </cell>
          <cell r="I24">
            <v>1166</v>
          </cell>
        </row>
        <row r="25">
          <cell r="A25" t="str">
            <v>ARS FFAA</v>
          </cell>
          <cell r="B25">
            <v>39</v>
          </cell>
          <cell r="C25">
            <v>690</v>
          </cell>
          <cell r="D25">
            <v>333</v>
          </cell>
          <cell r="E25">
            <v>1565</v>
          </cell>
          <cell r="F25">
            <v>1370</v>
          </cell>
          <cell r="G25">
            <v>916</v>
          </cell>
          <cell r="H25">
            <v>294</v>
          </cell>
          <cell r="I25">
            <v>59</v>
          </cell>
        </row>
        <row r="26">
          <cell r="A26" t="str">
            <v>ARS ISSPOL</v>
          </cell>
          <cell r="B26">
            <v>307</v>
          </cell>
          <cell r="C26">
            <v>1399</v>
          </cell>
          <cell r="D26">
            <v>576</v>
          </cell>
          <cell r="E26">
            <v>795</v>
          </cell>
          <cell r="F26">
            <v>918</v>
          </cell>
          <cell r="G26">
            <v>715</v>
          </cell>
          <cell r="H26">
            <v>290</v>
          </cell>
          <cell r="I26">
            <v>166</v>
          </cell>
        </row>
        <row r="27">
          <cell r="A27" t="str">
            <v>ARS SEMUNASED</v>
          </cell>
          <cell r="B27">
            <v>33</v>
          </cell>
          <cell r="C27">
            <v>376</v>
          </cell>
          <cell r="D27">
            <v>251</v>
          </cell>
          <cell r="E27">
            <v>60</v>
          </cell>
          <cell r="F27">
            <v>310</v>
          </cell>
          <cell r="G27">
            <v>516</v>
          </cell>
          <cell r="H27">
            <v>339</v>
          </cell>
          <cell r="I27">
            <v>289</v>
          </cell>
        </row>
        <row r="28">
          <cell r="A28" t="str">
            <v>ARS BMI IGUALAS MEDICAS, S. A.</v>
          </cell>
          <cell r="B28">
            <v>98</v>
          </cell>
          <cell r="C28">
            <v>199</v>
          </cell>
          <cell r="D28">
            <v>127</v>
          </cell>
          <cell r="E28">
            <v>239</v>
          </cell>
          <cell r="F28">
            <v>226</v>
          </cell>
          <cell r="G28">
            <v>152</v>
          </cell>
          <cell r="H28">
            <v>78</v>
          </cell>
          <cell r="I28">
            <v>68</v>
          </cell>
        </row>
      </sheetData>
      <sheetData sheetId="1">
        <row r="2">
          <cell r="B2" t="str">
            <v>Empresas Sector Privado</v>
          </cell>
          <cell r="C2" t="str">
            <v>Sector  Público Centralizado</v>
          </cell>
          <cell r="D2" t="str">
            <v>Sector  Público Descentralizado</v>
          </cell>
          <cell r="E2" t="str">
            <v>Aplicación Art. 124 Ley  87-01</v>
          </cell>
        </row>
        <row r="3">
          <cell r="A3" t="str">
            <v>Región 0</v>
          </cell>
          <cell r="B3">
            <v>676048</v>
          </cell>
          <cell r="C3">
            <v>189478</v>
          </cell>
          <cell r="D3">
            <v>122753</v>
          </cell>
          <cell r="E3">
            <v>8175</v>
          </cell>
        </row>
        <row r="4">
          <cell r="A4" t="str">
            <v>Región I</v>
          </cell>
          <cell r="B4">
            <v>97751</v>
          </cell>
          <cell r="C4">
            <v>35867</v>
          </cell>
          <cell r="D4">
            <v>15290</v>
          </cell>
          <cell r="E4">
            <v>1215</v>
          </cell>
        </row>
        <row r="5">
          <cell r="A5" t="str">
            <v>Región II</v>
          </cell>
          <cell r="B5">
            <v>276766</v>
          </cell>
          <cell r="C5">
            <v>41405</v>
          </cell>
          <cell r="D5">
            <v>29836</v>
          </cell>
          <cell r="E5">
            <v>5230</v>
          </cell>
        </row>
        <row r="6">
          <cell r="A6" t="str">
            <v>Región III</v>
          </cell>
          <cell r="B6">
            <v>57970</v>
          </cell>
          <cell r="C6">
            <v>32977</v>
          </cell>
          <cell r="D6">
            <v>10478</v>
          </cell>
          <cell r="E6">
            <v>964</v>
          </cell>
        </row>
        <row r="7">
          <cell r="A7" t="str">
            <v>Región IV</v>
          </cell>
          <cell r="B7">
            <v>21012</v>
          </cell>
          <cell r="C7">
            <v>22560</v>
          </cell>
          <cell r="D7">
            <v>6133</v>
          </cell>
          <cell r="E7">
            <v>293</v>
          </cell>
        </row>
        <row r="8">
          <cell r="A8" t="str">
            <v>Región V</v>
          </cell>
          <cell r="B8">
            <v>165655</v>
          </cell>
          <cell r="C8">
            <v>21447</v>
          </cell>
          <cell r="D8">
            <v>9619</v>
          </cell>
          <cell r="E8">
            <v>1967</v>
          </cell>
        </row>
        <row r="9">
          <cell r="A9" t="str">
            <v>Región VI</v>
          </cell>
          <cell r="B9">
            <v>21103</v>
          </cell>
          <cell r="C9">
            <v>17392</v>
          </cell>
          <cell r="D9">
            <v>4083</v>
          </cell>
          <cell r="E9">
            <v>321</v>
          </cell>
        </row>
        <row r="10">
          <cell r="A10" t="str">
            <v>Región VII</v>
          </cell>
          <cell r="B10">
            <v>35988</v>
          </cell>
          <cell r="C10">
            <v>18214</v>
          </cell>
          <cell r="D10">
            <v>7729</v>
          </cell>
          <cell r="E10">
            <v>665</v>
          </cell>
        </row>
        <row r="11">
          <cell r="A11" t="str">
            <v>Región VIII</v>
          </cell>
          <cell r="B11">
            <v>89090</v>
          </cell>
          <cell r="C11">
            <v>31184</v>
          </cell>
          <cell r="D11">
            <v>8382</v>
          </cell>
          <cell r="E11">
            <v>1004</v>
          </cell>
        </row>
        <row r="12">
          <cell r="A12" t="str">
            <v>No Especificada</v>
          </cell>
          <cell r="B12">
            <v>350746</v>
          </cell>
          <cell r="C12">
            <v>40084</v>
          </cell>
          <cell r="D12">
            <v>35299</v>
          </cell>
          <cell r="E12">
            <v>5250</v>
          </cell>
        </row>
      </sheetData>
      <sheetData sheetId="2">
        <row r="2">
          <cell r="B2" t="str">
            <v>0-4 años</v>
          </cell>
          <cell r="C2" t="str">
            <v xml:space="preserve">5-14 </v>
          </cell>
          <cell r="D2" t="str">
            <v>15-24</v>
          </cell>
          <cell r="E2" t="str">
            <v>25-34</v>
          </cell>
          <cell r="F2" t="str">
            <v>35-44</v>
          </cell>
          <cell r="G2" t="str">
            <v>45-54</v>
          </cell>
          <cell r="H2" t="str">
            <v>55-64</v>
          </cell>
          <cell r="I2" t="str">
            <v>65 ó más</v>
          </cell>
        </row>
        <row r="3">
          <cell r="A3" t="str">
            <v>Región 0</v>
          </cell>
          <cell r="B3">
            <v>98755</v>
          </cell>
          <cell r="C3">
            <v>206998</v>
          </cell>
          <cell r="D3">
            <v>141404</v>
          </cell>
          <cell r="E3">
            <v>166943</v>
          </cell>
          <cell r="F3">
            <v>154533</v>
          </cell>
          <cell r="G3">
            <v>118995</v>
          </cell>
          <cell r="H3">
            <v>69210</v>
          </cell>
          <cell r="I3">
            <v>39616</v>
          </cell>
        </row>
        <row r="4">
          <cell r="A4" t="str">
            <v>Región I</v>
          </cell>
          <cell r="B4">
            <v>14965</v>
          </cell>
          <cell r="C4">
            <v>36323</v>
          </cell>
          <cell r="D4">
            <v>22792</v>
          </cell>
          <cell r="E4">
            <v>23821</v>
          </cell>
          <cell r="F4">
            <v>21929</v>
          </cell>
          <cell r="G4">
            <v>16935</v>
          </cell>
          <cell r="H4">
            <v>8577</v>
          </cell>
          <cell r="I4">
            <v>4781</v>
          </cell>
        </row>
        <row r="5">
          <cell r="A5" t="str">
            <v>Región II</v>
          </cell>
          <cell r="B5">
            <v>37224</v>
          </cell>
          <cell r="C5">
            <v>83158</v>
          </cell>
          <cell r="D5">
            <v>48703</v>
          </cell>
          <cell r="E5">
            <v>60570</v>
          </cell>
          <cell r="F5">
            <v>55062</v>
          </cell>
          <cell r="G5">
            <v>36927</v>
          </cell>
          <cell r="H5">
            <v>19373</v>
          </cell>
          <cell r="I5">
            <v>12220</v>
          </cell>
        </row>
        <row r="6">
          <cell r="A6" t="str">
            <v>Región III</v>
          </cell>
          <cell r="B6">
            <v>10212</v>
          </cell>
          <cell r="C6">
            <v>23943</v>
          </cell>
          <cell r="D6">
            <v>14227</v>
          </cell>
          <cell r="E6">
            <v>15223</v>
          </cell>
          <cell r="F6">
            <v>14698</v>
          </cell>
          <cell r="G6">
            <v>12423</v>
          </cell>
          <cell r="H6">
            <v>7103</v>
          </cell>
          <cell r="I6">
            <v>4560</v>
          </cell>
        </row>
        <row r="7">
          <cell r="A7" t="str">
            <v>Región IV</v>
          </cell>
          <cell r="B7">
            <v>4655</v>
          </cell>
          <cell r="C7">
            <v>13042</v>
          </cell>
          <cell r="D7">
            <v>7326</v>
          </cell>
          <cell r="E7">
            <v>6485</v>
          </cell>
          <cell r="F7">
            <v>7168</v>
          </cell>
          <cell r="G7">
            <v>6189</v>
          </cell>
          <cell r="H7">
            <v>3307</v>
          </cell>
          <cell r="I7">
            <v>1826</v>
          </cell>
        </row>
        <row r="8">
          <cell r="A8" t="str">
            <v>Región V</v>
          </cell>
          <cell r="B8">
            <v>22701</v>
          </cell>
          <cell r="C8">
            <v>45638</v>
          </cell>
          <cell r="D8">
            <v>27314</v>
          </cell>
          <cell r="E8">
            <v>35558</v>
          </cell>
          <cell r="F8">
            <v>31852</v>
          </cell>
          <cell r="G8">
            <v>20721</v>
          </cell>
          <cell r="H8">
            <v>9921</v>
          </cell>
          <cell r="I8">
            <v>4983</v>
          </cell>
        </row>
        <row r="9">
          <cell r="A9" t="str">
            <v>Región VI</v>
          </cell>
          <cell r="B9">
            <v>4017</v>
          </cell>
          <cell r="C9">
            <v>10062</v>
          </cell>
          <cell r="D9">
            <v>6721</v>
          </cell>
          <cell r="E9">
            <v>6485</v>
          </cell>
          <cell r="F9">
            <v>5828</v>
          </cell>
          <cell r="G9">
            <v>4943</v>
          </cell>
          <cell r="H9">
            <v>2993</v>
          </cell>
          <cell r="I9">
            <v>1850</v>
          </cell>
        </row>
        <row r="10">
          <cell r="A10" t="str">
            <v>Región VII</v>
          </cell>
          <cell r="B10">
            <v>5787</v>
          </cell>
          <cell r="C10">
            <v>14351</v>
          </cell>
          <cell r="D10">
            <v>8740</v>
          </cell>
          <cell r="E10">
            <v>9138</v>
          </cell>
          <cell r="F10">
            <v>9323</v>
          </cell>
          <cell r="G10">
            <v>7718</v>
          </cell>
          <cell r="H10">
            <v>4419</v>
          </cell>
          <cell r="I10">
            <v>3120</v>
          </cell>
        </row>
        <row r="11">
          <cell r="A11" t="str">
            <v>Región VIII</v>
          </cell>
          <cell r="B11">
            <v>13781</v>
          </cell>
          <cell r="C11">
            <v>31288</v>
          </cell>
          <cell r="D11">
            <v>18467</v>
          </cell>
          <cell r="E11">
            <v>20889</v>
          </cell>
          <cell r="F11">
            <v>19398</v>
          </cell>
          <cell r="G11">
            <v>13960</v>
          </cell>
          <cell r="H11">
            <v>7169</v>
          </cell>
          <cell r="I11">
            <v>4708</v>
          </cell>
        </row>
        <row r="12">
          <cell r="A12" t="str">
            <v>No Especificada</v>
          </cell>
          <cell r="B12">
            <v>9940</v>
          </cell>
          <cell r="C12">
            <v>26568</v>
          </cell>
          <cell r="D12">
            <v>88538</v>
          </cell>
          <cell r="E12">
            <v>131222</v>
          </cell>
          <cell r="F12">
            <v>82802</v>
          </cell>
          <cell r="G12">
            <v>49388</v>
          </cell>
          <cell r="H12">
            <v>25363</v>
          </cell>
          <cell r="I12">
            <v>17558</v>
          </cell>
        </row>
      </sheetData>
      <sheetData sheetId="3">
        <row r="2">
          <cell r="J2" t="str">
            <v>Total / Provincia</v>
          </cell>
        </row>
        <row r="3">
          <cell r="A3" t="str">
            <v>Distrito Nacional</v>
          </cell>
          <cell r="J3">
            <v>790302</v>
          </cell>
        </row>
        <row r="4">
          <cell r="A4" t="str">
            <v>L a Altagracia</v>
          </cell>
          <cell r="J4">
            <v>44891</v>
          </cell>
        </row>
        <row r="5">
          <cell r="A5" t="str">
            <v>Azua</v>
          </cell>
          <cell r="J5">
            <v>25119</v>
          </cell>
        </row>
        <row r="6">
          <cell r="A6" t="str">
            <v>Bahoruco</v>
          </cell>
          <cell r="J6">
            <v>10987</v>
          </cell>
        </row>
        <row r="7">
          <cell r="A7" t="str">
            <v>Barahona</v>
          </cell>
          <cell r="J7">
            <v>28087</v>
          </cell>
        </row>
        <row r="8">
          <cell r="A8" t="str">
            <v>Dajabón</v>
          </cell>
          <cell r="J8">
            <v>10365</v>
          </cell>
        </row>
        <row r="9">
          <cell r="A9" t="str">
            <v xml:space="preserve">Duarte </v>
          </cell>
          <cell r="J9">
            <v>55785</v>
          </cell>
        </row>
        <row r="10">
          <cell r="A10" t="str">
            <v>El Seybo</v>
          </cell>
          <cell r="J10">
            <v>10285</v>
          </cell>
        </row>
        <row r="11">
          <cell r="A11" t="str">
            <v>Elías Piña</v>
          </cell>
          <cell r="J11">
            <v>7241</v>
          </cell>
        </row>
        <row r="12">
          <cell r="A12" t="str">
            <v>Espaillat</v>
          </cell>
          <cell r="J12">
            <v>42735</v>
          </cell>
        </row>
        <row r="13">
          <cell r="A13" t="str">
            <v>Hato mayor del Rey</v>
          </cell>
          <cell r="J13">
            <v>12622</v>
          </cell>
        </row>
        <row r="14">
          <cell r="A14" t="str">
            <v>Independencia</v>
          </cell>
          <cell r="J14">
            <v>7617</v>
          </cell>
        </row>
        <row r="15">
          <cell r="A15" t="str">
            <v>La Romana</v>
          </cell>
          <cell r="J15">
            <v>68435</v>
          </cell>
        </row>
        <row r="16">
          <cell r="A16" t="str">
            <v>La vega</v>
          </cell>
          <cell r="J16">
            <v>68808</v>
          </cell>
        </row>
        <row r="17">
          <cell r="A17" t="str">
            <v>María Trinidad Sánchez</v>
          </cell>
          <cell r="J17">
            <v>18850</v>
          </cell>
        </row>
        <row r="18">
          <cell r="A18" t="str">
            <v>Monseñor Nouel</v>
          </cell>
          <cell r="J18">
            <v>34814</v>
          </cell>
        </row>
        <row r="19">
          <cell r="A19" t="str">
            <v>Montecristi</v>
          </cell>
          <cell r="J19">
            <v>14270</v>
          </cell>
        </row>
        <row r="20">
          <cell r="A20" t="str">
            <v>Monte Plata</v>
          </cell>
          <cell r="J20">
            <v>20879</v>
          </cell>
        </row>
        <row r="21">
          <cell r="A21" t="str">
            <v xml:space="preserve">Pedernales </v>
          </cell>
          <cell r="J21">
            <v>3307</v>
          </cell>
        </row>
        <row r="22">
          <cell r="A22" t="str">
            <v>Peravia</v>
          </cell>
          <cell r="J22">
            <v>23408</v>
          </cell>
        </row>
        <row r="23">
          <cell r="A23" t="str">
            <v xml:space="preserve">Puerto Plata </v>
          </cell>
          <cell r="J23">
            <v>57231</v>
          </cell>
        </row>
        <row r="24">
          <cell r="A24" t="str">
            <v>Hermanas Mirabal</v>
          </cell>
          <cell r="J24">
            <v>17411</v>
          </cell>
        </row>
        <row r="25">
          <cell r="A25" t="str">
            <v>Samaná</v>
          </cell>
          <cell r="J25">
            <v>10343</v>
          </cell>
        </row>
        <row r="26">
          <cell r="A26" t="str">
            <v>San Cristóbal</v>
          </cell>
          <cell r="J26">
            <v>93692</v>
          </cell>
        </row>
        <row r="27">
          <cell r="A27" t="str">
            <v>San Juan de la Maguana</v>
          </cell>
          <cell r="J27">
            <v>35658</v>
          </cell>
        </row>
        <row r="28">
          <cell r="A28" t="str">
            <v>San Pedro de Macorís</v>
          </cell>
          <cell r="J28">
            <v>62455</v>
          </cell>
        </row>
        <row r="29">
          <cell r="A29" t="str">
            <v>Sánchez Ramírez</v>
          </cell>
          <cell r="J29">
            <v>26038</v>
          </cell>
        </row>
        <row r="30">
          <cell r="A30" t="str">
            <v>Santiago de los Caballeros</v>
          </cell>
          <cell r="J30">
            <v>253271</v>
          </cell>
        </row>
        <row r="31">
          <cell r="A31" t="str">
            <v>Santiago Rodríguez</v>
          </cell>
          <cell r="J31">
            <v>9888</v>
          </cell>
        </row>
        <row r="32">
          <cell r="A32" t="str">
            <v>Valverde</v>
          </cell>
          <cell r="J32">
            <v>28073</v>
          </cell>
        </row>
        <row r="33">
          <cell r="A33" t="str">
            <v>San José de Ocoa</v>
          </cell>
          <cell r="J33">
            <v>7904</v>
          </cell>
        </row>
        <row r="34">
          <cell r="A34" t="str">
            <v>Santo Domingo</v>
          </cell>
          <cell r="J34">
            <v>185273</v>
          </cell>
        </row>
        <row r="35">
          <cell r="A35" t="str">
            <v>No Especificada</v>
          </cell>
          <cell r="J35">
            <v>431379</v>
          </cell>
        </row>
      </sheetData>
      <sheetData sheetId="4">
        <row r="2">
          <cell r="F2" t="str">
            <v xml:space="preserve">Total </v>
          </cell>
        </row>
        <row r="3">
          <cell r="A3" t="str">
            <v>Distrito Nacional</v>
          </cell>
          <cell r="F3">
            <v>790302</v>
          </cell>
        </row>
        <row r="4">
          <cell r="A4" t="str">
            <v>Santiago de los Caballeros</v>
          </cell>
          <cell r="F4">
            <v>253271</v>
          </cell>
        </row>
        <row r="5">
          <cell r="A5" t="str">
            <v>Santo Domingo</v>
          </cell>
          <cell r="F5">
            <v>185273</v>
          </cell>
        </row>
        <row r="6">
          <cell r="A6" t="str">
            <v>San Cristóbal</v>
          </cell>
          <cell r="F6">
            <v>93692</v>
          </cell>
        </row>
        <row r="7">
          <cell r="A7" t="str">
            <v>La Vega</v>
          </cell>
          <cell r="F7">
            <v>68808</v>
          </cell>
        </row>
        <row r="8">
          <cell r="A8" t="str">
            <v>La Romana</v>
          </cell>
          <cell r="F8">
            <v>68435</v>
          </cell>
        </row>
        <row r="9">
          <cell r="A9" t="str">
            <v>San Pedro de Macorís</v>
          </cell>
          <cell r="F9">
            <v>62455</v>
          </cell>
        </row>
        <row r="10">
          <cell r="A10" t="str">
            <v xml:space="preserve">Puerto Plata </v>
          </cell>
          <cell r="F10">
            <v>57231</v>
          </cell>
        </row>
        <row r="11">
          <cell r="A11" t="str">
            <v xml:space="preserve">Duarte </v>
          </cell>
          <cell r="F11">
            <v>55785</v>
          </cell>
        </row>
        <row r="12">
          <cell r="A12" t="str">
            <v>L a Altagracia</v>
          </cell>
          <cell r="F12">
            <v>44891</v>
          </cell>
        </row>
        <row r="13">
          <cell r="A13" t="str">
            <v>Espaillat</v>
          </cell>
          <cell r="F13">
            <v>42735</v>
          </cell>
        </row>
        <row r="14">
          <cell r="A14" t="str">
            <v>San Juan de la Maguana</v>
          </cell>
          <cell r="F14">
            <v>35658</v>
          </cell>
        </row>
        <row r="15">
          <cell r="A15" t="str">
            <v>Monseñor Nouel</v>
          </cell>
          <cell r="F15">
            <v>34814</v>
          </cell>
        </row>
        <row r="16">
          <cell r="A16" t="str">
            <v>Barahona</v>
          </cell>
          <cell r="F16">
            <v>28087</v>
          </cell>
        </row>
        <row r="17">
          <cell r="A17" t="str">
            <v>Valverde</v>
          </cell>
          <cell r="F17">
            <v>28073</v>
          </cell>
        </row>
        <row r="18">
          <cell r="A18" t="str">
            <v>Sánchez Ramírez</v>
          </cell>
          <cell r="F18">
            <v>26038</v>
          </cell>
        </row>
        <row r="19">
          <cell r="A19" t="str">
            <v>Azua</v>
          </cell>
          <cell r="F19">
            <v>25119</v>
          </cell>
        </row>
        <row r="20">
          <cell r="A20" t="str">
            <v>Peravia</v>
          </cell>
          <cell r="F20">
            <v>23408</v>
          </cell>
        </row>
        <row r="21">
          <cell r="A21" t="str">
            <v>Monte Plata</v>
          </cell>
          <cell r="F21">
            <v>20879</v>
          </cell>
        </row>
        <row r="22">
          <cell r="A22" t="str">
            <v>María Trinidad Sánchez</v>
          </cell>
          <cell r="F22">
            <v>18850</v>
          </cell>
        </row>
        <row r="23">
          <cell r="A23" t="str">
            <v>Hermanas Mirabal</v>
          </cell>
          <cell r="F23">
            <v>17411</v>
          </cell>
        </row>
        <row r="24">
          <cell r="A24" t="str">
            <v>Montecristi</v>
          </cell>
          <cell r="F24">
            <v>14270</v>
          </cell>
        </row>
        <row r="25">
          <cell r="A25" t="str">
            <v>Hato Mayor del Rey</v>
          </cell>
          <cell r="F25">
            <v>12622</v>
          </cell>
        </row>
        <row r="26">
          <cell r="A26" t="str">
            <v>Bahoruco</v>
          </cell>
          <cell r="F26">
            <v>10987</v>
          </cell>
        </row>
        <row r="27">
          <cell r="A27" t="str">
            <v>Dajabón</v>
          </cell>
          <cell r="F27">
            <v>10365</v>
          </cell>
        </row>
        <row r="28">
          <cell r="A28" t="str">
            <v>Samaná</v>
          </cell>
          <cell r="F28">
            <v>10343</v>
          </cell>
        </row>
        <row r="29">
          <cell r="A29" t="str">
            <v>El Seybo</v>
          </cell>
          <cell r="F29">
            <v>10285</v>
          </cell>
        </row>
        <row r="30">
          <cell r="A30" t="str">
            <v>Santiago Rodríguez</v>
          </cell>
          <cell r="F30">
            <v>9888</v>
          </cell>
        </row>
        <row r="31">
          <cell r="A31" t="str">
            <v>San José de Ocoa</v>
          </cell>
          <cell r="F31">
            <v>7904</v>
          </cell>
        </row>
        <row r="32">
          <cell r="A32" t="str">
            <v>Independencia</v>
          </cell>
          <cell r="F32">
            <v>7617</v>
          </cell>
        </row>
        <row r="33">
          <cell r="A33" t="str">
            <v>Elías Piña</v>
          </cell>
          <cell r="F33">
            <v>7241</v>
          </cell>
        </row>
        <row r="34">
          <cell r="A34" t="str">
            <v xml:space="preserve">Pedernales </v>
          </cell>
          <cell r="F34">
            <v>3307</v>
          </cell>
        </row>
        <row r="35">
          <cell r="A35" t="str">
            <v>No Especificada</v>
          </cell>
          <cell r="F35">
            <v>431379</v>
          </cell>
        </row>
      </sheetData>
      <sheetData sheetId="5">
        <row r="2">
          <cell r="J2" t="str">
            <v>Total / Provincia</v>
          </cell>
        </row>
        <row r="3">
          <cell r="A3" t="str">
            <v>Distrito Nacional</v>
          </cell>
          <cell r="J3">
            <v>538804</v>
          </cell>
        </row>
        <row r="4">
          <cell r="A4" t="str">
            <v>Santiago de los Caballeros</v>
          </cell>
          <cell r="J4">
            <v>203447</v>
          </cell>
        </row>
        <row r="5">
          <cell r="A5" t="str">
            <v>Santo Domingo</v>
          </cell>
          <cell r="J5">
            <v>127398</v>
          </cell>
        </row>
        <row r="6">
          <cell r="A6" t="str">
            <v>San Cristóbal</v>
          </cell>
          <cell r="J6">
            <v>67494</v>
          </cell>
        </row>
        <row r="7">
          <cell r="A7" t="str">
            <v>La Romana</v>
          </cell>
          <cell r="J7">
            <v>61578</v>
          </cell>
        </row>
        <row r="8">
          <cell r="A8" t="str">
            <v>San Pedro de Macorís</v>
          </cell>
          <cell r="J8">
            <v>49096</v>
          </cell>
        </row>
        <row r="9">
          <cell r="A9" t="str">
            <v>La Vega</v>
          </cell>
          <cell r="J9">
            <v>48803</v>
          </cell>
        </row>
        <row r="10">
          <cell r="A10" t="str">
            <v xml:space="preserve">Puerto Plata </v>
          </cell>
          <cell r="J10">
            <v>43157</v>
          </cell>
        </row>
        <row r="11">
          <cell r="A11" t="str">
            <v>L a Altagracia</v>
          </cell>
          <cell r="J11">
            <v>39717</v>
          </cell>
        </row>
        <row r="12">
          <cell r="A12" t="str">
            <v xml:space="preserve">Duarte </v>
          </cell>
          <cell r="J12">
            <v>32799</v>
          </cell>
        </row>
        <row r="13">
          <cell r="A13" t="str">
            <v>Espaillat</v>
          </cell>
          <cell r="J13">
            <v>30162</v>
          </cell>
        </row>
        <row r="14">
          <cell r="A14" t="str">
            <v>Monseñor Nouel</v>
          </cell>
          <cell r="J14">
            <v>25429</v>
          </cell>
        </row>
        <row r="15">
          <cell r="A15" t="str">
            <v>San Juan de la Maguana</v>
          </cell>
          <cell r="J15">
            <v>18001</v>
          </cell>
        </row>
        <row r="16">
          <cell r="A16" t="str">
            <v>Valverde</v>
          </cell>
          <cell r="J16">
            <v>17653</v>
          </cell>
        </row>
        <row r="17">
          <cell r="A17" t="str">
            <v>Sánchez Ramírez</v>
          </cell>
          <cell r="J17">
            <v>14858</v>
          </cell>
        </row>
        <row r="18">
          <cell r="A18" t="str">
            <v>Peravia</v>
          </cell>
          <cell r="J18">
            <v>13752</v>
          </cell>
        </row>
        <row r="19">
          <cell r="A19" t="str">
            <v>Barahona</v>
          </cell>
          <cell r="J19">
            <v>12752</v>
          </cell>
        </row>
        <row r="20">
          <cell r="A20" t="str">
            <v>Azua</v>
          </cell>
          <cell r="J20">
            <v>12631</v>
          </cell>
        </row>
        <row r="21">
          <cell r="A21" t="str">
            <v>María Trinidad Sánchez</v>
          </cell>
          <cell r="J21">
            <v>10726</v>
          </cell>
        </row>
        <row r="22">
          <cell r="A22" t="str">
            <v>Monte Plata</v>
          </cell>
          <cell r="J22">
            <v>9846</v>
          </cell>
        </row>
        <row r="23">
          <cell r="A23" t="str">
            <v>Hermanas Mirabal</v>
          </cell>
          <cell r="J23">
            <v>8572</v>
          </cell>
        </row>
        <row r="24">
          <cell r="A24" t="str">
            <v>Hato mayor del Rey</v>
          </cell>
          <cell r="J24">
            <v>8333</v>
          </cell>
        </row>
        <row r="25">
          <cell r="A25" t="str">
            <v>Montecristi</v>
          </cell>
          <cell r="J25">
            <v>7945</v>
          </cell>
        </row>
        <row r="26">
          <cell r="A26" t="str">
            <v>El Seybo</v>
          </cell>
          <cell r="J26">
            <v>6931</v>
          </cell>
        </row>
        <row r="27">
          <cell r="A27" t="str">
            <v>Samaná</v>
          </cell>
          <cell r="J27">
            <v>5873</v>
          </cell>
        </row>
        <row r="28">
          <cell r="A28" t="str">
            <v>Santiago Rodríguez</v>
          </cell>
          <cell r="J28">
            <v>5285</v>
          </cell>
        </row>
        <row r="29">
          <cell r="A29" t="str">
            <v>Dajabón</v>
          </cell>
          <cell r="J29">
            <v>5105</v>
          </cell>
        </row>
        <row r="30">
          <cell r="A30" t="str">
            <v>Bahoruco</v>
          </cell>
          <cell r="J30">
            <v>4477</v>
          </cell>
        </row>
        <row r="31">
          <cell r="A31" t="str">
            <v>San José de Ocoa</v>
          </cell>
          <cell r="J31">
            <v>3874</v>
          </cell>
        </row>
        <row r="32">
          <cell r="A32" t="str">
            <v>Elías Piña</v>
          </cell>
          <cell r="J32">
            <v>3102</v>
          </cell>
        </row>
        <row r="33">
          <cell r="A33" t="str">
            <v>Independencia</v>
          </cell>
          <cell r="J33">
            <v>2091</v>
          </cell>
        </row>
        <row r="34">
          <cell r="A34" t="str">
            <v xml:space="preserve">Pedernales </v>
          </cell>
          <cell r="J34">
            <v>1692</v>
          </cell>
        </row>
        <row r="35">
          <cell r="A35" t="str">
            <v>No Especificada</v>
          </cell>
          <cell r="J35">
            <v>350746</v>
          </cell>
        </row>
      </sheetData>
      <sheetData sheetId="6">
        <row r="2">
          <cell r="J2" t="str">
            <v>Total / Provincia</v>
          </cell>
        </row>
        <row r="3">
          <cell r="A3" t="str">
            <v>Distrito Nacional</v>
          </cell>
          <cell r="J3">
            <v>97905</v>
          </cell>
        </row>
        <row r="4">
          <cell r="A4" t="str">
            <v>L a Altagracia</v>
          </cell>
          <cell r="J4">
            <v>924</v>
          </cell>
        </row>
        <row r="5">
          <cell r="A5" t="str">
            <v>Azua</v>
          </cell>
          <cell r="J5">
            <v>3342</v>
          </cell>
        </row>
        <row r="6">
          <cell r="A6" t="str">
            <v>Bahoruco</v>
          </cell>
          <cell r="J6">
            <v>1038</v>
          </cell>
        </row>
        <row r="7">
          <cell r="A7" t="str">
            <v>Barahona</v>
          </cell>
          <cell r="J7">
            <v>3228</v>
          </cell>
        </row>
        <row r="8">
          <cell r="A8" t="str">
            <v>Dajabón</v>
          </cell>
          <cell r="J8">
            <v>1553</v>
          </cell>
        </row>
        <row r="9">
          <cell r="A9" t="str">
            <v xml:space="preserve">Duarte </v>
          </cell>
          <cell r="J9">
            <v>6682</v>
          </cell>
        </row>
        <row r="10">
          <cell r="A10" t="str">
            <v>El Seybo</v>
          </cell>
          <cell r="J10">
            <v>822</v>
          </cell>
        </row>
        <row r="11">
          <cell r="A11" t="str">
            <v>Elías Piña</v>
          </cell>
          <cell r="J11">
            <v>919</v>
          </cell>
        </row>
        <row r="12">
          <cell r="A12" t="str">
            <v>Espaillat</v>
          </cell>
          <cell r="J12">
            <v>4767</v>
          </cell>
        </row>
        <row r="13">
          <cell r="A13" t="str">
            <v>Hato mayor del Rey</v>
          </cell>
          <cell r="J13">
            <v>883</v>
          </cell>
        </row>
        <row r="14">
          <cell r="A14" t="str">
            <v>Independencia</v>
          </cell>
          <cell r="J14">
            <v>1498</v>
          </cell>
        </row>
        <row r="15">
          <cell r="A15" t="str">
            <v>La Romana</v>
          </cell>
          <cell r="J15">
            <v>2735</v>
          </cell>
        </row>
        <row r="16">
          <cell r="A16" t="str">
            <v>La vega</v>
          </cell>
          <cell r="J16">
            <v>4277</v>
          </cell>
        </row>
        <row r="17">
          <cell r="A17" t="str">
            <v>María Trinidad Sánchez</v>
          </cell>
          <cell r="J17">
            <v>1800</v>
          </cell>
        </row>
        <row r="18">
          <cell r="A18" t="str">
            <v>Monseñor Nouel</v>
          </cell>
          <cell r="J18">
            <v>2322</v>
          </cell>
        </row>
        <row r="19">
          <cell r="A19" t="str">
            <v>Montecristi</v>
          </cell>
          <cell r="J19">
            <v>1557</v>
          </cell>
        </row>
        <row r="20">
          <cell r="A20" t="str">
            <v>Monte Plata</v>
          </cell>
          <cell r="J20">
            <v>1616</v>
          </cell>
        </row>
        <row r="21">
          <cell r="A21" t="str">
            <v xml:space="preserve">Pedernales </v>
          </cell>
          <cell r="J21">
            <v>369</v>
          </cell>
        </row>
        <row r="22">
          <cell r="A22" t="str">
            <v>Peravia</v>
          </cell>
          <cell r="J22">
            <v>3955</v>
          </cell>
        </row>
        <row r="23">
          <cell r="A23" t="str">
            <v xml:space="preserve">Puerto Plata </v>
          </cell>
          <cell r="J23">
            <v>4602</v>
          </cell>
        </row>
        <row r="24">
          <cell r="A24" t="str">
            <v>Hermanas Mirabal</v>
          </cell>
          <cell r="J24">
            <v>1172</v>
          </cell>
        </row>
        <row r="25">
          <cell r="A25" t="str">
            <v>Samaná</v>
          </cell>
          <cell r="J25">
            <v>824</v>
          </cell>
        </row>
        <row r="26">
          <cell r="A26" t="str">
            <v>San Cristóbal</v>
          </cell>
          <cell r="J26">
            <v>7350</v>
          </cell>
        </row>
        <row r="27">
          <cell r="A27" t="str">
            <v>San Juan de la Maguana</v>
          </cell>
          <cell r="J27">
            <v>3164</v>
          </cell>
        </row>
        <row r="28">
          <cell r="A28" t="str">
            <v>San Pedro de Macorís</v>
          </cell>
          <cell r="J28">
            <v>4255</v>
          </cell>
        </row>
        <row r="29">
          <cell r="A29" t="str">
            <v>Sánchez Ramírez</v>
          </cell>
          <cell r="J29">
            <v>1783</v>
          </cell>
        </row>
        <row r="30">
          <cell r="A30" t="str">
            <v>Santiago de los Caballeros</v>
          </cell>
          <cell r="J30">
            <v>20467</v>
          </cell>
        </row>
        <row r="31">
          <cell r="A31" t="str">
            <v>Santiago Rodríguez</v>
          </cell>
          <cell r="J31">
            <v>1245</v>
          </cell>
        </row>
        <row r="32">
          <cell r="A32" t="str">
            <v>Valverde</v>
          </cell>
          <cell r="J32">
            <v>3374</v>
          </cell>
        </row>
        <row r="33">
          <cell r="A33" t="str">
            <v>San José de Ocoa</v>
          </cell>
          <cell r="J33">
            <v>643</v>
          </cell>
        </row>
        <row r="34">
          <cell r="A34" t="str">
            <v>Santo Domingo</v>
          </cell>
          <cell r="J34">
            <v>23232</v>
          </cell>
        </row>
        <row r="35">
          <cell r="A35" t="str">
            <v>No Especificada</v>
          </cell>
          <cell r="J35">
            <v>35299</v>
          </cell>
        </row>
      </sheetData>
      <sheetData sheetId="7">
        <row r="2">
          <cell r="J2" t="str">
            <v>Total / Provincia</v>
          </cell>
        </row>
        <row r="3">
          <cell r="A3" t="str">
            <v>Distrito Nacional</v>
          </cell>
          <cell r="J3">
            <v>147367</v>
          </cell>
        </row>
        <row r="4">
          <cell r="A4" t="str">
            <v>L a Altagracia</v>
          </cell>
          <cell r="J4">
            <v>3681</v>
          </cell>
        </row>
        <row r="5">
          <cell r="A5" t="str">
            <v>Azua</v>
          </cell>
          <cell r="J5">
            <v>9015</v>
          </cell>
        </row>
        <row r="6">
          <cell r="A6" t="str">
            <v>Bahoruco</v>
          </cell>
          <cell r="J6">
            <v>5409</v>
          </cell>
        </row>
        <row r="7">
          <cell r="A7" t="str">
            <v>Barahona</v>
          </cell>
          <cell r="J7">
            <v>11933</v>
          </cell>
        </row>
        <row r="8">
          <cell r="A8" t="str">
            <v>Dajabón</v>
          </cell>
          <cell r="J8">
            <v>3618</v>
          </cell>
        </row>
        <row r="9">
          <cell r="A9" t="str">
            <v xml:space="preserve">Duarte </v>
          </cell>
          <cell r="J9">
            <v>15848</v>
          </cell>
        </row>
        <row r="10">
          <cell r="A10" t="str">
            <v>El Seybo</v>
          </cell>
          <cell r="J10">
            <v>2432</v>
          </cell>
        </row>
        <row r="11">
          <cell r="A11" t="str">
            <v>Elías Piña</v>
          </cell>
          <cell r="J11">
            <v>3177</v>
          </cell>
        </row>
        <row r="12">
          <cell r="A12" t="str">
            <v>Espaillat</v>
          </cell>
          <cell r="J12">
            <v>7230</v>
          </cell>
        </row>
        <row r="13">
          <cell r="A13" t="str">
            <v>Hato mayor del Rey</v>
          </cell>
          <cell r="J13">
            <v>3335</v>
          </cell>
        </row>
        <row r="14">
          <cell r="A14" t="str">
            <v>Independencia</v>
          </cell>
          <cell r="J14">
            <v>4000</v>
          </cell>
        </row>
        <row r="15">
          <cell r="A15" t="str">
            <v>La Romana</v>
          </cell>
          <cell r="J15">
            <v>3431</v>
          </cell>
        </row>
        <row r="16">
          <cell r="A16" t="str">
            <v>La vega</v>
          </cell>
          <cell r="J16">
            <v>15205</v>
          </cell>
        </row>
        <row r="17">
          <cell r="A17" t="str">
            <v>María Trinidad Sánchez</v>
          </cell>
          <cell r="J17">
            <v>6050</v>
          </cell>
        </row>
        <row r="18">
          <cell r="A18" t="str">
            <v>Monseñor Nouel</v>
          </cell>
          <cell r="J18">
            <v>6720</v>
          </cell>
        </row>
        <row r="19">
          <cell r="A19" t="str">
            <v>Montecristi</v>
          </cell>
          <cell r="J19">
            <v>4649</v>
          </cell>
        </row>
        <row r="20">
          <cell r="A20" t="str">
            <v>Monte Plata</v>
          </cell>
          <cell r="J20">
            <v>9262</v>
          </cell>
        </row>
        <row r="21">
          <cell r="A21" t="str">
            <v xml:space="preserve">Pedernales </v>
          </cell>
          <cell r="J21">
            <v>1218</v>
          </cell>
        </row>
        <row r="22">
          <cell r="A22" t="str">
            <v>Peravia</v>
          </cell>
          <cell r="J22">
            <v>5524</v>
          </cell>
        </row>
        <row r="23">
          <cell r="A23" t="str">
            <v xml:space="preserve">Puerto Plata </v>
          </cell>
          <cell r="J23">
            <v>8490</v>
          </cell>
        </row>
        <row r="24">
          <cell r="A24" t="str">
            <v>Hermanas Mirabal</v>
          </cell>
          <cell r="J24">
            <v>7520</v>
          </cell>
        </row>
        <row r="25">
          <cell r="A25" t="str">
            <v>Samaná</v>
          </cell>
          <cell r="J25">
            <v>3559</v>
          </cell>
        </row>
        <row r="26">
          <cell r="A26" t="str">
            <v>San Cristóbal</v>
          </cell>
          <cell r="J26">
            <v>17991</v>
          </cell>
        </row>
        <row r="27">
          <cell r="A27" t="str">
            <v>San Juan de la Maguana</v>
          </cell>
          <cell r="J27">
            <v>14215</v>
          </cell>
        </row>
        <row r="28">
          <cell r="A28" t="str">
            <v>San Pedro de Macorís</v>
          </cell>
          <cell r="J28">
            <v>8568</v>
          </cell>
        </row>
        <row r="29">
          <cell r="A29" t="str">
            <v>Sánchez Ramírez</v>
          </cell>
          <cell r="J29">
            <v>9259</v>
          </cell>
        </row>
        <row r="30">
          <cell r="A30" t="str">
            <v>Santiago de los Caballeros</v>
          </cell>
          <cell r="J30">
            <v>25685</v>
          </cell>
        </row>
        <row r="31">
          <cell r="A31" t="str">
            <v>Santiago Rodríguez</v>
          </cell>
          <cell r="J31">
            <v>3286</v>
          </cell>
        </row>
        <row r="32">
          <cell r="A32" t="str">
            <v>Valverde</v>
          </cell>
          <cell r="J32">
            <v>6661</v>
          </cell>
        </row>
        <row r="33">
          <cell r="A33" t="str">
            <v>San José de Ocoa</v>
          </cell>
          <cell r="J33">
            <v>3337</v>
          </cell>
        </row>
        <row r="34">
          <cell r="A34" t="str">
            <v>Santo Domingo</v>
          </cell>
          <cell r="J34">
            <v>32849</v>
          </cell>
        </row>
        <row r="35">
          <cell r="A35" t="str">
            <v>No Especificada</v>
          </cell>
          <cell r="J35">
            <v>40084</v>
          </cell>
        </row>
      </sheetData>
      <sheetData sheetId="8">
        <row r="2">
          <cell r="J2" t="str">
            <v>Total / Provincia</v>
          </cell>
        </row>
        <row r="3">
          <cell r="A3" t="str">
            <v>Distrito Nacional</v>
          </cell>
          <cell r="J3">
            <v>6226</v>
          </cell>
        </row>
        <row r="4">
          <cell r="A4" t="str">
            <v>L a Altagracia</v>
          </cell>
          <cell r="J4">
            <v>569</v>
          </cell>
        </row>
        <row r="5">
          <cell r="A5" t="str">
            <v>Azua</v>
          </cell>
          <cell r="J5">
            <v>131</v>
          </cell>
        </row>
        <row r="6">
          <cell r="A6" t="str">
            <v>Bahoruco</v>
          </cell>
          <cell r="J6">
            <v>63</v>
          </cell>
        </row>
        <row r="7">
          <cell r="A7" t="str">
            <v>Barahona</v>
          </cell>
          <cell r="J7">
            <v>174</v>
          </cell>
        </row>
        <row r="8">
          <cell r="A8" t="str">
            <v>Dajabón</v>
          </cell>
          <cell r="J8">
            <v>89</v>
          </cell>
        </row>
        <row r="9">
          <cell r="A9" t="str">
            <v xml:space="preserve">Duarte </v>
          </cell>
          <cell r="J9">
            <v>456</v>
          </cell>
        </row>
        <row r="10">
          <cell r="A10" t="str">
            <v>El Seybo</v>
          </cell>
          <cell r="J10">
            <v>100</v>
          </cell>
        </row>
        <row r="11">
          <cell r="A11" t="str">
            <v>Elías Piña</v>
          </cell>
          <cell r="J11">
            <v>43</v>
          </cell>
        </row>
        <row r="12">
          <cell r="A12" t="str">
            <v>Espaillat</v>
          </cell>
          <cell r="J12">
            <v>576</v>
          </cell>
        </row>
        <row r="13">
          <cell r="A13" t="str">
            <v>Hato mayor del Rey</v>
          </cell>
          <cell r="J13">
            <v>71</v>
          </cell>
        </row>
        <row r="14">
          <cell r="A14" t="str">
            <v>Independencia</v>
          </cell>
          <cell r="J14">
            <v>28</v>
          </cell>
        </row>
        <row r="15">
          <cell r="A15" t="str">
            <v>La Romana</v>
          </cell>
          <cell r="J15">
            <v>691</v>
          </cell>
        </row>
        <row r="16">
          <cell r="A16" t="str">
            <v>La vega</v>
          </cell>
          <cell r="J16">
            <v>523</v>
          </cell>
        </row>
        <row r="17">
          <cell r="A17" t="str">
            <v>María Trinidad Sánchez</v>
          </cell>
          <cell r="J17">
            <v>274</v>
          </cell>
        </row>
        <row r="18">
          <cell r="A18" t="str">
            <v>Monseñor Nouel</v>
          </cell>
          <cell r="J18">
            <v>343</v>
          </cell>
        </row>
        <row r="19">
          <cell r="A19" t="str">
            <v>Montecristi</v>
          </cell>
          <cell r="J19">
            <v>119</v>
          </cell>
        </row>
        <row r="20">
          <cell r="A20" t="str">
            <v>Monte Plata</v>
          </cell>
          <cell r="J20">
            <v>155</v>
          </cell>
        </row>
        <row r="21">
          <cell r="A21" t="str">
            <v xml:space="preserve">Pedernales </v>
          </cell>
          <cell r="J21">
            <v>28</v>
          </cell>
        </row>
        <row r="22">
          <cell r="A22" t="str">
            <v>Peravia</v>
          </cell>
          <cell r="J22">
            <v>177</v>
          </cell>
        </row>
        <row r="23">
          <cell r="A23" t="str">
            <v xml:space="preserve">Puerto Plata </v>
          </cell>
          <cell r="J23">
            <v>982</v>
          </cell>
        </row>
        <row r="24">
          <cell r="A24" t="str">
            <v>Hermanas Mirabal</v>
          </cell>
          <cell r="J24">
            <v>147</v>
          </cell>
        </row>
        <row r="25">
          <cell r="A25" t="str">
            <v>Samaná</v>
          </cell>
          <cell r="J25">
            <v>87</v>
          </cell>
        </row>
        <row r="26">
          <cell r="A26" t="str">
            <v>San Cristóbal</v>
          </cell>
          <cell r="J26">
            <v>857</v>
          </cell>
        </row>
        <row r="27">
          <cell r="A27" t="str">
            <v>San Juan de la Maguana</v>
          </cell>
          <cell r="J27">
            <v>278</v>
          </cell>
        </row>
        <row r="28">
          <cell r="A28" t="str">
            <v>San Pedro de Macorís</v>
          </cell>
          <cell r="J28">
            <v>536</v>
          </cell>
        </row>
        <row r="29">
          <cell r="A29" t="str">
            <v>Sánchez Ramírez</v>
          </cell>
          <cell r="J29">
            <v>138</v>
          </cell>
        </row>
        <row r="30">
          <cell r="A30" t="str">
            <v>Santiago de los Caballeros</v>
          </cell>
          <cell r="J30">
            <v>3672</v>
          </cell>
        </row>
        <row r="31">
          <cell r="A31" t="str">
            <v>Santiago Rodríguez</v>
          </cell>
          <cell r="J31">
            <v>72</v>
          </cell>
        </row>
        <row r="32">
          <cell r="A32" t="str">
            <v>Valverde</v>
          </cell>
          <cell r="J32">
            <v>385</v>
          </cell>
        </row>
        <row r="33">
          <cell r="A33" t="str">
            <v>San José de Ocoa</v>
          </cell>
          <cell r="J33">
            <v>50</v>
          </cell>
        </row>
        <row r="34">
          <cell r="A34" t="str">
            <v>Santo Domingo</v>
          </cell>
          <cell r="J34">
            <v>1794</v>
          </cell>
        </row>
        <row r="35">
          <cell r="A35" t="str">
            <v>No Especificada</v>
          </cell>
          <cell r="J35">
            <v>5250</v>
          </cell>
        </row>
      </sheetData>
      <sheetData sheetId="9">
        <row r="2">
          <cell r="B2" t="str">
            <v>Población Nacional</v>
          </cell>
          <cell r="C2" t="str">
            <v>Población Afiliada  SFS RC</v>
          </cell>
        </row>
        <row r="3">
          <cell r="A3" t="str">
            <v>0-4</v>
          </cell>
          <cell r="B3">
            <v>1063281.5000000005</v>
          </cell>
          <cell r="C3">
            <v>222037</v>
          </cell>
        </row>
        <row r="4">
          <cell r="A4" t="str">
            <v>5-9</v>
          </cell>
          <cell r="B4">
            <v>1053464.5</v>
          </cell>
          <cell r="C4">
            <v>242365</v>
          </cell>
        </row>
        <row r="5">
          <cell r="A5" t="str">
            <v>10-14</v>
          </cell>
          <cell r="B5">
            <v>1005494.0000000002</v>
          </cell>
          <cell r="C5">
            <v>249006</v>
          </cell>
        </row>
        <row r="6">
          <cell r="A6" t="str">
            <v>15-19</v>
          </cell>
          <cell r="B6">
            <v>981126</v>
          </cell>
          <cell r="C6">
            <v>182523</v>
          </cell>
        </row>
        <row r="7">
          <cell r="A7" t="str">
            <v>20-24</v>
          </cell>
          <cell r="B7">
            <v>916350</v>
          </cell>
          <cell r="C7">
            <v>201709</v>
          </cell>
        </row>
        <row r="8">
          <cell r="A8" t="str">
            <v>25-29</v>
          </cell>
          <cell r="B8">
            <v>835825</v>
          </cell>
          <cell r="C8">
            <v>235096</v>
          </cell>
        </row>
        <row r="9">
          <cell r="A9" t="str">
            <v>30-34</v>
          </cell>
          <cell r="B9">
            <v>735985</v>
          </cell>
          <cell r="C9">
            <v>241241</v>
          </cell>
        </row>
        <row r="10">
          <cell r="A10" t="str">
            <v>35-39</v>
          </cell>
          <cell r="B10">
            <v>657046.00000000023</v>
          </cell>
          <cell r="C10">
            <v>212189</v>
          </cell>
        </row>
        <row r="11">
          <cell r="A11" t="str">
            <v>40-44</v>
          </cell>
          <cell r="B11">
            <v>590874</v>
          </cell>
          <cell r="C11">
            <v>190403</v>
          </cell>
        </row>
        <row r="12">
          <cell r="A12" t="str">
            <v>45-49</v>
          </cell>
          <cell r="B12">
            <v>527694.5</v>
          </cell>
          <cell r="C12">
            <v>163750</v>
          </cell>
        </row>
        <row r="13">
          <cell r="A13" t="str">
            <v>50-54</v>
          </cell>
          <cell r="B13">
            <v>453364.50000000012</v>
          </cell>
          <cell r="C13">
            <v>124447</v>
          </cell>
        </row>
        <row r="14">
          <cell r="A14" t="str">
            <v>55-59</v>
          </cell>
          <cell r="B14">
            <v>364306.5</v>
          </cell>
          <cell r="C14">
            <v>94966</v>
          </cell>
        </row>
        <row r="15">
          <cell r="A15" t="str">
            <v>60-64</v>
          </cell>
          <cell r="B15">
            <v>274767</v>
          </cell>
          <cell r="C15">
            <v>62469</v>
          </cell>
        </row>
        <row r="16">
          <cell r="A16" t="str">
            <v>65 -69</v>
          </cell>
          <cell r="B16">
            <v>203064.5</v>
          </cell>
          <cell r="C16">
            <v>38620</v>
          </cell>
        </row>
        <row r="17">
          <cell r="A17" t="str">
            <v>70 y más</v>
          </cell>
          <cell r="B17">
            <v>410205</v>
          </cell>
          <cell r="C17">
            <v>56602</v>
          </cell>
        </row>
      </sheetData>
      <sheetData sheetId="10">
        <row r="1">
          <cell r="A1" t="str">
            <v xml:space="preserve">
Régimen Especial Transitorio para la Salud de Pensionados Ley 1896-379
Comparativo de la Población Afiliada al SFS RC  con la Población Nacional por Región
Al 31 de Diciembre 2011
</v>
          </cell>
        </row>
        <row r="2">
          <cell r="B2" t="str">
            <v>Población Nacional</v>
          </cell>
          <cell r="C2" t="str">
            <v>Población Afiliada  SFS RC</v>
          </cell>
        </row>
        <row r="3">
          <cell r="A3" t="str">
            <v>Región 0</v>
          </cell>
          <cell r="B3">
            <v>3603126.0000000005</v>
          </cell>
          <cell r="C3">
            <v>996454</v>
          </cell>
        </row>
        <row r="4">
          <cell r="A4" t="str">
            <v>Región 1</v>
          </cell>
          <cell r="B4">
            <v>1201455</v>
          </cell>
          <cell r="C4">
            <v>150123</v>
          </cell>
        </row>
        <row r="5">
          <cell r="A5" t="str">
            <v>Región 2</v>
          </cell>
          <cell r="B5">
            <v>1638718.9999999995</v>
          </cell>
          <cell r="C5">
            <v>353237</v>
          </cell>
        </row>
        <row r="6">
          <cell r="A6" t="str">
            <v>Región 3</v>
          </cell>
          <cell r="B6">
            <v>648204</v>
          </cell>
          <cell r="C6">
            <v>102389</v>
          </cell>
        </row>
        <row r="7">
          <cell r="A7" t="str">
            <v>Región 4</v>
          </cell>
          <cell r="B7">
            <v>402711</v>
          </cell>
          <cell r="C7">
            <v>49998</v>
          </cell>
        </row>
        <row r="8">
          <cell r="A8" t="str">
            <v>Región 5</v>
          </cell>
          <cell r="B8">
            <v>1031171.4999999998</v>
          </cell>
          <cell r="C8">
            <v>198688</v>
          </cell>
        </row>
        <row r="9">
          <cell r="A9" t="str">
            <v>Región 6</v>
          </cell>
          <cell r="B9">
            <v>317849</v>
          </cell>
          <cell r="C9">
            <v>42899</v>
          </cell>
        </row>
        <row r="10">
          <cell r="A10" t="str">
            <v>Región 7</v>
          </cell>
          <cell r="B10">
            <v>438793.99999999994</v>
          </cell>
          <cell r="C10">
            <v>62596</v>
          </cell>
        </row>
        <row r="11">
          <cell r="A11" t="str">
            <v>Región 8</v>
          </cell>
          <cell r="B11">
            <v>790818</v>
          </cell>
          <cell r="C11">
            <v>129660</v>
          </cell>
        </row>
        <row r="12">
          <cell r="A12" t="str">
            <v>No especificada</v>
          </cell>
          <cell r="B12">
            <v>0</v>
          </cell>
          <cell r="C12">
            <v>431379</v>
          </cell>
        </row>
      </sheetData>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cell r="H12">
            <v>1133486</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DD"/>
      <sheetName val="00 VCN"/>
      <sheetName val="00 AA"/>
      <sheetName val="00 CT"/>
      <sheetName val="Mayo 03 DD"/>
      <sheetName val="Mayo 03 CT"/>
      <sheetName val="Mayo 04 DD"/>
      <sheetName val="Mayo 04 VCN"/>
      <sheetName val="Mayo 04 AA"/>
      <sheetName val="Mayo 05 DD"/>
      <sheetName val="Mayo 05 CT "/>
      <sheetName val="Mayo 06 DD"/>
      <sheetName val="Mayo 07 DD"/>
      <sheetName val="Mayo 07 CT"/>
      <sheetName val="Mayo 10 DD"/>
      <sheetName val="Mayo 11 DD"/>
      <sheetName val="Mayo 11 VCN"/>
      <sheetName val="Mayo 11 AA"/>
      <sheetName val="Mayo 12 DD"/>
      <sheetName val="Mayo 12 CT"/>
      <sheetName val="Mayo 13 DD"/>
      <sheetName val="Mayo 13 CT "/>
      <sheetName val="Mayo 14 DD"/>
      <sheetName val="Mayo 14 CT"/>
      <sheetName val="Mayo 17 DD"/>
      <sheetName val="Mayo 17 CT"/>
      <sheetName val="Mayo 18 DD"/>
      <sheetName val="Mayo 18 VCN"/>
      <sheetName val="Mayo 18 AA"/>
      <sheetName val="SIMPLIFICADA "/>
      <sheetName val="Mayo 19 DD"/>
      <sheetName val="Mayo 19 CT"/>
      <sheetName val="Mayo 20 DD"/>
      <sheetName val="Mayo 20 CT"/>
      <sheetName val="Mayo 21 DD"/>
      <sheetName val="Mayo 21 CT "/>
      <sheetName val="Mayo 24 DD"/>
      <sheetName val="Mayo 24 CT"/>
      <sheetName val="1° Pago Mayo ARS"/>
      <sheetName val="His de Asiganación"/>
      <sheetName val="SISALRIL-SFS"/>
      <sheetName val="SVDS"/>
      <sheetName val="SFS"/>
      <sheetName val="REGISTRO "/>
      <sheetName val="HOJA MATRIZ "/>
      <sheetName val="boceto"/>
      <sheetName val="Mayo 25 DD"/>
      <sheetName val="Mayo 25 CT"/>
      <sheetName val="Mayo 25 VCN"/>
      <sheetName val="Mayo 25 AA"/>
      <sheetName val="Mayo 26 DD"/>
      <sheetName val="Mayo 27 DD"/>
      <sheetName val="Mayo 28 DD"/>
      <sheetName val="Mayo 31 DD"/>
      <sheetName val="Oficial"/>
      <sheetName val="00 RAS"/>
      <sheetName val="REG-1 "/>
      <sheetName val="1° Pago ARS "/>
      <sheetName val="2° Pago AR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1">
          <cell r="L31">
            <v>14897663.92</v>
          </cell>
        </row>
        <row r="52">
          <cell r="L52">
            <v>15259790.42</v>
          </cell>
        </row>
        <row r="76">
          <cell r="L76">
            <v>16099853.1</v>
          </cell>
        </row>
        <row r="99">
          <cell r="L99">
            <v>15975035.499999998</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RCIF"/>
      <sheetName val="TSS RCS"/>
      <sheetName val="SFS-R-P"/>
      <sheetName val="Dispersión por AFP's"/>
      <sheetName val="Dispersión por ARS"/>
      <sheetName val="Tabla poblacional"/>
      <sheetName val="Recaudos y gastos TSS 03-08"/>
      <sheetName val="Certif. Finan.R.C m"/>
      <sheetName val="Certif. Finan.R.C j"/>
      <sheetName val="Cert. Finan. R.S. "/>
      <sheetName val="Cert. Finan R.C.S."/>
      <sheetName val="FSS SIPEN"/>
      <sheetName val="Definiciones riesgos"/>
      <sheetName val="Cartera Inv."/>
      <sheetName val="Rentab. Nominal"/>
    </sheetNames>
    <sheetDataSet>
      <sheetData sheetId="0" refreshError="1"/>
      <sheetData sheetId="1" refreshError="1">
        <row r="94">
          <cell r="DF94">
            <v>14904</v>
          </cell>
        </row>
        <row r="102">
          <cell r="CP102">
            <v>5074000</v>
          </cell>
        </row>
        <row r="103">
          <cell r="CP103">
            <v>5578000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6.xml"/><Relationship Id="rId1" Type="http://schemas.openxmlformats.org/officeDocument/2006/relationships/printerSettings" Target="../printerSettings/printerSettings102.bin"/><Relationship Id="rId4" Type="http://schemas.openxmlformats.org/officeDocument/2006/relationships/comments" Target="../comments7.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1.xml"/><Relationship Id="rId1" Type="http://schemas.openxmlformats.org/officeDocument/2006/relationships/printerSettings" Target="../printerSettings/printerSettings105.bin"/><Relationship Id="rId4" Type="http://schemas.openxmlformats.org/officeDocument/2006/relationships/comments" Target="../comments8.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4.xml"/><Relationship Id="rId1" Type="http://schemas.openxmlformats.org/officeDocument/2006/relationships/printerSettings" Target="../printerSettings/printerSettings107.bin"/><Relationship Id="rId4" Type="http://schemas.openxmlformats.org/officeDocument/2006/relationships/comments" Target="../comments9.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6.xml"/><Relationship Id="rId1" Type="http://schemas.openxmlformats.org/officeDocument/2006/relationships/printerSettings" Target="../printerSettings/printerSettings108.bin"/><Relationship Id="rId4" Type="http://schemas.openxmlformats.org/officeDocument/2006/relationships/comments" Target="../comments10.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4.xml"/><Relationship Id="rId1" Type="http://schemas.openxmlformats.org/officeDocument/2006/relationships/printerSettings" Target="../printerSettings/printerSettings113.bin"/><Relationship Id="rId4" Type="http://schemas.openxmlformats.org/officeDocument/2006/relationships/comments" Target="../comments11.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5.xml"/><Relationship Id="rId1" Type="http://schemas.openxmlformats.org/officeDocument/2006/relationships/printerSettings" Target="../printerSettings/printerSettings114.bin"/><Relationship Id="rId4" Type="http://schemas.openxmlformats.org/officeDocument/2006/relationships/comments" Target="../comments12.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1.xml"/><Relationship Id="rId1" Type="http://schemas.openxmlformats.org/officeDocument/2006/relationships/printerSettings" Target="../printerSettings/printerSettings124.bin"/><Relationship Id="rId4" Type="http://schemas.openxmlformats.org/officeDocument/2006/relationships/comments" Target="../comments13.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7.xml"/><Relationship Id="rId1" Type="http://schemas.openxmlformats.org/officeDocument/2006/relationships/printerSettings" Target="../printerSettings/printerSettings127.bin"/><Relationship Id="rId4" Type="http://schemas.openxmlformats.org/officeDocument/2006/relationships/comments" Target="../comments14.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9.xml"/><Relationship Id="rId1" Type="http://schemas.openxmlformats.org/officeDocument/2006/relationships/printerSettings" Target="../printerSettings/printerSettings128.bin"/><Relationship Id="rId4" Type="http://schemas.openxmlformats.org/officeDocument/2006/relationships/comments" Target="../comments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2.xml"/><Relationship Id="rId1" Type="http://schemas.openxmlformats.org/officeDocument/2006/relationships/printerSettings" Target="../printerSettings/printerSettings139.bin"/><Relationship Id="rId5" Type="http://schemas.openxmlformats.org/officeDocument/2006/relationships/image" Target="../media/image24.emf"/><Relationship Id="rId4" Type="http://schemas.openxmlformats.org/officeDocument/2006/relationships/control" Target="../activeX/activeX1.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4.xml"/><Relationship Id="rId1" Type="http://schemas.openxmlformats.org/officeDocument/2006/relationships/printerSettings" Target="../printerSettings/printerSettings177.bin"/><Relationship Id="rId4" Type="http://schemas.openxmlformats.org/officeDocument/2006/relationships/comments" Target="../comments16.xm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4.xml"/><Relationship Id="rId1" Type="http://schemas.openxmlformats.org/officeDocument/2006/relationships/printerSettings" Target="../printerSettings/printerSettings34.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0.xml"/><Relationship Id="rId1" Type="http://schemas.openxmlformats.org/officeDocument/2006/relationships/printerSettings" Target="../printerSettings/printerSettings47.bin"/><Relationship Id="rId4"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2.xml"/><Relationship Id="rId1" Type="http://schemas.openxmlformats.org/officeDocument/2006/relationships/printerSettings" Target="../printerSettings/printerSettings65.bin"/><Relationship Id="rId4" Type="http://schemas.openxmlformats.org/officeDocument/2006/relationships/comments" Target="../comments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8.xml"/><Relationship Id="rId1" Type="http://schemas.openxmlformats.org/officeDocument/2006/relationships/printerSettings" Target="../printerSettings/printerSettings87.bin"/><Relationship Id="rId4" Type="http://schemas.openxmlformats.org/officeDocument/2006/relationships/comments" Target="../comments4.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0.xml"/><Relationship Id="rId1" Type="http://schemas.openxmlformats.org/officeDocument/2006/relationships/printerSettings" Target="../printerSettings/printerSettings89.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2.xml"/><Relationship Id="rId1" Type="http://schemas.openxmlformats.org/officeDocument/2006/relationships/printerSettings" Target="../printerSettings/printerSettings90.bin"/><Relationship Id="rId4" Type="http://schemas.openxmlformats.org/officeDocument/2006/relationships/comments" Target="../comments6.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view="pageBreakPreview" zoomScale="40" zoomScaleNormal="100" zoomScaleSheetLayoutView="40" workbookViewId="0">
      <selection activeCell="O52" sqref="O52"/>
    </sheetView>
  </sheetViews>
  <sheetFormatPr baseColWidth="10" defaultColWidth="15.140625" defaultRowHeight="15"/>
  <cols>
    <col min="1" max="1" width="17.28515625" customWidth="1"/>
    <col min="6" max="6" width="22.28515625" customWidth="1"/>
    <col min="8" max="8" width="19.85546875" customWidth="1"/>
    <col min="11" max="11" width="24.28515625" customWidth="1"/>
    <col min="12" max="12" width="16.42578125" customWidth="1"/>
    <col min="13" max="13" width="18" customWidth="1"/>
    <col min="14" max="14" width="17.28515625" customWidth="1"/>
    <col min="15" max="15" width="16.5703125" customWidth="1"/>
  </cols>
  <sheetData>
    <row r="1" ht="42" customHeight="1"/>
  </sheetData>
  <pageMargins left="0.7" right="0.7" top="0.75" bottom="0.75" header="0.3" footer="0.3"/>
  <pageSetup scale="3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499984740745262"/>
    <pageSetUpPr fitToPage="1"/>
  </sheetPr>
  <dimension ref="A1:R55"/>
  <sheetViews>
    <sheetView showGridLines="0" tabSelected="1" view="pageBreakPreview" zoomScale="40" zoomScaleNormal="100" zoomScaleSheetLayoutView="40" workbookViewId="0">
      <pane ySplit="1" topLeftCell="A2" activePane="bottomLeft" state="frozen"/>
      <selection pane="bottomLeft" activeCell="I8" sqref="I8"/>
    </sheetView>
  </sheetViews>
  <sheetFormatPr baseColWidth="10" defaultColWidth="11.42578125" defaultRowHeight="20.25" customHeight="1"/>
  <cols>
    <col min="1" max="1" width="28.7109375" style="128" customWidth="1"/>
    <col min="2" max="2" width="28.140625" style="128" customWidth="1"/>
    <col min="3" max="3" width="26.42578125" style="128" customWidth="1"/>
    <col min="4" max="4" width="29.42578125" style="128" customWidth="1"/>
    <col min="5" max="5" width="33" style="128" bestFit="1" customWidth="1"/>
    <col min="6" max="6" width="32.140625" style="128" customWidth="1"/>
    <col min="7" max="7" width="15.85546875" style="128" customWidth="1"/>
    <col min="8" max="8" width="16.7109375" style="128" customWidth="1"/>
    <col min="9" max="9" width="20.85546875" style="128" customWidth="1"/>
    <col min="10" max="10" width="19.85546875" style="128" customWidth="1"/>
    <col min="11" max="11" width="23" style="128" customWidth="1"/>
    <col min="12" max="12" width="24.42578125" style="128" customWidth="1"/>
    <col min="13" max="13" width="22.28515625" style="128" customWidth="1"/>
    <col min="14" max="14" width="24.140625" style="128" customWidth="1"/>
    <col min="15" max="15" width="25.42578125" style="128" customWidth="1"/>
    <col min="16" max="17" width="11.42578125" style="128"/>
    <col min="18" max="18" width="28" style="128" bestFit="1" customWidth="1"/>
    <col min="19" max="16384" width="11.42578125" style="128"/>
  </cols>
  <sheetData>
    <row r="1" spans="1:18" ht="141.75" customHeight="1">
      <c r="A1" s="2215" t="s">
        <v>1923</v>
      </c>
      <c r="B1" s="2215"/>
      <c r="C1" s="2215"/>
      <c r="D1" s="2215"/>
      <c r="E1" s="2215"/>
      <c r="F1" s="2215"/>
      <c r="G1" s="2215"/>
      <c r="H1" s="2215"/>
      <c r="I1" s="2215"/>
      <c r="J1" s="2215"/>
      <c r="K1" s="2215"/>
      <c r="L1" s="2215"/>
      <c r="M1" s="2215"/>
      <c r="N1" s="2215"/>
      <c r="O1" s="2215"/>
    </row>
    <row r="2" spans="1:18" ht="324.75" customHeight="1">
      <c r="A2" s="2216" t="s">
        <v>1731</v>
      </c>
      <c r="B2" s="2216"/>
      <c r="C2" s="2216"/>
      <c r="D2" s="2216"/>
      <c r="E2" s="2216"/>
      <c r="F2" s="2216"/>
      <c r="G2" s="2216"/>
      <c r="H2" s="2216"/>
      <c r="I2" s="2216"/>
      <c r="J2" s="2216"/>
      <c r="K2" s="2216"/>
      <c r="L2" s="2216"/>
      <c r="M2" s="2216"/>
      <c r="N2" s="2216"/>
      <c r="O2" s="2216"/>
      <c r="R2" s="1702"/>
    </row>
    <row r="3" spans="1:18" ht="96" customHeight="1">
      <c r="A3" s="1305" t="s">
        <v>495</v>
      </c>
      <c r="B3" s="784" t="s">
        <v>1438</v>
      </c>
      <c r="C3" s="784" t="s">
        <v>476</v>
      </c>
      <c r="D3" s="784" t="s">
        <v>1441</v>
      </c>
      <c r="E3" s="1926" t="s">
        <v>904</v>
      </c>
      <c r="F3" s="1926" t="s">
        <v>732</v>
      </c>
      <c r="H3" s="128" t="s">
        <v>1851</v>
      </c>
      <c r="I3" s="148"/>
      <c r="J3" s="148"/>
      <c r="K3" s="148"/>
      <c r="L3" s="148"/>
      <c r="M3" s="148"/>
      <c r="N3" s="148"/>
      <c r="O3" s="2088"/>
    </row>
    <row r="4" spans="1:18" ht="30" hidden="1" customHeight="1">
      <c r="A4" s="1306" t="s">
        <v>28</v>
      </c>
      <c r="B4" s="1160">
        <v>620869</v>
      </c>
      <c r="C4" s="1540"/>
      <c r="D4" s="1541">
        <f t="shared" ref="D4:D11" si="0">B4/E4</f>
        <v>7.1018807597710357E-2</v>
      </c>
      <c r="E4" s="1162">
        <v>8742318</v>
      </c>
      <c r="F4" s="1540"/>
      <c r="I4" s="148"/>
      <c r="J4" s="148"/>
      <c r="K4" s="148"/>
      <c r="L4" s="148"/>
      <c r="M4" s="148"/>
      <c r="N4" s="148"/>
      <c r="O4" s="2088"/>
    </row>
    <row r="5" spans="1:18" ht="26.25" hidden="1" customHeight="1">
      <c r="A5" s="1306" t="s">
        <v>29</v>
      </c>
      <c r="B5" s="1160">
        <v>658303</v>
      </c>
      <c r="C5" s="1541">
        <f>B5/B4-1</f>
        <v>6.0292912031362444E-2</v>
      </c>
      <c r="D5" s="1541">
        <f t="shared" si="0"/>
        <v>7.4342300067780712E-2</v>
      </c>
      <c r="E5" s="1162">
        <v>8855026</v>
      </c>
      <c r="F5" s="1927">
        <f t="shared" ref="F5:F12" si="1">(E5-E4)/E4*100</f>
        <v>1.2892232929527385</v>
      </c>
      <c r="I5" s="148"/>
      <c r="J5" s="148"/>
      <c r="K5" s="148"/>
      <c r="L5" s="148"/>
      <c r="M5" s="148"/>
      <c r="N5" s="148"/>
      <c r="O5" s="2088"/>
      <c r="R5" s="1703"/>
    </row>
    <row r="6" spans="1:18" ht="24" customHeight="1">
      <c r="A6" s="1306" t="s">
        <v>30</v>
      </c>
      <c r="B6" s="1160">
        <v>893146</v>
      </c>
      <c r="C6" s="1541">
        <f t="shared" ref="C6:C14" si="2">B6/B5-1</f>
        <v>0.35673998143711949</v>
      </c>
      <c r="D6" s="1541">
        <f t="shared" si="0"/>
        <v>9.9590952152418602E-2</v>
      </c>
      <c r="E6" s="1162">
        <v>8968144</v>
      </c>
      <c r="F6" s="1927">
        <f>(E6-E5)/E5*100</f>
        <v>1.2774440187979119</v>
      </c>
      <c r="I6" s="148"/>
      <c r="J6" s="148"/>
      <c r="K6" s="148"/>
      <c r="L6" s="148"/>
      <c r="M6" s="148"/>
      <c r="N6" s="148"/>
      <c r="O6" s="2088"/>
    </row>
    <row r="7" spans="1:18" ht="26.25" customHeight="1">
      <c r="A7" s="1306" t="s">
        <v>31</v>
      </c>
      <c r="B7" s="1160">
        <v>1321912</v>
      </c>
      <c r="C7" s="1541">
        <f t="shared" si="2"/>
        <v>0.48006261014436613</v>
      </c>
      <c r="D7" s="1541">
        <f t="shared" si="0"/>
        <v>0.14570845698801232</v>
      </c>
      <c r="E7" s="1162">
        <v>9072308</v>
      </c>
      <c r="F7" s="1927">
        <f t="shared" si="1"/>
        <v>1.1614889323811037</v>
      </c>
      <c r="I7" s="148"/>
      <c r="J7" s="148"/>
      <c r="K7" s="148"/>
      <c r="L7" s="148"/>
      <c r="M7" s="148"/>
      <c r="N7" s="148"/>
      <c r="O7" s="2088"/>
    </row>
    <row r="8" spans="1:18" ht="24" customHeight="1">
      <c r="A8" s="1306" t="s">
        <v>32</v>
      </c>
      <c r="B8" s="1160">
        <v>2681403</v>
      </c>
      <c r="C8" s="1541">
        <f t="shared" si="2"/>
        <v>1.0284277622111002</v>
      </c>
      <c r="D8" s="1541">
        <f t="shared" si="0"/>
        <v>0.29224256738088766</v>
      </c>
      <c r="E8" s="1162">
        <v>9175265</v>
      </c>
      <c r="F8" s="1927">
        <f t="shared" si="1"/>
        <v>1.1348490373122253</v>
      </c>
      <c r="I8" s="148"/>
      <c r="J8" s="148"/>
      <c r="K8" s="148"/>
      <c r="L8" s="148"/>
      <c r="M8" s="148"/>
      <c r="N8" s="148"/>
      <c r="O8" s="2088"/>
    </row>
    <row r="9" spans="1:18" ht="27.75" customHeight="1">
      <c r="A9" s="1306" t="s">
        <v>33</v>
      </c>
      <c r="B9" s="1160">
        <v>2954314</v>
      </c>
      <c r="C9" s="1541">
        <f t="shared" si="2"/>
        <v>0.10177918052601576</v>
      </c>
      <c r="D9" s="1541">
        <f t="shared" si="0"/>
        <v>0.31844953763433093</v>
      </c>
      <c r="E9" s="1162">
        <v>9277181</v>
      </c>
      <c r="F9" s="1927">
        <f>(E9-E8)/E8*100</f>
        <v>1.1107690077616286</v>
      </c>
      <c r="G9" s="128" t="s">
        <v>36</v>
      </c>
      <c r="I9" s="148"/>
      <c r="J9" s="148"/>
      <c r="K9" s="148"/>
      <c r="L9" s="148"/>
      <c r="M9" s="148"/>
      <c r="N9" s="148"/>
      <c r="O9" s="2088"/>
    </row>
    <row r="10" spans="1:18" ht="27.75" customHeight="1">
      <c r="A10" s="1306" t="s">
        <v>34</v>
      </c>
      <c r="B10" s="1160">
        <v>3460773</v>
      </c>
      <c r="C10" s="1541">
        <f t="shared" si="2"/>
        <v>0.17143032189537055</v>
      </c>
      <c r="D10" s="1541">
        <f t="shared" si="0"/>
        <v>0.36901312636249789</v>
      </c>
      <c r="E10" s="1162">
        <v>9378455</v>
      </c>
      <c r="F10" s="1927">
        <f t="shared" si="1"/>
        <v>1.0916462662526474</v>
      </c>
      <c r="I10" s="148"/>
      <c r="J10" s="148"/>
      <c r="K10" s="148"/>
      <c r="L10" s="148"/>
      <c r="M10" s="148"/>
      <c r="N10" s="148"/>
      <c r="O10" s="2088"/>
    </row>
    <row r="11" spans="1:18" ht="29.25" customHeight="1">
      <c r="A11" s="1306" t="s">
        <v>359</v>
      </c>
      <c r="B11" s="1161">
        <v>4293002</v>
      </c>
      <c r="C11" s="1542">
        <f t="shared" si="2"/>
        <v>0.24047488812470519</v>
      </c>
      <c r="D11" s="1541">
        <f t="shared" si="0"/>
        <v>0.45291462505269758</v>
      </c>
      <c r="E11" s="1163">
        <v>9478612</v>
      </c>
      <c r="F11" s="1928">
        <f t="shared" si="1"/>
        <v>1.0679477589858883</v>
      </c>
      <c r="I11" s="148"/>
      <c r="J11" s="148"/>
      <c r="K11" s="148"/>
      <c r="O11" s="2088"/>
    </row>
    <row r="12" spans="1:18" ht="25.5" customHeight="1">
      <c r="A12" s="1306" t="s">
        <v>477</v>
      </c>
      <c r="B12" s="1161">
        <v>4612926</v>
      </c>
      <c r="C12" s="1542">
        <f t="shared" si="2"/>
        <v>7.4522210797945077E-2</v>
      </c>
      <c r="D12" s="1541">
        <f>B12/E12</f>
        <v>0.48151713839158172</v>
      </c>
      <c r="E12" s="1163">
        <v>9579983</v>
      </c>
      <c r="F12" s="1928">
        <f t="shared" si="1"/>
        <v>1.0694709309759698</v>
      </c>
      <c r="I12" s="148"/>
      <c r="J12" s="148"/>
      <c r="K12" s="148"/>
      <c r="O12" s="2088"/>
    </row>
    <row r="13" spans="1:18" ht="27" customHeight="1">
      <c r="A13" s="1306" t="s">
        <v>1057</v>
      </c>
      <c r="B13" s="1260">
        <f>+'I.1.4 Afil. SDSS Anual'!L13</f>
        <v>5072975</v>
      </c>
      <c r="C13" s="1543">
        <f t="shared" si="2"/>
        <v>9.9730409722592617E-2</v>
      </c>
      <c r="D13" s="1541">
        <f>B13/E13</f>
        <v>0.52403875653967025</v>
      </c>
      <c r="E13" s="1720">
        <v>9680534</v>
      </c>
      <c r="F13" s="1929">
        <f>(E13-E12)/E12*100</f>
        <v>1.0495947644165966</v>
      </c>
      <c r="I13" s="148"/>
      <c r="J13" s="148" t="s">
        <v>264</v>
      </c>
      <c r="K13" s="148"/>
      <c r="O13" s="2088"/>
    </row>
    <row r="14" spans="1:18" ht="30.75" customHeight="1">
      <c r="A14" s="1306" t="s">
        <v>1640</v>
      </c>
      <c r="B14" s="1260">
        <f>+'I.1.4 Afil. SDSS Anual'!L14</f>
        <v>5641442</v>
      </c>
      <c r="C14" s="1543">
        <f t="shared" si="2"/>
        <v>0.1120579147344507</v>
      </c>
      <c r="D14" s="1541">
        <f>B14/E14</f>
        <v>0.57679074074433812</v>
      </c>
      <c r="E14" s="1260">
        <v>9780743</v>
      </c>
      <c r="F14" s="1929">
        <f>(E14-E13)/E13*100</f>
        <v>1.0351598372569115</v>
      </c>
      <c r="I14" s="149"/>
      <c r="J14" s="149"/>
      <c r="L14" s="2089"/>
      <c r="M14" s="2089"/>
      <c r="N14" s="2089"/>
      <c r="O14" s="2088"/>
    </row>
    <row r="15" spans="1:18" ht="27" customHeight="1">
      <c r="A15" s="1306" t="s">
        <v>1922</v>
      </c>
      <c r="B15" s="1260">
        <f>+'I.1.4 Afil. SDSS Anual'!L15</f>
        <v>6271063</v>
      </c>
      <c r="C15" s="1543"/>
      <c r="D15" s="1541">
        <f>B15/E15</f>
        <v>0.63469053454251578</v>
      </c>
      <c r="E15" s="1260">
        <v>9880505</v>
      </c>
      <c r="F15" s="1544"/>
      <c r="I15" s="149"/>
      <c r="J15" s="149"/>
      <c r="L15" s="2089"/>
      <c r="M15" s="2089"/>
      <c r="N15" s="2089"/>
      <c r="O15" s="2088"/>
    </row>
    <row r="16" spans="1:18" ht="51.75" customHeight="1">
      <c r="A16" s="2212" t="s">
        <v>1074</v>
      </c>
      <c r="B16" s="2213"/>
      <c r="C16" s="1301">
        <f>AVERAGE(C4:C14)</f>
        <v>0.27255181916250287</v>
      </c>
      <c r="D16" s="1302"/>
      <c r="E16" s="1303"/>
      <c r="F16" s="1304">
        <f>AVERAGE(F4:F15)</f>
        <v>1.128759384709362</v>
      </c>
      <c r="I16" s="149"/>
      <c r="J16" s="149"/>
      <c r="L16" s="2088"/>
      <c r="M16" s="2088"/>
      <c r="N16" s="2088"/>
      <c r="O16" s="2088"/>
    </row>
    <row r="17" spans="1:14" ht="17.25" customHeight="1">
      <c r="A17" s="39"/>
      <c r="B17" s="229"/>
      <c r="C17" s="149"/>
      <c r="D17" s="149"/>
      <c r="E17" s="149"/>
      <c r="F17" s="230"/>
      <c r="G17" s="78"/>
      <c r="H17" s="151"/>
      <c r="I17" s="22"/>
      <c r="J17" s="151"/>
    </row>
    <row r="18" spans="1:14" ht="20.25" customHeight="1">
      <c r="A18" s="151"/>
      <c r="B18" s="151"/>
      <c r="C18" s="151"/>
      <c r="D18" s="151"/>
      <c r="E18" s="151"/>
      <c r="F18" s="151"/>
      <c r="G18" s="151"/>
      <c r="H18" s="151"/>
      <c r="I18" s="151"/>
      <c r="J18" s="151"/>
    </row>
    <row r="19" spans="1:14" ht="20.25" customHeight="1">
      <c r="A19" s="20"/>
      <c r="B19" s="151"/>
      <c r="C19" s="151"/>
      <c r="D19" s="151"/>
      <c r="E19" s="151"/>
      <c r="F19" s="151"/>
      <c r="G19" s="151"/>
      <c r="H19" s="151"/>
      <c r="I19" s="151"/>
      <c r="J19" s="151"/>
    </row>
    <row r="25" spans="1:14" ht="20.25" customHeight="1">
      <c r="N25" s="128" t="s">
        <v>1040</v>
      </c>
    </row>
    <row r="41" spans="10:10" ht="20.25" customHeight="1">
      <c r="J41" s="128" t="s">
        <v>36</v>
      </c>
    </row>
    <row r="46" spans="10:10" ht="27.75" customHeight="1"/>
    <row r="47" spans="10:10" ht="24" customHeight="1"/>
    <row r="48" spans="10:10" ht="80.25" customHeight="1"/>
    <row r="49" spans="1:10" ht="25.5" customHeight="1"/>
    <row r="50" spans="1:10" ht="25.5" customHeight="1"/>
    <row r="51" spans="1:10" ht="25.5" customHeight="1"/>
    <row r="52" spans="1:10" ht="27.75" customHeight="1">
      <c r="A52" s="2214"/>
      <c r="B52" s="2214"/>
      <c r="C52" s="2214"/>
      <c r="D52" s="2214"/>
      <c r="E52" s="2214"/>
      <c r="F52" s="2214"/>
      <c r="G52" s="2214"/>
      <c r="H52" s="2214"/>
      <c r="I52" s="2214"/>
      <c r="J52" s="2214"/>
    </row>
    <row r="53" spans="1:10" ht="24" customHeight="1">
      <c r="A53" s="2214"/>
      <c r="B53" s="2214"/>
      <c r="C53" s="2214"/>
      <c r="D53" s="2214"/>
      <c r="E53" s="2214"/>
      <c r="F53" s="2214"/>
      <c r="G53" s="2214"/>
      <c r="H53" s="2214"/>
      <c r="I53" s="2214"/>
      <c r="J53" s="2214"/>
    </row>
    <row r="54" spans="1:10" ht="24" customHeight="1"/>
    <row r="55" spans="1:10" ht="26.25" customHeight="1"/>
  </sheetData>
  <mergeCells count="4">
    <mergeCell ref="A16:B16"/>
    <mergeCell ref="A52:J53"/>
    <mergeCell ref="A1:O1"/>
    <mergeCell ref="A2:O2"/>
  </mergeCells>
  <printOptions horizontalCentered="1" verticalCentered="1"/>
  <pageMargins left="0.25" right="0.25" top="0.75" bottom="0.75" header="0.3" footer="0.3"/>
  <pageSetup scale="28"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45"/>
  <sheetViews>
    <sheetView showGridLines="0" view="pageBreakPreview" zoomScale="70" zoomScaleNormal="100" zoomScaleSheetLayoutView="70" workbookViewId="0">
      <selection activeCell="J15" sqref="J15"/>
    </sheetView>
  </sheetViews>
  <sheetFormatPr baseColWidth="10" defaultColWidth="11.42578125" defaultRowHeight="15"/>
  <cols>
    <col min="1" max="1" width="10.42578125" style="128" customWidth="1"/>
    <col min="2" max="2" width="13.42578125" style="128" customWidth="1"/>
    <col min="3" max="3" width="14.5703125" style="128" bestFit="1" customWidth="1"/>
    <col min="4" max="4" width="15.28515625" style="128" customWidth="1"/>
    <col min="5" max="5" width="16.140625" style="128" customWidth="1"/>
    <col min="6" max="6" width="15.7109375" style="128" customWidth="1"/>
    <col min="7" max="9" width="11.42578125" style="128"/>
    <col min="10" max="10" width="11.85546875" style="128" bestFit="1" customWidth="1"/>
    <col min="11" max="16384" width="11.42578125" style="128"/>
  </cols>
  <sheetData>
    <row r="1" spans="1:16" ht="75.75" customHeight="1">
      <c r="A1" s="2437" t="s">
        <v>1966</v>
      </c>
      <c r="B1" s="2437"/>
      <c r="C1" s="2437"/>
      <c r="D1" s="2437"/>
      <c r="E1" s="2437"/>
      <c r="F1" s="2437"/>
      <c r="G1" s="2437"/>
      <c r="H1" s="2437"/>
      <c r="I1" s="2437"/>
      <c r="J1" s="2437"/>
      <c r="K1" s="2437"/>
      <c r="L1" s="2437"/>
      <c r="M1" s="2437"/>
      <c r="N1" s="2437"/>
      <c r="O1" s="2437"/>
      <c r="P1" s="2437"/>
    </row>
    <row r="2" spans="1:16" ht="24" customHeight="1">
      <c r="A2" s="2436" t="s">
        <v>2021</v>
      </c>
      <c r="B2" s="2436"/>
      <c r="C2" s="2436"/>
      <c r="D2" s="2436"/>
      <c r="E2" s="2436"/>
      <c r="F2" s="2436"/>
      <c r="G2" s="2436"/>
      <c r="H2" s="2436"/>
      <c r="I2" s="2436"/>
      <c r="J2" s="2436"/>
      <c r="K2" s="2436"/>
      <c r="L2" s="2436"/>
      <c r="M2" s="2436"/>
      <c r="N2" s="2436"/>
      <c r="O2" s="2436"/>
    </row>
    <row r="3" spans="1:16" ht="21.75" customHeight="1">
      <c r="A3" s="2127" t="s">
        <v>53</v>
      </c>
      <c r="B3" s="2127" t="s">
        <v>54</v>
      </c>
      <c r="C3" s="2127" t="s">
        <v>55</v>
      </c>
      <c r="D3" s="2127" t="s">
        <v>23</v>
      </c>
      <c r="E3" s="2127" t="s">
        <v>464</v>
      </c>
      <c r="F3" s="2127" t="s">
        <v>465</v>
      </c>
      <c r="G3" s="148"/>
      <c r="H3" s="148"/>
      <c r="I3" s="148"/>
      <c r="J3" s="148"/>
      <c r="K3" s="148"/>
      <c r="L3" s="148"/>
    </row>
    <row r="4" spans="1:16" ht="15.75" hidden="1">
      <c r="A4" s="1184" t="s">
        <v>1658</v>
      </c>
      <c r="B4" s="743">
        <v>568158</v>
      </c>
      <c r="C4" s="743">
        <v>418380</v>
      </c>
      <c r="D4" s="744">
        <f>SUM(B4:C4)</f>
        <v>986538</v>
      </c>
      <c r="E4" s="239">
        <f>B4/D4</f>
        <v>0.57591091270685979</v>
      </c>
      <c r="F4" s="239">
        <f>C4/D4</f>
        <v>0.42408908729314027</v>
      </c>
      <c r="G4" s="148"/>
      <c r="H4" s="59"/>
      <c r="I4" s="59"/>
      <c r="J4" s="59"/>
      <c r="K4" s="59"/>
      <c r="L4" s="148"/>
    </row>
    <row r="5" spans="1:16" ht="15.75" hidden="1">
      <c r="A5" s="1184" t="s">
        <v>1659</v>
      </c>
      <c r="B5" s="743">
        <v>685676</v>
      </c>
      <c r="C5" s="743">
        <v>504526</v>
      </c>
      <c r="D5" s="744">
        <f t="shared" ref="D5:D15" si="0">SUM(B5:C5)</f>
        <v>1190202</v>
      </c>
      <c r="E5" s="239">
        <f t="shared" ref="E5:E15" si="1">B5/D5</f>
        <v>0.57610052747348772</v>
      </c>
      <c r="F5" s="239">
        <f t="shared" ref="F5:F15" si="2">C5/D5</f>
        <v>0.42389947252651233</v>
      </c>
      <c r="G5" s="148"/>
      <c r="H5" s="319"/>
      <c r="I5" s="205"/>
      <c r="J5" s="205"/>
      <c r="K5" s="321"/>
      <c r="L5" s="148"/>
    </row>
    <row r="6" spans="1:16" ht="15.75">
      <c r="A6" s="1184" t="s">
        <v>1660</v>
      </c>
      <c r="B6" s="743">
        <v>828566</v>
      </c>
      <c r="C6" s="743">
        <v>600955</v>
      </c>
      <c r="D6" s="744">
        <f t="shared" si="0"/>
        <v>1429521</v>
      </c>
      <c r="E6" s="239">
        <f t="shared" si="1"/>
        <v>0.57961093261309204</v>
      </c>
      <c r="F6" s="239">
        <f t="shared" si="2"/>
        <v>0.4203890673869079</v>
      </c>
      <c r="G6" s="148"/>
      <c r="H6" s="526"/>
      <c r="I6" s="205"/>
      <c r="J6" s="205"/>
      <c r="K6" s="321"/>
      <c r="L6" s="148"/>
    </row>
    <row r="7" spans="1:16" ht="15.75">
      <c r="A7" s="1184" t="s">
        <v>1661</v>
      </c>
      <c r="B7" s="743">
        <v>930043</v>
      </c>
      <c r="C7" s="743">
        <v>658578</v>
      </c>
      <c r="D7" s="744">
        <f t="shared" si="0"/>
        <v>1588621</v>
      </c>
      <c r="E7" s="239">
        <f t="shared" si="1"/>
        <v>0.58544045433114633</v>
      </c>
      <c r="F7" s="239">
        <f t="shared" si="2"/>
        <v>0.41455954566885367</v>
      </c>
      <c r="G7" s="148"/>
      <c r="H7" s="527"/>
      <c r="I7" s="205"/>
      <c r="J7" s="205"/>
      <c r="K7" s="321"/>
      <c r="L7" s="148"/>
    </row>
    <row r="8" spans="1:16" ht="15.75">
      <c r="A8" s="1184" t="s">
        <v>1662</v>
      </c>
      <c r="B8" s="743">
        <v>1055907</v>
      </c>
      <c r="C8" s="743">
        <v>741120</v>
      </c>
      <c r="D8" s="744">
        <f t="shared" si="0"/>
        <v>1797027</v>
      </c>
      <c r="E8" s="239">
        <f t="shared" si="1"/>
        <v>0.58758549537653026</v>
      </c>
      <c r="F8" s="239">
        <f t="shared" si="2"/>
        <v>0.41241450462346979</v>
      </c>
      <c r="G8" s="148"/>
      <c r="H8" s="527"/>
      <c r="I8" s="148"/>
      <c r="J8" s="205"/>
      <c r="K8" s="205"/>
      <c r="L8" s="148"/>
    </row>
    <row r="9" spans="1:16" ht="15.75">
      <c r="A9" s="1184" t="s">
        <v>1663</v>
      </c>
      <c r="B9" s="1576">
        <v>1165631</v>
      </c>
      <c r="C9" s="1576">
        <v>818089</v>
      </c>
      <c r="D9" s="744">
        <f t="shared" si="0"/>
        <v>1983720</v>
      </c>
      <c r="E9" s="239">
        <f t="shared" si="1"/>
        <v>0.58759855221503032</v>
      </c>
      <c r="F9" s="239">
        <f t="shared" si="2"/>
        <v>0.41240144778496968</v>
      </c>
      <c r="G9" s="148"/>
      <c r="H9" s="148"/>
      <c r="I9" s="148"/>
      <c r="J9" s="205"/>
      <c r="K9" s="205"/>
      <c r="L9" s="148"/>
    </row>
    <row r="10" spans="1:16" ht="15.75">
      <c r="A10" s="1184" t="s">
        <v>1664</v>
      </c>
      <c r="B10" s="1576">
        <v>1281904</v>
      </c>
      <c r="C10" s="1576">
        <v>911986</v>
      </c>
      <c r="D10" s="744">
        <f t="shared" si="0"/>
        <v>2193890</v>
      </c>
      <c r="E10" s="239">
        <f t="shared" si="1"/>
        <v>0.58430641463336808</v>
      </c>
      <c r="F10" s="239">
        <f t="shared" si="2"/>
        <v>0.41569358536663187</v>
      </c>
      <c r="G10" s="148"/>
      <c r="H10" s="508"/>
      <c r="I10" s="148"/>
      <c r="J10" s="205"/>
      <c r="K10" s="205"/>
      <c r="L10" s="148"/>
    </row>
    <row r="11" spans="1:16" ht="15.75">
      <c r="A11" s="1184" t="s">
        <v>1665</v>
      </c>
      <c r="B11" s="1576">
        <v>1383536</v>
      </c>
      <c r="C11" s="1576">
        <v>991247</v>
      </c>
      <c r="D11" s="744">
        <f t="shared" si="0"/>
        <v>2374783</v>
      </c>
      <c r="E11" s="239">
        <f t="shared" si="1"/>
        <v>0.58259470444246908</v>
      </c>
      <c r="F11" s="239">
        <f t="shared" si="2"/>
        <v>0.41740529555753092</v>
      </c>
      <c r="G11" s="148"/>
      <c r="H11" s="508"/>
      <c r="I11" s="148"/>
      <c r="J11" s="205"/>
      <c r="K11" s="205"/>
      <c r="L11" s="148"/>
      <c r="P11" s="205"/>
    </row>
    <row r="12" spans="1:16" ht="15.75">
      <c r="A12" s="1184" t="s">
        <v>1666</v>
      </c>
      <c r="B12" s="1576">
        <v>1480731</v>
      </c>
      <c r="C12" s="1576">
        <v>1072243</v>
      </c>
      <c r="D12" s="744">
        <f t="shared" si="0"/>
        <v>2552974</v>
      </c>
      <c r="E12" s="239">
        <f t="shared" si="1"/>
        <v>0.58000238153620054</v>
      </c>
      <c r="F12" s="239">
        <f t="shared" si="2"/>
        <v>0.41999761846379946</v>
      </c>
      <c r="G12" s="1"/>
      <c r="H12" s="1"/>
      <c r="I12" s="1"/>
      <c r="J12" s="205"/>
      <c r="K12" s="205"/>
      <c r="L12" s="1"/>
    </row>
    <row r="13" spans="1:16" ht="15.75">
      <c r="A13" s="1184" t="s">
        <v>1667</v>
      </c>
      <c r="B13" s="1576">
        <v>1570504</v>
      </c>
      <c r="C13" s="1576">
        <v>1143945</v>
      </c>
      <c r="D13" s="744">
        <f t="shared" si="0"/>
        <v>2714449</v>
      </c>
      <c r="E13" s="239">
        <f t="shared" si="1"/>
        <v>0.57857193117277206</v>
      </c>
      <c r="F13" s="239">
        <f t="shared" si="2"/>
        <v>0.42142806882722794</v>
      </c>
      <c r="G13" s="1"/>
      <c r="H13" s="1"/>
      <c r="I13" s="1"/>
      <c r="J13" s="1"/>
      <c r="K13" s="1"/>
      <c r="L13" s="1"/>
    </row>
    <row r="14" spans="1:16" ht="15.75">
      <c r="A14" s="1184" t="s">
        <v>1668</v>
      </c>
      <c r="B14" s="1576">
        <v>1661097</v>
      </c>
      <c r="C14" s="1576">
        <v>1220033</v>
      </c>
      <c r="D14" s="744">
        <f t="shared" si="0"/>
        <v>2881130</v>
      </c>
      <c r="E14" s="239">
        <f t="shared" si="1"/>
        <v>0.57654357838764647</v>
      </c>
      <c r="F14" s="239">
        <f t="shared" si="2"/>
        <v>0.42345642161235347</v>
      </c>
      <c r="G14" s="1"/>
      <c r="H14" s="1"/>
      <c r="I14" s="1"/>
      <c r="J14" s="1"/>
      <c r="K14" s="1"/>
      <c r="L14" s="1"/>
    </row>
    <row r="15" spans="1:16" ht="15.75">
      <c r="A15" s="1184" t="s">
        <v>1967</v>
      </c>
      <c r="B15" s="1576">
        <v>1759926</v>
      </c>
      <c r="C15" s="1576">
        <v>1309974</v>
      </c>
      <c r="D15" s="744">
        <f t="shared" si="0"/>
        <v>3069900</v>
      </c>
      <c r="E15" s="239">
        <f t="shared" si="1"/>
        <v>0.57328447180689923</v>
      </c>
      <c r="F15" s="239">
        <f t="shared" si="2"/>
        <v>0.42671552819310077</v>
      </c>
      <c r="G15" s="1"/>
      <c r="H15" s="1704"/>
      <c r="I15" s="1704"/>
      <c r="J15" s="1704"/>
      <c r="K15" s="1"/>
      <c r="L15" s="1"/>
    </row>
    <row r="16" spans="1:16">
      <c r="B16" s="1"/>
      <c r="C16" s="1"/>
      <c r="D16" s="1"/>
      <c r="E16" s="1"/>
      <c r="F16" s="1"/>
      <c r="G16" s="1"/>
      <c r="H16" s="1704"/>
      <c r="I16" s="1704"/>
      <c r="J16" s="1704"/>
      <c r="K16" s="1"/>
      <c r="L16" s="1"/>
    </row>
    <row r="17" spans="2:12">
      <c r="B17" s="1"/>
      <c r="C17" s="1"/>
      <c r="D17" s="1"/>
      <c r="E17" s="1"/>
      <c r="F17" s="1"/>
      <c r="G17" s="1"/>
      <c r="H17" s="1"/>
      <c r="I17" s="1"/>
      <c r="J17" s="1"/>
      <c r="K17" s="1"/>
      <c r="L17" s="1"/>
    </row>
    <row r="18" spans="2:12">
      <c r="B18" s="1"/>
      <c r="C18" s="1"/>
      <c r="D18" s="1"/>
      <c r="E18" s="1"/>
      <c r="F18" s="1"/>
      <c r="G18" s="1"/>
      <c r="H18" s="1"/>
      <c r="I18" s="1"/>
      <c r="J18" s="1"/>
      <c r="K18" s="1"/>
      <c r="L18" s="1"/>
    </row>
    <row r="19" spans="2:12">
      <c r="B19" s="1"/>
      <c r="C19" s="1"/>
      <c r="D19" s="1"/>
      <c r="E19" s="1"/>
      <c r="F19" s="1"/>
      <c r="G19" s="1"/>
      <c r="H19" s="1"/>
      <c r="I19" s="1"/>
      <c r="J19" s="1"/>
      <c r="K19" s="1"/>
      <c r="L19" s="1"/>
    </row>
    <row r="20" spans="2:12">
      <c r="B20" s="1"/>
      <c r="C20" s="1"/>
      <c r="D20" s="1"/>
      <c r="E20" s="1"/>
      <c r="F20" s="1"/>
      <c r="G20" s="1"/>
      <c r="H20" s="1"/>
      <c r="I20" s="1"/>
      <c r="J20" s="1"/>
      <c r="K20" s="1"/>
      <c r="L20" s="1"/>
    </row>
    <row r="21" spans="2:12">
      <c r="B21" s="1"/>
      <c r="C21" s="1"/>
      <c r="D21" s="1"/>
      <c r="E21" s="1"/>
      <c r="F21" s="1"/>
      <c r="G21" s="1"/>
      <c r="H21" s="1"/>
      <c r="I21" s="1"/>
      <c r="J21" s="1"/>
      <c r="K21" s="1"/>
      <c r="L21" s="1"/>
    </row>
    <row r="22" spans="2:12">
      <c r="B22" s="1"/>
      <c r="C22" s="1"/>
      <c r="D22" s="1"/>
      <c r="E22" s="1"/>
      <c r="F22" s="1"/>
      <c r="G22" s="1"/>
      <c r="H22" s="1"/>
      <c r="I22" s="1"/>
      <c r="J22" s="1"/>
      <c r="K22" s="1"/>
      <c r="L22" s="1"/>
    </row>
    <row r="23" spans="2:12">
      <c r="B23" s="1"/>
      <c r="C23" s="1"/>
      <c r="D23" s="1"/>
      <c r="E23" s="1"/>
      <c r="F23" s="1"/>
      <c r="G23" s="1"/>
      <c r="H23" s="1"/>
      <c r="I23" s="1"/>
      <c r="J23" s="1"/>
      <c r="K23" s="1"/>
      <c r="L23" s="1"/>
    </row>
    <row r="24" spans="2:12">
      <c r="B24" s="1"/>
      <c r="C24" s="1"/>
      <c r="D24" s="1"/>
      <c r="E24" s="1"/>
      <c r="F24" s="1"/>
      <c r="G24" s="1"/>
      <c r="H24" s="1"/>
      <c r="I24" s="1"/>
      <c r="J24" s="1"/>
      <c r="K24" s="1"/>
      <c r="L24" s="1"/>
    </row>
    <row r="25" spans="2:12">
      <c r="B25" s="1"/>
      <c r="C25" s="1"/>
      <c r="D25" s="1"/>
      <c r="E25" s="1"/>
      <c r="F25" s="1"/>
      <c r="G25" s="1"/>
      <c r="H25" s="1"/>
      <c r="I25" s="1"/>
      <c r="J25" s="1"/>
      <c r="K25" s="1"/>
      <c r="L25" s="1"/>
    </row>
    <row r="26" spans="2:12">
      <c r="B26" s="1"/>
      <c r="C26" s="1"/>
      <c r="D26" s="1"/>
      <c r="E26" s="1"/>
      <c r="F26" s="1"/>
      <c r="G26" s="1"/>
      <c r="H26" s="1"/>
      <c r="I26" s="1"/>
      <c r="J26" s="1"/>
      <c r="K26" s="1"/>
      <c r="L26" s="1"/>
    </row>
    <row r="27" spans="2:12">
      <c r="B27" s="1"/>
      <c r="C27" s="1"/>
      <c r="D27" s="1"/>
      <c r="E27" s="1"/>
      <c r="F27" s="1"/>
      <c r="G27" s="1"/>
      <c r="H27" s="1"/>
      <c r="I27" s="1"/>
      <c r="J27" s="1"/>
      <c r="K27" s="1"/>
      <c r="L27" s="1"/>
    </row>
    <row r="28" spans="2:12">
      <c r="B28" s="1"/>
      <c r="C28" s="1"/>
      <c r="D28" s="1"/>
      <c r="E28" s="1"/>
      <c r="F28" s="1"/>
      <c r="G28" s="1"/>
      <c r="H28" s="1"/>
      <c r="I28" s="1"/>
      <c r="J28" s="1"/>
      <c r="K28" s="1"/>
      <c r="L28" s="1"/>
    </row>
    <row r="29" spans="2:12">
      <c r="B29" s="1"/>
      <c r="C29" s="1"/>
      <c r="D29" s="1"/>
      <c r="E29" s="1"/>
      <c r="F29" s="1"/>
      <c r="G29" s="1"/>
      <c r="H29" s="1"/>
      <c r="I29" s="1"/>
      <c r="J29" s="1"/>
      <c r="K29" s="1"/>
      <c r="L29" s="1"/>
    </row>
    <row r="30" spans="2:12">
      <c r="B30" s="1"/>
      <c r="C30" s="1"/>
      <c r="D30" s="1"/>
      <c r="E30" s="1"/>
      <c r="F30" s="1"/>
      <c r="G30" s="1"/>
      <c r="H30" s="1"/>
      <c r="I30" s="1"/>
      <c r="J30" s="1"/>
      <c r="K30" s="1"/>
      <c r="L30" s="1"/>
    </row>
    <row r="31" spans="2:12">
      <c r="B31" s="1"/>
      <c r="C31" s="1"/>
      <c r="D31" s="1"/>
      <c r="E31" s="1"/>
      <c r="F31" s="1"/>
      <c r="G31" s="1"/>
      <c r="H31" s="1"/>
      <c r="I31" s="1"/>
      <c r="J31" s="1"/>
      <c r="K31" s="1"/>
      <c r="L31" s="1"/>
    </row>
    <row r="32" spans="2:12">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c r="F38" s="1"/>
      <c r="G38" s="1"/>
      <c r="H38" s="1"/>
      <c r="I38" s="1"/>
      <c r="J38" s="1"/>
      <c r="K38" s="1"/>
      <c r="L38" s="1"/>
    </row>
    <row r="39" spans="2:12">
      <c r="B39" s="1"/>
      <c r="C39" s="1"/>
      <c r="D39" s="1"/>
      <c r="E39" s="1"/>
      <c r="F39" s="1"/>
      <c r="G39" s="1"/>
      <c r="H39" s="1"/>
      <c r="I39" s="1"/>
      <c r="J39" s="1"/>
      <c r="K39" s="1"/>
      <c r="L39" s="1"/>
    </row>
    <row r="40" spans="2:12">
      <c r="B40" s="1"/>
      <c r="C40" s="1"/>
      <c r="D40" s="1"/>
      <c r="E40" s="1"/>
      <c r="F40" s="1"/>
      <c r="G40" s="1"/>
      <c r="H40" s="1"/>
      <c r="I40" s="1"/>
      <c r="J40" s="1"/>
      <c r="K40" s="1"/>
      <c r="L40" s="1"/>
    </row>
    <row r="41" spans="2:12">
      <c r="B41" s="1"/>
      <c r="C41" s="1"/>
      <c r="D41" s="1"/>
      <c r="E41" s="1"/>
      <c r="F41" s="1"/>
      <c r="G41" s="1"/>
      <c r="H41" s="1"/>
      <c r="I41" s="1"/>
      <c r="J41" s="1"/>
      <c r="K41" s="1"/>
      <c r="L41" s="1"/>
    </row>
    <row r="42" spans="2:12">
      <c r="B42" s="1"/>
      <c r="C42" s="1"/>
      <c r="D42" s="1"/>
      <c r="E42" s="1"/>
      <c r="F42" s="1"/>
      <c r="G42" s="1"/>
      <c r="H42" s="1"/>
      <c r="I42" s="1"/>
      <c r="J42" s="1"/>
      <c r="K42" s="1"/>
      <c r="L42" s="1"/>
    </row>
    <row r="43" spans="2:12">
      <c r="B43" s="1"/>
      <c r="C43" s="1"/>
      <c r="D43" s="1"/>
      <c r="E43" s="1"/>
      <c r="F43" s="1"/>
      <c r="G43" s="1"/>
      <c r="H43" s="1"/>
      <c r="I43" s="1"/>
      <c r="J43" s="1"/>
      <c r="K43" s="1"/>
      <c r="L43" s="1"/>
    </row>
    <row r="44" spans="2:12">
      <c r="B44" s="1"/>
      <c r="C44" s="1"/>
      <c r="D44" s="1"/>
      <c r="E44" s="1"/>
      <c r="F44" s="1"/>
      <c r="G44" s="1"/>
      <c r="H44" s="1"/>
      <c r="I44" s="1"/>
      <c r="J44" s="1"/>
      <c r="K44" s="1"/>
      <c r="L44" s="1"/>
    </row>
    <row r="45" spans="2:12">
      <c r="B45" s="1"/>
      <c r="C45" s="1"/>
      <c r="D45" s="1"/>
      <c r="E45" s="1"/>
      <c r="F45" s="1"/>
      <c r="G45" s="1"/>
      <c r="H45" s="1"/>
      <c r="I45" s="1"/>
      <c r="J45" s="1"/>
      <c r="K45" s="1"/>
      <c r="L45" s="1"/>
    </row>
  </sheetData>
  <mergeCells count="2">
    <mergeCell ref="A2:O2"/>
    <mergeCell ref="A1:P1"/>
  </mergeCells>
  <printOptions horizontalCentered="1" verticalCentered="1"/>
  <pageMargins left="0.4" right="0.4" top="0.25" bottom="0.25" header="0.31496062992126" footer="0.31496062992126"/>
  <pageSetup scale="65"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42"/>
  <sheetViews>
    <sheetView showGridLines="0" view="pageBreakPreview" zoomScale="70" zoomScaleNormal="100" zoomScaleSheetLayoutView="70" workbookViewId="0">
      <selection activeCell="H11" sqref="H11"/>
    </sheetView>
  </sheetViews>
  <sheetFormatPr baseColWidth="10" defaultColWidth="11.42578125" defaultRowHeight="23.25" customHeight="1"/>
  <cols>
    <col min="1" max="1" width="15.7109375" style="128" customWidth="1"/>
    <col min="2" max="2" width="15.85546875" style="128" customWidth="1"/>
    <col min="3" max="3" width="14" style="128" customWidth="1"/>
    <col min="4" max="4" width="14.28515625" style="128" customWidth="1"/>
    <col min="5" max="5" width="16.28515625" style="151" bestFit="1" customWidth="1"/>
    <col min="6" max="6" width="14.28515625" style="128" bestFit="1" customWidth="1"/>
    <col min="7" max="7" width="11.7109375" style="128" bestFit="1" customWidth="1"/>
    <col min="8" max="8" width="12.85546875" style="128" bestFit="1" customWidth="1"/>
    <col min="9" max="12" width="11.140625" style="128" bestFit="1" customWidth="1"/>
    <col min="13" max="13" width="11.5703125" style="128" bestFit="1" customWidth="1"/>
    <col min="14" max="16" width="11.5703125" style="128" customWidth="1"/>
    <col min="17" max="16384" width="11.42578125" style="128"/>
  </cols>
  <sheetData>
    <row r="1" spans="1:27" ht="67.5" customHeight="1">
      <c r="A1" s="2438" t="s">
        <v>1968</v>
      </c>
      <c r="B1" s="2438"/>
      <c r="C1" s="2438"/>
      <c r="D1" s="2438"/>
      <c r="E1" s="2438"/>
      <c r="F1" s="2438"/>
      <c r="G1" s="2438"/>
      <c r="H1" s="2438"/>
      <c r="I1" s="2438"/>
      <c r="J1" s="2438"/>
      <c r="K1" s="2438"/>
      <c r="L1" s="2438"/>
    </row>
    <row r="2" spans="1:27" s="59" customFormat="1" ht="45.75" customHeight="1">
      <c r="A2" s="2439" t="s">
        <v>1969</v>
      </c>
      <c r="B2" s="2439"/>
      <c r="C2" s="2439"/>
      <c r="D2" s="2439"/>
      <c r="E2" s="2439"/>
      <c r="F2" s="2439"/>
      <c r="G2" s="2439"/>
      <c r="H2" s="2439"/>
      <c r="I2" s="2439"/>
      <c r="J2" s="2439"/>
      <c r="K2" s="2439"/>
      <c r="L2" s="2439"/>
    </row>
    <row r="3" spans="1:27" ht="19.5" customHeight="1">
      <c r="A3" s="543" t="s">
        <v>259</v>
      </c>
      <c r="B3" s="544" t="s">
        <v>50</v>
      </c>
      <c r="C3" s="544" t="s">
        <v>48</v>
      </c>
      <c r="D3" s="536"/>
      <c r="E3" s="322"/>
      <c r="F3" s="322"/>
      <c r="G3" s="322"/>
      <c r="H3" s="322"/>
      <c r="I3" s="322"/>
      <c r="J3" s="322"/>
      <c r="K3" s="322"/>
      <c r="L3" s="322"/>
      <c r="M3" s="322"/>
      <c r="N3" s="322"/>
      <c r="O3" s="322"/>
      <c r="P3" s="322"/>
    </row>
    <row r="4" spans="1:27" ht="17.25" customHeight="1">
      <c r="A4" s="545" t="s">
        <v>435</v>
      </c>
      <c r="B4" s="2058">
        <v>19180</v>
      </c>
      <c r="C4" s="2059">
        <f>+B4/$B$14</f>
        <v>1.2715527528653028E-2</v>
      </c>
      <c r="D4" s="536"/>
      <c r="E4" s="536"/>
      <c r="F4" s="536"/>
      <c r="G4" s="536"/>
      <c r="H4" s="536"/>
      <c r="I4" s="536"/>
      <c r="J4" s="536"/>
      <c r="K4" s="536"/>
      <c r="L4" s="536"/>
      <c r="M4" s="536"/>
      <c r="N4" s="536"/>
      <c r="O4" s="322"/>
      <c r="P4" s="322"/>
    </row>
    <row r="5" spans="1:27" ht="15.75">
      <c r="A5" s="546" t="s">
        <v>73</v>
      </c>
      <c r="B5" s="2058">
        <v>189184</v>
      </c>
      <c r="C5" s="2059">
        <f t="shared" ref="C5:C13" si="0">+B5/$B$14</f>
        <v>0.12542097810118324</v>
      </c>
      <c r="D5" s="536"/>
      <c r="E5" s="322"/>
      <c r="F5" s="322"/>
      <c r="G5" s="322"/>
      <c r="H5" s="322"/>
      <c r="I5" s="322"/>
      <c r="J5" s="322"/>
      <c r="K5" s="322"/>
      <c r="L5" s="322"/>
      <c r="M5" s="322"/>
      <c r="N5" s="322"/>
      <c r="O5" s="322"/>
      <c r="P5" s="322"/>
      <c r="Q5" s="322"/>
      <c r="R5" s="322"/>
      <c r="S5" s="322"/>
      <c r="T5" s="322"/>
      <c r="U5" s="322"/>
      <c r="V5" s="322"/>
      <c r="W5" s="322"/>
      <c r="X5" s="322"/>
      <c r="Y5" s="322"/>
      <c r="Z5" s="322"/>
      <c r="AA5" s="322"/>
    </row>
    <row r="6" spans="1:27" ht="15.75">
      <c r="A6" s="546" t="s">
        <v>74</v>
      </c>
      <c r="B6" s="2058">
        <v>235141</v>
      </c>
      <c r="C6" s="2059">
        <f t="shared" si="0"/>
        <v>0.15588852234697612</v>
      </c>
      <c r="D6" s="536"/>
      <c r="E6" s="322"/>
      <c r="F6" s="322"/>
      <c r="G6" s="322"/>
      <c r="H6" s="322"/>
      <c r="I6" s="322"/>
      <c r="J6" s="322"/>
      <c r="K6" s="322"/>
      <c r="L6" s="322"/>
      <c r="M6" s="322"/>
      <c r="N6" s="322"/>
      <c r="O6" s="322"/>
      <c r="P6" s="322"/>
    </row>
    <row r="7" spans="1:27" ht="15.75">
      <c r="A7" s="546" t="s">
        <v>254</v>
      </c>
      <c r="B7" s="2058">
        <v>227633</v>
      </c>
      <c r="C7" s="2059">
        <f t="shared" si="0"/>
        <v>0.15091103638841893</v>
      </c>
      <c r="D7" s="536"/>
      <c r="E7" s="322"/>
      <c r="F7" s="322"/>
      <c r="G7" s="322"/>
      <c r="H7" s="322"/>
      <c r="I7" s="322"/>
      <c r="J7" s="322"/>
      <c r="K7" s="322"/>
      <c r="L7" s="322"/>
      <c r="M7" s="322"/>
      <c r="N7" s="486"/>
    </row>
    <row r="8" spans="1:27" ht="15.75">
      <c r="A8" s="546" t="s">
        <v>255</v>
      </c>
      <c r="B8" s="2058">
        <v>206058</v>
      </c>
      <c r="C8" s="2059">
        <f t="shared" si="0"/>
        <v>0.13660772531278342</v>
      </c>
      <c r="D8" s="536"/>
      <c r="E8" s="322"/>
      <c r="F8" s="322"/>
      <c r="G8" s="322"/>
      <c r="H8" s="322"/>
      <c r="I8" s="322"/>
      <c r="J8" s="322"/>
      <c r="K8" s="322"/>
      <c r="L8" s="322"/>
      <c r="M8" s="322"/>
      <c r="N8" s="812"/>
    </row>
    <row r="9" spans="1:27" ht="15.75">
      <c r="A9" s="546" t="s">
        <v>75</v>
      </c>
      <c r="B9" s="2058">
        <v>174577</v>
      </c>
      <c r="C9" s="2059">
        <f t="shared" si="0"/>
        <v>0.11573715585868925</v>
      </c>
      <c r="D9" s="536"/>
      <c r="E9" s="322"/>
      <c r="F9" s="322"/>
      <c r="G9" s="322"/>
      <c r="H9" s="322"/>
      <c r="I9" s="322"/>
      <c r="J9" s="322"/>
      <c r="K9" s="322"/>
      <c r="L9" s="322"/>
      <c r="M9" s="322"/>
    </row>
    <row r="10" spans="1:27" ht="15.75">
      <c r="A10" s="546" t="s">
        <v>76</v>
      </c>
      <c r="B10" s="2058">
        <v>149614</v>
      </c>
      <c r="C10" s="2059">
        <f t="shared" si="0"/>
        <v>9.9187744299890218E-2</v>
      </c>
      <c r="D10" s="536"/>
      <c r="E10" s="322"/>
      <c r="F10" s="322"/>
      <c r="G10" s="322"/>
      <c r="H10" s="322"/>
      <c r="I10" s="322"/>
      <c r="J10" s="322"/>
      <c r="K10" s="322"/>
      <c r="L10" s="322"/>
      <c r="M10" s="322"/>
    </row>
    <row r="11" spans="1:27" ht="15.75">
      <c r="A11" s="546" t="s">
        <v>77</v>
      </c>
      <c r="B11" s="2058">
        <v>116217</v>
      </c>
      <c r="C11" s="2059">
        <f t="shared" si="0"/>
        <v>7.7046948008210062E-2</v>
      </c>
      <c r="D11" s="536"/>
      <c r="E11" s="322"/>
      <c r="F11" s="322"/>
      <c r="G11" s="322"/>
      <c r="H11" s="322"/>
      <c r="I11" s="322"/>
      <c r="J11" s="322"/>
      <c r="K11" s="322"/>
      <c r="L11" s="322"/>
      <c r="M11" s="322"/>
      <c r="N11" s="830"/>
    </row>
    <row r="12" spans="1:27" ht="15.75">
      <c r="A12" s="546" t="s">
        <v>78</v>
      </c>
      <c r="B12" s="2058">
        <v>83146</v>
      </c>
      <c r="C12" s="2059">
        <f t="shared" si="0"/>
        <v>5.5122275907058642E-2</v>
      </c>
      <c r="D12" s="536"/>
      <c r="E12" s="322"/>
      <c r="F12" s="322"/>
      <c r="G12" s="322"/>
      <c r="H12" s="322"/>
      <c r="I12" s="322"/>
      <c r="J12" s="322"/>
      <c r="K12" s="322"/>
      <c r="L12" s="322"/>
      <c r="M12" s="322"/>
      <c r="N12" s="539"/>
    </row>
    <row r="13" spans="1:27" ht="15.75">
      <c r="A13" s="546" t="s">
        <v>256</v>
      </c>
      <c r="B13" s="2057">
        <v>107642</v>
      </c>
      <c r="C13" s="2059">
        <f t="shared" si="0"/>
        <v>7.1362086248137085E-2</v>
      </c>
      <c r="D13" s="536"/>
      <c r="E13" s="322"/>
      <c r="F13" s="322"/>
      <c r="G13" s="322"/>
      <c r="H13" s="322"/>
      <c r="I13" s="322"/>
      <c r="J13" s="322"/>
      <c r="K13" s="322"/>
      <c r="L13" s="322"/>
      <c r="M13" s="322"/>
    </row>
    <row r="14" spans="1:27" ht="16.5" customHeight="1">
      <c r="A14" s="547" t="s">
        <v>23</v>
      </c>
      <c r="B14" s="860">
        <f>SUM(B4:B13)</f>
        <v>1508392</v>
      </c>
      <c r="C14" s="673">
        <f>SUM(C4:C13)</f>
        <v>1</v>
      </c>
      <c r="D14" s="536"/>
      <c r="E14" s="322"/>
      <c r="F14" s="322"/>
      <c r="G14" s="322"/>
      <c r="H14" s="322"/>
      <c r="I14" s="322"/>
      <c r="J14" s="322"/>
      <c r="K14" s="322"/>
      <c r="L14" s="322"/>
      <c r="M14" s="322"/>
    </row>
    <row r="15" spans="1:27" ht="23.25" customHeight="1">
      <c r="C15" s="323"/>
      <c r="D15" s="536"/>
      <c r="E15" s="322"/>
      <c r="F15" s="322"/>
      <c r="G15" s="322"/>
      <c r="H15" s="322"/>
      <c r="I15" s="322"/>
      <c r="J15" s="322"/>
      <c r="K15" s="322"/>
      <c r="L15" s="322"/>
      <c r="M15" s="322"/>
    </row>
    <row r="16" spans="1:27" ht="23.25" customHeight="1">
      <c r="B16" s="151"/>
      <c r="C16" s="151"/>
      <c r="D16" s="536"/>
      <c r="E16" s="322"/>
      <c r="F16" s="322"/>
      <c r="G16" s="322"/>
      <c r="H16" s="322"/>
      <c r="I16" s="322"/>
      <c r="J16" s="322"/>
      <c r="K16" s="322"/>
      <c r="L16" s="322"/>
      <c r="M16" s="322"/>
    </row>
    <row r="17" spans="1:13" ht="23.25" customHeight="1">
      <c r="B17" s="151"/>
      <c r="C17" s="151"/>
      <c r="D17" s="536"/>
      <c r="E17" s="322"/>
      <c r="F17" s="322"/>
      <c r="G17" s="322"/>
      <c r="H17" s="322"/>
      <c r="I17" s="322"/>
      <c r="J17" s="322"/>
      <c r="K17" s="322"/>
      <c r="L17" s="322"/>
      <c r="M17" s="322"/>
    </row>
    <row r="18" spans="1:13" ht="23.25" customHeight="1">
      <c r="B18" s="151"/>
      <c r="C18" s="151"/>
      <c r="D18" s="151"/>
      <c r="F18" s="151"/>
      <c r="G18" s="151"/>
      <c r="H18" s="151"/>
      <c r="I18" s="151"/>
      <c r="J18" s="151"/>
      <c r="K18" s="151"/>
    </row>
    <row r="19" spans="1:13" ht="23.25" customHeight="1">
      <c r="B19" s="151"/>
      <c r="C19" s="151"/>
      <c r="D19" s="151"/>
      <c r="F19" s="151"/>
      <c r="G19" s="151"/>
      <c r="H19" s="151"/>
      <c r="I19" s="151"/>
      <c r="J19" s="151"/>
      <c r="K19" s="151"/>
    </row>
    <row r="20" spans="1:13" ht="23.25" customHeight="1">
      <c r="B20" s="151"/>
      <c r="C20" s="151"/>
      <c r="D20" s="151"/>
      <c r="F20" s="151"/>
      <c r="G20" s="151"/>
      <c r="H20" s="151"/>
      <c r="I20" s="151"/>
      <c r="J20" s="151"/>
      <c r="K20" s="151"/>
    </row>
    <row r="21" spans="1:13" ht="23.25" customHeight="1">
      <c r="B21" s="151"/>
      <c r="C21" s="151"/>
      <c r="D21" s="151"/>
      <c r="F21" s="151"/>
      <c r="G21" s="151"/>
      <c r="H21" s="151"/>
      <c r="I21" s="151"/>
      <c r="J21" s="151"/>
      <c r="K21" s="151"/>
    </row>
    <row r="22" spans="1:13" ht="23.25" customHeight="1">
      <c r="B22" s="151"/>
      <c r="C22" s="151"/>
      <c r="D22" s="151"/>
      <c r="F22" s="151"/>
      <c r="G22" s="151"/>
      <c r="H22" s="151"/>
      <c r="I22" s="151"/>
      <c r="J22" s="151"/>
      <c r="K22" s="151"/>
    </row>
    <row r="23" spans="1:13" ht="23.25" customHeight="1">
      <c r="B23" s="151"/>
      <c r="C23" s="151"/>
      <c r="D23" s="151"/>
      <c r="F23" s="151"/>
      <c r="G23" s="151"/>
      <c r="H23" s="151"/>
      <c r="I23" s="151"/>
      <c r="J23" s="151"/>
      <c r="K23" s="151"/>
    </row>
    <row r="24" spans="1:13" ht="23.25" customHeight="1">
      <c r="B24" s="151"/>
      <c r="C24" s="151"/>
      <c r="D24" s="151"/>
      <c r="F24" s="151"/>
      <c r="G24" s="151"/>
      <c r="H24" s="151"/>
      <c r="I24" s="151"/>
      <c r="J24" s="151"/>
      <c r="K24" s="151"/>
    </row>
    <row r="25" spans="1:13" ht="23.25" customHeight="1">
      <c r="A25" s="111"/>
      <c r="B25" s="155"/>
      <c r="C25" s="155"/>
      <c r="D25" s="155"/>
      <c r="E25" s="155"/>
      <c r="F25" s="155"/>
      <c r="G25" s="155"/>
      <c r="H25" s="155"/>
      <c r="I25" s="155"/>
      <c r="J25" s="155"/>
      <c r="K25" s="155"/>
    </row>
    <row r="26" spans="1:13" ht="23.25" customHeight="1">
      <c r="A26" s="111"/>
      <c r="B26" s="155"/>
      <c r="C26" s="155"/>
      <c r="D26" s="155"/>
      <c r="E26" s="155"/>
      <c r="F26" s="155"/>
      <c r="G26" s="155"/>
      <c r="H26" s="155"/>
      <c r="I26" s="155"/>
      <c r="J26" s="155"/>
      <c r="K26" s="155"/>
    </row>
    <row r="27" spans="1:13" ht="23.25" customHeight="1">
      <c r="A27" s="111"/>
      <c r="B27" s="155"/>
      <c r="C27" s="155"/>
      <c r="D27" s="155"/>
      <c r="E27" s="155"/>
      <c r="F27" s="155"/>
      <c r="G27" s="155"/>
      <c r="H27" s="155"/>
      <c r="I27" s="155"/>
      <c r="J27" s="155"/>
      <c r="K27" s="155"/>
    </row>
    <row r="28" spans="1:13" ht="23.25" customHeight="1">
      <c r="A28" s="111"/>
      <c r="B28" s="155"/>
      <c r="C28" s="155"/>
      <c r="D28" s="155"/>
      <c r="E28" s="155"/>
      <c r="F28" s="155"/>
      <c r="G28" s="155"/>
      <c r="H28" s="155"/>
      <c r="I28" s="155"/>
      <c r="J28" s="155"/>
      <c r="K28" s="155"/>
    </row>
    <row r="29" spans="1:13" ht="23.25" customHeight="1">
      <c r="A29" s="111"/>
      <c r="B29" s="155"/>
      <c r="C29" s="155"/>
      <c r="D29" s="155"/>
      <c r="E29" s="155"/>
      <c r="F29" s="155"/>
      <c r="G29" s="155"/>
      <c r="H29" s="155"/>
      <c r="I29" s="155"/>
      <c r="J29" s="155"/>
      <c r="K29" s="155"/>
    </row>
    <row r="30" spans="1:13" ht="23.25" customHeight="1">
      <c r="A30" s="111"/>
      <c r="B30" s="155"/>
      <c r="C30" s="155"/>
      <c r="D30" s="155"/>
      <c r="E30" s="155"/>
      <c r="F30" s="155"/>
      <c r="G30" s="155"/>
      <c r="H30" s="155"/>
      <c r="I30" s="155"/>
      <c r="J30" s="155"/>
      <c r="K30" s="155"/>
    </row>
    <row r="31" spans="1:13" ht="23.25" customHeight="1">
      <c r="A31" s="111"/>
      <c r="B31" s="155"/>
      <c r="C31" s="155"/>
      <c r="D31" s="155"/>
      <c r="E31" s="155"/>
      <c r="F31" s="155"/>
      <c r="G31" s="155"/>
      <c r="H31" s="155"/>
      <c r="I31" s="155"/>
      <c r="J31" s="155"/>
      <c r="K31" s="155"/>
    </row>
    <row r="32" spans="1:13" ht="23.25" customHeight="1">
      <c r="A32" s="111"/>
      <c r="B32" s="155"/>
      <c r="C32" s="155"/>
      <c r="D32" s="155"/>
      <c r="E32" s="155"/>
      <c r="F32" s="155"/>
      <c r="G32" s="155"/>
      <c r="H32" s="155"/>
      <c r="I32" s="155"/>
      <c r="J32" s="155"/>
      <c r="K32" s="155"/>
    </row>
    <row r="33" spans="1:11" ht="23.25" customHeight="1">
      <c r="A33" s="111"/>
      <c r="B33" s="155"/>
      <c r="C33" s="155"/>
      <c r="D33" s="155"/>
      <c r="E33" s="155"/>
      <c r="F33" s="155"/>
      <c r="G33" s="155"/>
      <c r="H33" s="155"/>
      <c r="I33" s="155"/>
      <c r="J33" s="155"/>
      <c r="K33" s="155"/>
    </row>
    <row r="34" spans="1:11" ht="23.25" customHeight="1">
      <c r="A34" s="111"/>
      <c r="B34" s="155"/>
      <c r="C34" s="155"/>
      <c r="D34" s="155"/>
      <c r="E34" s="155"/>
      <c r="F34" s="155"/>
      <c r="G34" s="155"/>
      <c r="H34" s="155"/>
      <c r="I34" s="155"/>
      <c r="J34" s="155"/>
      <c r="K34" s="155"/>
    </row>
    <row r="35" spans="1:11" ht="23.25" customHeight="1">
      <c r="A35" s="155"/>
      <c r="B35" s="155"/>
      <c r="C35" s="155"/>
      <c r="D35" s="155"/>
      <c r="E35" s="155"/>
      <c r="F35" s="155"/>
      <c r="G35" s="155"/>
      <c r="H35" s="155"/>
      <c r="I35" s="155"/>
      <c r="J35" s="155"/>
      <c r="K35" s="155"/>
    </row>
    <row r="36" spans="1:11" ht="23.25" customHeight="1">
      <c r="A36" s="111"/>
      <c r="B36" s="155"/>
      <c r="C36" s="155"/>
      <c r="D36" s="155"/>
      <c r="E36" s="155"/>
      <c r="F36" s="155"/>
      <c r="G36" s="155"/>
      <c r="H36" s="155"/>
      <c r="I36" s="155"/>
      <c r="J36" s="155"/>
      <c r="K36" s="155"/>
    </row>
    <row r="37" spans="1:11" ht="23.25" customHeight="1">
      <c r="C37" s="155"/>
      <c r="D37" s="155"/>
      <c r="E37" s="155"/>
      <c r="F37" s="155"/>
      <c r="G37" s="155"/>
      <c r="H37" s="155"/>
      <c r="I37" s="155"/>
      <c r="J37" s="155"/>
      <c r="K37" s="155"/>
    </row>
    <row r="38" spans="1:11" ht="23.25" customHeight="1">
      <c r="A38" s="111"/>
      <c r="B38" s="155"/>
      <c r="C38" s="155"/>
      <c r="D38" s="155"/>
      <c r="E38" s="155"/>
      <c r="F38" s="155"/>
      <c r="G38" s="155"/>
      <c r="H38" s="155"/>
      <c r="I38" s="155"/>
      <c r="J38" s="155"/>
      <c r="K38" s="155"/>
    </row>
    <row r="39" spans="1:11" ht="23.25" customHeight="1">
      <c r="A39" s="111"/>
      <c r="B39" s="155"/>
      <c r="C39" s="155"/>
      <c r="D39" s="155"/>
      <c r="E39" s="155"/>
      <c r="F39" s="155"/>
      <c r="G39" s="155"/>
      <c r="H39" s="155"/>
      <c r="I39" s="155"/>
      <c r="J39" s="155"/>
      <c r="K39" s="155"/>
    </row>
    <row r="40" spans="1:11" ht="23.25" customHeight="1">
      <c r="A40" s="111"/>
      <c r="B40" s="155"/>
      <c r="C40" s="155"/>
      <c r="D40" s="155"/>
      <c r="E40" s="155"/>
      <c r="F40" s="155"/>
      <c r="G40" s="155"/>
      <c r="H40" s="155"/>
      <c r="I40" s="155"/>
      <c r="J40" s="155"/>
      <c r="K40" s="155"/>
    </row>
    <row r="41" spans="1:11" ht="23.25" customHeight="1">
      <c r="A41" s="116"/>
      <c r="B41" s="155"/>
      <c r="C41" s="155"/>
      <c r="D41" s="155"/>
      <c r="E41" s="155"/>
      <c r="F41" s="155"/>
      <c r="G41" s="155"/>
      <c r="H41" s="155"/>
      <c r="I41" s="155"/>
      <c r="J41" s="155"/>
      <c r="K41" s="155"/>
    </row>
    <row r="42" spans="1:11" ht="23.25" customHeight="1">
      <c r="A42" s="111"/>
      <c r="B42" s="155"/>
      <c r="C42" s="155"/>
      <c r="D42" s="155"/>
      <c r="E42" s="155"/>
      <c r="F42" s="155"/>
      <c r="G42" s="155"/>
      <c r="H42" s="155"/>
      <c r="I42" s="155"/>
      <c r="J42" s="155"/>
      <c r="K42" s="155"/>
    </row>
  </sheetData>
  <mergeCells count="2">
    <mergeCell ref="A1:L1"/>
    <mergeCell ref="A2:L2"/>
  </mergeCells>
  <printOptions horizontalCentered="1" verticalCentered="1"/>
  <pageMargins left="0.4" right="0.4" top="0.25" bottom="0.25" header="0.31496062992126" footer="0.31496062992126"/>
  <pageSetup scale="74" orientation="landscape" r:id="rId1"/>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Q37"/>
  <sheetViews>
    <sheetView showGridLines="0" view="pageBreakPreview" zoomScale="85" zoomScaleNormal="100" zoomScaleSheetLayoutView="85" workbookViewId="0">
      <selection activeCell="N22" sqref="N22"/>
    </sheetView>
  </sheetViews>
  <sheetFormatPr baseColWidth="10" defaultColWidth="11.42578125" defaultRowHeight="23.25" customHeight="1"/>
  <cols>
    <col min="1" max="1" width="14.7109375" style="128" customWidth="1"/>
    <col min="2" max="2" width="17.7109375" style="128" customWidth="1"/>
    <col min="3" max="3" width="14.5703125" style="128" customWidth="1"/>
    <col min="4" max="4" width="16" style="128" customWidth="1"/>
    <col min="5" max="5" width="16.28515625" style="151" bestFit="1" customWidth="1"/>
    <col min="6" max="6" width="14.28515625" style="128" bestFit="1" customWidth="1"/>
    <col min="7" max="7" width="11.7109375" style="128" bestFit="1" customWidth="1"/>
    <col min="8" max="8" width="12.85546875" style="128" bestFit="1" customWidth="1"/>
    <col min="9" max="9" width="11.140625" style="128" bestFit="1" customWidth="1"/>
    <col min="10" max="10" width="11.5703125" style="128" bestFit="1" customWidth="1"/>
    <col min="11" max="12" width="11.140625" style="128" bestFit="1" customWidth="1"/>
    <col min="13" max="13" width="23.42578125" style="128" customWidth="1"/>
    <col min="14" max="14" width="19" style="128" customWidth="1"/>
    <col min="15" max="15" width="14.28515625" style="128" bestFit="1" customWidth="1"/>
    <col min="16" max="16384" width="11.42578125" style="128"/>
  </cols>
  <sheetData>
    <row r="1" spans="1:17" ht="64.5" customHeight="1">
      <c r="A1" s="2440" t="s">
        <v>1970</v>
      </c>
      <c r="B1" s="2441"/>
      <c r="C1" s="2441"/>
      <c r="D1" s="2441"/>
      <c r="E1" s="2441"/>
      <c r="F1" s="2441"/>
      <c r="G1" s="2441"/>
      <c r="H1" s="2441"/>
      <c r="I1" s="2441"/>
      <c r="J1" s="2441"/>
      <c r="K1" s="2441"/>
      <c r="L1" s="2442"/>
    </row>
    <row r="2" spans="1:17" s="59" customFormat="1" ht="2.25" customHeight="1">
      <c r="A2" s="2443"/>
      <c r="B2" s="2443"/>
      <c r="C2" s="2443"/>
      <c r="D2" s="2443"/>
      <c r="E2" s="2443"/>
      <c r="F2" s="2443"/>
      <c r="G2" s="2443"/>
      <c r="H2" s="2443"/>
      <c r="I2" s="2443"/>
      <c r="J2" s="2443"/>
      <c r="K2" s="2443"/>
      <c r="L2" s="2443"/>
    </row>
    <row r="3" spans="1:17" ht="36.75" customHeight="1">
      <c r="A3" s="1105" t="s">
        <v>259</v>
      </c>
      <c r="B3" s="1106" t="s">
        <v>1215</v>
      </c>
      <c r="C3" s="1106" t="s">
        <v>50</v>
      </c>
      <c r="D3" s="1106" t="s">
        <v>1912</v>
      </c>
      <c r="F3" s="536"/>
      <c r="G3" s="322"/>
      <c r="H3" s="322"/>
      <c r="I3" s="322"/>
      <c r="J3" s="322"/>
      <c r="K3" s="322"/>
      <c r="L3" s="322"/>
      <c r="M3" s="322"/>
      <c r="N3" s="322"/>
      <c r="O3" s="322"/>
      <c r="P3" s="322"/>
      <c r="Q3" s="322"/>
    </row>
    <row r="4" spans="1:17" ht="17.25" customHeight="1">
      <c r="A4" s="1328" t="s">
        <v>435</v>
      </c>
      <c r="B4" s="2012">
        <v>66479</v>
      </c>
      <c r="C4" s="2013">
        <f>+'V.1.5 Cotiz. x rango de edad'!B4</f>
        <v>19180</v>
      </c>
      <c r="D4" s="2014">
        <f>+C4/B4</f>
        <v>0.28851216173528482</v>
      </c>
      <c r="F4" s="536"/>
      <c r="G4" s="322"/>
      <c r="H4" s="322"/>
      <c r="I4" s="322"/>
      <c r="J4" s="322"/>
      <c r="K4" s="322"/>
      <c r="L4" s="322"/>
    </row>
    <row r="5" spans="1:17" ht="15.75">
      <c r="A5" s="1329" t="s">
        <v>1213</v>
      </c>
      <c r="B5" s="2012">
        <v>1024794</v>
      </c>
      <c r="C5" s="2013">
        <f>+'V.1.5 Cotiz. x rango de edad'!B5+'V.1.5 Cotiz. x rango de edad'!B6+'V.1.5 Cotiz. x rango de edad'!B7+'V.1.5 Cotiz. x rango de edad'!B8</f>
        <v>858016</v>
      </c>
      <c r="D5" s="2014">
        <f>+C5/B5</f>
        <v>0.83725704873369677</v>
      </c>
      <c r="F5" s="536"/>
      <c r="G5" s="322"/>
      <c r="H5" s="322"/>
      <c r="I5" s="322"/>
      <c r="J5" s="322"/>
      <c r="K5" s="322"/>
      <c r="L5" s="322"/>
    </row>
    <row r="6" spans="1:17" ht="15.75">
      <c r="A6" s="1329" t="s">
        <v>1214</v>
      </c>
      <c r="B6" s="2012">
        <v>654386</v>
      </c>
      <c r="C6" s="2013">
        <f>+'V.1.5 Cotiz. x rango de edad'!B9+'V.1.5 Cotiz. x rango de edad'!B10+'V.1.5 Cotiz. x rango de edad'!B11+'V.1.5 Cotiz. x rango de edad'!B12</f>
        <v>523554</v>
      </c>
      <c r="D6" s="2014">
        <f>+C6/B6</f>
        <v>0.80006907238235536</v>
      </c>
      <c r="F6" s="536"/>
      <c r="G6" s="322"/>
      <c r="H6" s="322"/>
      <c r="I6" s="322"/>
      <c r="J6" s="322"/>
      <c r="K6" s="322"/>
      <c r="L6" s="322"/>
    </row>
    <row r="7" spans="1:17" ht="19.5" customHeight="1">
      <c r="A7" s="1329" t="s">
        <v>1212</v>
      </c>
      <c r="B7" s="2012">
        <v>119837</v>
      </c>
      <c r="C7" s="2013">
        <f>+'V.1.5 Cotiz. x rango de edad'!B13</f>
        <v>107642</v>
      </c>
      <c r="D7" s="2014">
        <f>+C7/B7</f>
        <v>0.89823677161477677</v>
      </c>
      <c r="F7" s="536"/>
      <c r="G7" s="322"/>
      <c r="H7" s="322"/>
      <c r="I7" s="322"/>
      <c r="J7" s="322"/>
      <c r="K7" s="322"/>
      <c r="L7" s="152"/>
    </row>
    <row r="8" spans="1:17" ht="16.5" customHeight="1">
      <c r="A8" s="1107" t="s">
        <v>23</v>
      </c>
      <c r="B8" s="2015">
        <f>SUM(B4:B7)</f>
        <v>1865496</v>
      </c>
      <c r="C8" s="2015">
        <f>SUM(C4:C7)</f>
        <v>1508392</v>
      </c>
      <c r="D8" s="2118">
        <f>C8/B8</f>
        <v>0.80857423441272458</v>
      </c>
      <c r="E8" s="128"/>
      <c r="F8" s="536"/>
      <c r="G8" s="322"/>
      <c r="H8" s="152"/>
      <c r="I8" s="322"/>
      <c r="J8" s="152"/>
      <c r="K8" s="152"/>
      <c r="L8" s="152"/>
    </row>
    <row r="9" spans="1:17" ht="23.25" customHeight="1">
      <c r="C9" s="323"/>
      <c r="D9" s="74"/>
      <c r="E9" s="322"/>
      <c r="F9" s="152"/>
      <c r="G9" s="322"/>
      <c r="H9" s="152"/>
      <c r="I9" s="152"/>
      <c r="J9" s="152"/>
      <c r="K9" s="152"/>
      <c r="L9" s="74"/>
    </row>
    <row r="10" spans="1:17" ht="23.25" customHeight="1">
      <c r="B10" s="151"/>
      <c r="C10" s="151"/>
      <c r="D10" s="151"/>
      <c r="E10" s="322"/>
      <c r="F10" s="152"/>
      <c r="G10" s="152"/>
      <c r="H10" s="152"/>
      <c r="I10" s="152"/>
      <c r="J10" s="152"/>
      <c r="K10" s="152"/>
      <c r="L10" s="74"/>
    </row>
    <row r="11" spans="1:17" ht="23.25" customHeight="1">
      <c r="B11" s="151"/>
      <c r="C11" s="151"/>
      <c r="D11" s="151"/>
      <c r="F11" s="151"/>
      <c r="G11" s="151"/>
      <c r="H11" s="151"/>
      <c r="I11" s="151"/>
      <c r="J11" s="151"/>
      <c r="K11" s="151"/>
    </row>
    <row r="12" spans="1:17" ht="23.25" customHeight="1">
      <c r="B12" s="151"/>
      <c r="C12" s="151"/>
      <c r="D12" s="151"/>
      <c r="F12" s="151"/>
      <c r="G12" s="151"/>
      <c r="H12" s="151"/>
      <c r="I12" s="151"/>
      <c r="J12" s="151"/>
      <c r="K12" s="151"/>
    </row>
    <row r="13" spans="1:17" ht="23.25" customHeight="1">
      <c r="B13" s="151"/>
      <c r="C13" s="151"/>
      <c r="D13" s="151"/>
      <c r="F13" s="151"/>
      <c r="G13" s="151"/>
      <c r="H13" s="151"/>
      <c r="I13" s="151"/>
      <c r="J13" s="151"/>
      <c r="K13" s="151"/>
    </row>
    <row r="14" spans="1:17" ht="23.25" customHeight="1">
      <c r="B14" s="151"/>
      <c r="C14" s="151"/>
      <c r="D14" s="151"/>
      <c r="F14" s="151"/>
      <c r="G14" s="151"/>
      <c r="H14" s="151"/>
      <c r="I14" s="151"/>
      <c r="J14" s="151"/>
      <c r="K14" s="151"/>
    </row>
    <row r="15" spans="1:17" ht="23.25" customHeight="1">
      <c r="B15" s="151"/>
      <c r="C15" s="151"/>
      <c r="D15" s="151"/>
      <c r="F15" s="151"/>
      <c r="G15" s="151"/>
      <c r="H15" s="151"/>
      <c r="I15" s="151"/>
      <c r="J15" s="151"/>
      <c r="K15" s="151"/>
    </row>
    <row r="16" spans="1:17" ht="23.25" customHeight="1">
      <c r="B16" s="151"/>
      <c r="C16" s="151"/>
      <c r="D16" s="151"/>
      <c r="F16" s="151"/>
      <c r="G16" s="151"/>
      <c r="H16" s="151"/>
      <c r="I16" s="151"/>
      <c r="J16" s="151"/>
      <c r="K16" s="151"/>
    </row>
    <row r="17" spans="1:11" ht="23.25" customHeight="1">
      <c r="B17" s="151"/>
      <c r="C17" s="151"/>
      <c r="D17" s="151"/>
      <c r="F17" s="151"/>
      <c r="G17" s="151"/>
      <c r="H17" s="151"/>
      <c r="I17" s="151"/>
      <c r="J17" s="151"/>
      <c r="K17" s="151"/>
    </row>
    <row r="18" spans="1:11" ht="23.25" customHeight="1">
      <c r="B18" s="151"/>
      <c r="C18" s="151"/>
      <c r="D18" s="151"/>
      <c r="F18" s="151"/>
      <c r="G18" s="151"/>
      <c r="H18" s="151"/>
      <c r="I18" s="151"/>
      <c r="J18" s="151"/>
      <c r="K18" s="151"/>
    </row>
    <row r="19" spans="1:11" ht="23.25" customHeight="1">
      <c r="A19" s="111"/>
      <c r="B19" s="155"/>
      <c r="C19" s="155"/>
      <c r="D19" s="155"/>
      <c r="E19" s="155"/>
      <c r="F19" s="155"/>
      <c r="G19" s="155"/>
      <c r="H19" s="155"/>
      <c r="I19" s="155"/>
      <c r="J19" s="155"/>
      <c r="K19" s="155"/>
    </row>
    <row r="20" spans="1:11" ht="23.25" customHeight="1">
      <c r="A20" s="111"/>
      <c r="B20" s="155"/>
      <c r="C20" s="155"/>
      <c r="D20" s="155"/>
      <c r="E20" s="155"/>
      <c r="F20" s="155"/>
      <c r="G20" s="155"/>
      <c r="H20" s="155"/>
      <c r="I20" s="155"/>
      <c r="J20" s="155"/>
      <c r="K20" s="155"/>
    </row>
    <row r="21" spans="1:11" ht="23.25" customHeight="1">
      <c r="A21" s="111"/>
      <c r="B21" s="155"/>
      <c r="C21" s="155"/>
      <c r="D21" s="155"/>
      <c r="E21" s="155"/>
      <c r="F21" s="155"/>
      <c r="G21" s="155"/>
      <c r="H21" s="155"/>
      <c r="I21" s="155"/>
      <c r="J21" s="155"/>
      <c r="K21" s="155"/>
    </row>
    <row r="22" spans="1:11" ht="23.25" customHeight="1">
      <c r="A22" s="111"/>
      <c r="B22" s="155"/>
      <c r="C22" s="155"/>
      <c r="D22" s="155"/>
      <c r="E22" s="155"/>
      <c r="F22" s="155"/>
      <c r="G22" s="155"/>
      <c r="H22" s="155"/>
      <c r="I22" s="155"/>
      <c r="J22" s="155"/>
      <c r="K22" s="155"/>
    </row>
    <row r="23" spans="1:11" ht="23.25" customHeight="1">
      <c r="A23" s="111"/>
      <c r="B23" s="155"/>
      <c r="C23" s="155"/>
      <c r="D23" s="155"/>
      <c r="E23" s="155"/>
      <c r="F23" s="155"/>
      <c r="G23" s="155"/>
      <c r="H23" s="155"/>
      <c r="I23" s="155"/>
      <c r="J23" s="155"/>
      <c r="K23" s="155"/>
    </row>
    <row r="24" spans="1:11" ht="23.25" customHeight="1">
      <c r="A24" s="111"/>
      <c r="B24" s="155"/>
      <c r="C24" s="155"/>
      <c r="D24" s="155"/>
      <c r="E24" s="155"/>
      <c r="F24" s="155"/>
      <c r="G24" s="155"/>
      <c r="H24" s="155"/>
      <c r="I24" s="155"/>
      <c r="J24" s="155"/>
      <c r="K24" s="155"/>
    </row>
    <row r="25" spans="1:11" ht="23.25" customHeight="1">
      <c r="A25" s="111"/>
      <c r="B25" s="155"/>
      <c r="C25" s="155"/>
      <c r="D25" s="155"/>
      <c r="E25" s="155"/>
      <c r="F25" s="155"/>
      <c r="G25" s="155"/>
      <c r="H25" s="155"/>
      <c r="I25" s="155"/>
      <c r="J25" s="155"/>
      <c r="K25" s="155"/>
    </row>
    <row r="26" spans="1:11" ht="23.25" customHeight="1">
      <c r="A26" s="111"/>
      <c r="B26" s="155"/>
      <c r="C26" s="155"/>
      <c r="D26" s="155"/>
      <c r="E26" s="155"/>
      <c r="F26" s="155"/>
      <c r="G26" s="155"/>
      <c r="H26" s="155"/>
      <c r="I26" s="155"/>
      <c r="J26" s="155"/>
      <c r="K26" s="155"/>
    </row>
    <row r="27" spans="1:11" ht="23.25" customHeight="1">
      <c r="A27" s="111"/>
      <c r="B27" s="155"/>
      <c r="C27" s="155"/>
      <c r="D27" s="155"/>
      <c r="E27" s="155"/>
      <c r="F27" s="155"/>
      <c r="G27" s="155"/>
      <c r="H27" s="155"/>
      <c r="I27" s="155"/>
      <c r="J27" s="155"/>
      <c r="K27" s="155"/>
    </row>
    <row r="28" spans="1:11" ht="36.75" customHeight="1">
      <c r="A28" s="111"/>
      <c r="B28" s="155"/>
      <c r="C28" s="155"/>
      <c r="D28" s="155"/>
      <c r="E28" s="155"/>
      <c r="F28" s="155"/>
      <c r="G28" s="155"/>
      <c r="H28" s="155"/>
      <c r="I28" s="155"/>
      <c r="J28" s="155"/>
      <c r="K28" s="155"/>
    </row>
    <row r="29" spans="1:11" ht="23.25" customHeight="1">
      <c r="A29" s="111"/>
      <c r="B29" s="155"/>
      <c r="C29" s="155"/>
      <c r="D29" s="155"/>
      <c r="E29" s="155"/>
      <c r="F29" s="155"/>
      <c r="G29" s="155"/>
      <c r="H29" s="155"/>
      <c r="I29" s="155"/>
      <c r="J29" s="155"/>
      <c r="K29" s="155"/>
    </row>
    <row r="30" spans="1:11" ht="23.25" customHeight="1">
      <c r="A30" s="111"/>
      <c r="B30" s="155"/>
      <c r="C30" s="155"/>
      <c r="D30" s="155"/>
      <c r="E30" s="155"/>
      <c r="F30" s="155"/>
      <c r="G30" s="155"/>
      <c r="H30" s="155"/>
      <c r="I30" s="155"/>
      <c r="J30" s="155"/>
      <c r="K30" s="155"/>
    </row>
    <row r="31" spans="1:11" ht="23.25" customHeight="1">
      <c r="A31" s="111"/>
      <c r="B31" s="155"/>
      <c r="C31" s="155"/>
      <c r="D31" s="155"/>
      <c r="E31" s="155"/>
      <c r="F31" s="155"/>
      <c r="G31" s="155"/>
      <c r="H31" s="155"/>
      <c r="I31" s="155"/>
      <c r="J31" s="155"/>
      <c r="K31" s="155"/>
    </row>
    <row r="32" spans="1:11" ht="23.25" customHeight="1">
      <c r="A32" s="155"/>
      <c r="C32" s="155"/>
      <c r="D32" s="155"/>
      <c r="E32" s="155"/>
      <c r="F32" s="155"/>
      <c r="G32" s="155"/>
      <c r="H32" s="155"/>
      <c r="I32" s="155"/>
      <c r="J32" s="155"/>
      <c r="K32" s="155"/>
    </row>
    <row r="33" spans="1:11" ht="23.25" customHeight="1">
      <c r="A33" s="111"/>
      <c r="B33" s="155"/>
      <c r="C33" s="155"/>
      <c r="D33" s="155"/>
      <c r="E33" s="155"/>
      <c r="F33" s="155"/>
      <c r="G33" s="155"/>
      <c r="H33" s="155"/>
      <c r="I33" s="155"/>
      <c r="J33" s="155"/>
      <c r="K33" s="155"/>
    </row>
    <row r="34" spans="1:11" ht="23.25" customHeight="1">
      <c r="A34" s="111"/>
      <c r="B34" s="155"/>
      <c r="C34" s="155"/>
      <c r="D34" s="155"/>
      <c r="E34" s="155"/>
      <c r="F34" s="155"/>
      <c r="G34" s="155"/>
      <c r="H34" s="155"/>
      <c r="I34" s="155"/>
      <c r="J34" s="155"/>
      <c r="K34" s="155"/>
    </row>
    <row r="35" spans="1:11" ht="23.25" customHeight="1">
      <c r="A35" s="111"/>
      <c r="B35" s="155"/>
      <c r="C35" s="155"/>
      <c r="D35" s="155"/>
      <c r="E35" s="155"/>
      <c r="F35" s="155"/>
      <c r="G35" s="155"/>
      <c r="H35" s="155"/>
      <c r="I35" s="155"/>
      <c r="J35" s="155"/>
      <c r="K35" s="155"/>
    </row>
    <row r="36" spans="1:11" ht="23.25" customHeight="1">
      <c r="A36" s="116"/>
      <c r="B36" s="155"/>
      <c r="C36" s="155"/>
      <c r="D36" s="155"/>
      <c r="E36" s="155"/>
      <c r="F36" s="155"/>
      <c r="G36" s="155"/>
      <c r="H36" s="155"/>
      <c r="I36" s="155"/>
      <c r="J36" s="155"/>
      <c r="K36" s="155"/>
    </row>
    <row r="37" spans="1:11" ht="23.25" customHeight="1">
      <c r="A37" s="111"/>
      <c r="B37" s="155"/>
      <c r="C37" s="155"/>
      <c r="D37" s="155"/>
      <c r="E37" s="155"/>
      <c r="F37" s="155"/>
      <c r="G37" s="155"/>
      <c r="H37" s="155"/>
      <c r="I37" s="155"/>
      <c r="J37" s="155"/>
      <c r="K37" s="155"/>
    </row>
  </sheetData>
  <mergeCells count="2">
    <mergeCell ref="A1:L1"/>
    <mergeCell ref="A2:L2"/>
  </mergeCells>
  <printOptions horizontalCentered="1" verticalCentered="1"/>
  <pageMargins left="0.4" right="0.4" top="0.25" bottom="0.25" header="0.31496062992126" footer="0.31496062992126"/>
  <pageSetup scale="80" orientation="landscape" r:id="rId1"/>
  <drawing r:id="rId2"/>
  <legacy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45"/>
  <sheetViews>
    <sheetView showGridLines="0" view="pageBreakPreview" zoomScale="85" zoomScaleNormal="100" zoomScaleSheetLayoutView="85" workbookViewId="0">
      <selection activeCell="G8" sqref="G8"/>
    </sheetView>
  </sheetViews>
  <sheetFormatPr baseColWidth="10" defaultColWidth="11.42578125" defaultRowHeight="23.25" customHeight="1"/>
  <cols>
    <col min="1" max="1" width="22.42578125" style="128" customWidth="1"/>
    <col min="2" max="2" width="15.5703125" style="128" customWidth="1"/>
    <col min="3" max="3" width="14.85546875" style="128" customWidth="1"/>
    <col min="4" max="4" width="14.28515625" style="128" customWidth="1"/>
    <col min="5" max="7" width="11.7109375" style="128" bestFit="1" customWidth="1"/>
    <col min="8" max="8" width="12.85546875" style="128" bestFit="1" customWidth="1"/>
    <col min="9" max="11" width="11.140625" style="128" bestFit="1" customWidth="1"/>
    <col min="12" max="13" width="21.140625" style="128" customWidth="1"/>
    <col min="14" max="14" width="11.140625" style="128" customWidth="1"/>
    <col min="15" max="15" width="9.28515625" style="128" customWidth="1"/>
    <col min="16" max="16384" width="11.42578125" style="128"/>
  </cols>
  <sheetData>
    <row r="1" spans="1:15" ht="75.75" customHeight="1">
      <c r="A1" s="2445" t="s">
        <v>1971</v>
      </c>
      <c r="B1" s="2445"/>
      <c r="C1" s="2445"/>
      <c r="D1" s="2445"/>
      <c r="E1" s="2445"/>
      <c r="F1" s="2445"/>
      <c r="G1" s="2445"/>
      <c r="H1" s="2445"/>
      <c r="I1" s="2445"/>
      <c r="J1" s="2445"/>
      <c r="K1" s="2445"/>
      <c r="L1" s="2445"/>
      <c r="M1" s="2445"/>
      <c r="N1" s="2445"/>
      <c r="O1" s="260"/>
    </row>
    <row r="2" spans="1:15" s="148" customFormat="1" ht="3.75" customHeight="1">
      <c r="A2" s="550"/>
      <c r="B2" s="550"/>
      <c r="C2" s="550"/>
      <c r="D2" s="128"/>
      <c r="E2" s="128"/>
      <c r="F2" s="128"/>
      <c r="G2" s="128"/>
      <c r="H2" s="128"/>
      <c r="I2" s="128"/>
      <c r="J2" s="128"/>
      <c r="K2" s="128"/>
      <c r="L2" s="128"/>
      <c r="M2" s="128"/>
      <c r="N2" s="128"/>
      <c r="O2" s="128"/>
    </row>
    <row r="3" spans="1:15" ht="33.75" customHeight="1">
      <c r="A3" s="2444" t="s">
        <v>1405</v>
      </c>
      <c r="B3" s="2444"/>
      <c r="C3" s="2444"/>
    </row>
    <row r="4" spans="1:15" ht="36.75" customHeight="1">
      <c r="A4" s="1212" t="s">
        <v>72</v>
      </c>
      <c r="B4" s="1212" t="s">
        <v>50</v>
      </c>
      <c r="C4" s="1212" t="s">
        <v>1913</v>
      </c>
    </row>
    <row r="5" spans="1:15" ht="18.75">
      <c r="A5" s="1185" t="s">
        <v>79</v>
      </c>
      <c r="B5" s="1251">
        <v>493132</v>
      </c>
      <c r="C5" s="2060">
        <f>+B5/$B$14</f>
        <v>0.32692562676015252</v>
      </c>
    </row>
    <row r="6" spans="1:15" ht="18.75">
      <c r="A6" s="1186" t="s">
        <v>80</v>
      </c>
      <c r="B6" s="1251">
        <v>517935</v>
      </c>
      <c r="C6" s="2060">
        <f t="shared" ref="C6:C13" si="0">+B6/$B$14</f>
        <v>0.34336896509660619</v>
      </c>
    </row>
    <row r="7" spans="1:15" ht="18.75">
      <c r="A7" s="1186" t="s">
        <v>81</v>
      </c>
      <c r="B7" s="1251">
        <v>176545</v>
      </c>
      <c r="C7" s="2060">
        <f t="shared" si="0"/>
        <v>0.11704185649353749</v>
      </c>
    </row>
    <row r="8" spans="1:15" ht="18.75">
      <c r="A8" s="1186" t="s">
        <v>82</v>
      </c>
      <c r="B8" s="1251">
        <v>102323</v>
      </c>
      <c r="C8" s="2060">
        <f t="shared" si="0"/>
        <v>6.7835814562792696E-2</v>
      </c>
    </row>
    <row r="9" spans="1:15" ht="18.75">
      <c r="A9" s="1186" t="s">
        <v>83</v>
      </c>
      <c r="B9" s="1251">
        <v>124344</v>
      </c>
      <c r="C9" s="2060">
        <f t="shared" si="0"/>
        <v>8.2434804745715962E-2</v>
      </c>
    </row>
    <row r="10" spans="1:15" ht="18.75">
      <c r="A10" s="1186" t="s">
        <v>84</v>
      </c>
      <c r="B10" s="1251">
        <v>35546</v>
      </c>
      <c r="C10" s="2060">
        <f t="shared" si="0"/>
        <v>2.3565492259306601E-2</v>
      </c>
    </row>
    <row r="11" spans="1:15" ht="18.75">
      <c r="A11" s="1186" t="s">
        <v>85</v>
      </c>
      <c r="B11" s="1251">
        <v>21228</v>
      </c>
      <c r="C11" s="2060">
        <f t="shared" si="0"/>
        <v>1.4073264774673957E-2</v>
      </c>
    </row>
    <row r="12" spans="1:15" ht="18.75">
      <c r="A12" s="1186" t="s">
        <v>86</v>
      </c>
      <c r="B12" s="1251">
        <v>20458</v>
      </c>
      <c r="C12" s="2060">
        <f t="shared" si="0"/>
        <v>1.3562787392136792E-2</v>
      </c>
    </row>
    <row r="13" spans="1:15" ht="18.75">
      <c r="A13" s="1186" t="s">
        <v>87</v>
      </c>
      <c r="B13" s="1251">
        <v>16881</v>
      </c>
      <c r="C13" s="2060">
        <f t="shared" si="0"/>
        <v>1.1191387915077778E-2</v>
      </c>
    </row>
    <row r="14" spans="1:15" ht="17.25">
      <c r="A14" s="1187" t="s">
        <v>23</v>
      </c>
      <c r="B14" s="1188">
        <f>SUM(B5:B13)</f>
        <v>1508392</v>
      </c>
      <c r="C14" s="2061">
        <f>SUM(C5:C13)</f>
        <v>1</v>
      </c>
    </row>
    <row r="15" spans="1:15" ht="23.25" customHeight="1">
      <c r="C15" s="147"/>
      <c r="D15" s="147"/>
      <c r="O15" s="151"/>
    </row>
    <row r="16" spans="1:15" ht="23.25" customHeight="1">
      <c r="B16" s="151"/>
      <c r="C16" s="151"/>
      <c r="D16" s="151"/>
      <c r="O16" s="151"/>
    </row>
    <row r="17" spans="1:15" ht="23.25" customHeight="1">
      <c r="B17" s="151"/>
      <c r="C17" s="151"/>
      <c r="D17" s="151"/>
      <c r="O17" s="151"/>
    </row>
    <row r="18" spans="1:15" ht="23.25" customHeight="1">
      <c r="B18" s="151"/>
      <c r="C18" s="151"/>
      <c r="D18" s="151"/>
      <c r="O18" s="151"/>
    </row>
    <row r="19" spans="1:15" ht="23.25" customHeight="1">
      <c r="B19" s="151"/>
      <c r="C19" s="151"/>
      <c r="D19" s="151"/>
      <c r="O19" s="151"/>
    </row>
    <row r="20" spans="1:15" ht="23.25" customHeight="1">
      <c r="B20" s="151"/>
      <c r="C20" s="151"/>
      <c r="D20" s="151"/>
      <c r="E20" s="151"/>
      <c r="F20" s="151"/>
      <c r="G20" s="151"/>
      <c r="H20" s="151"/>
      <c r="I20" s="151"/>
      <c r="J20" s="151"/>
      <c r="K20" s="151"/>
      <c r="L20" s="151"/>
      <c r="M20" s="151"/>
      <c r="N20" s="151"/>
      <c r="O20" s="151"/>
    </row>
    <row r="21" spans="1:15" ht="23.25" customHeight="1">
      <c r="B21" s="151"/>
      <c r="C21" s="151"/>
      <c r="D21" s="151"/>
      <c r="E21" s="155"/>
      <c r="F21" s="155"/>
      <c r="G21" s="155"/>
      <c r="H21" s="155"/>
      <c r="I21" s="155"/>
      <c r="J21" s="155"/>
      <c r="K21" s="155"/>
      <c r="L21" s="155"/>
      <c r="M21" s="155"/>
      <c r="N21" s="155"/>
      <c r="O21" s="155"/>
    </row>
    <row r="22" spans="1:15" ht="23.25" customHeight="1">
      <c r="B22" s="151"/>
      <c r="C22" s="151"/>
      <c r="D22" s="151"/>
      <c r="E22" s="155"/>
      <c r="F22" s="155"/>
      <c r="G22" s="155"/>
      <c r="H22" s="155"/>
      <c r="I22" s="155"/>
      <c r="J22" s="155"/>
      <c r="K22" s="155"/>
      <c r="L22" s="155"/>
      <c r="M22" s="155"/>
      <c r="N22" s="155"/>
      <c r="O22" s="155"/>
    </row>
    <row r="23" spans="1:15" ht="23.25" customHeight="1">
      <c r="B23" s="151"/>
      <c r="C23" s="151"/>
      <c r="D23" s="151"/>
      <c r="E23" s="155"/>
      <c r="F23" s="155"/>
      <c r="G23" s="155"/>
      <c r="H23" s="155"/>
      <c r="I23" s="155"/>
      <c r="J23" s="155"/>
      <c r="K23" s="155"/>
      <c r="L23" s="155"/>
      <c r="M23" s="155"/>
      <c r="N23" s="155"/>
      <c r="O23" s="155"/>
    </row>
    <row r="24" spans="1:15" ht="23.25" customHeight="1">
      <c r="B24" s="151"/>
      <c r="C24" s="151"/>
      <c r="D24" s="151"/>
      <c r="E24" s="155"/>
      <c r="F24" s="155"/>
      <c r="G24" s="155"/>
      <c r="H24" s="155"/>
      <c r="I24" s="155"/>
      <c r="J24" s="155"/>
      <c r="K24" s="155"/>
      <c r="L24" s="155"/>
      <c r="M24" s="155"/>
      <c r="N24" s="155"/>
      <c r="O24" s="155"/>
    </row>
    <row r="25" spans="1:15" ht="23.25" customHeight="1">
      <c r="A25" s="111"/>
      <c r="B25" s="155"/>
      <c r="C25" s="155"/>
      <c r="D25" s="155"/>
      <c r="E25" s="155"/>
      <c r="F25" s="155"/>
      <c r="G25" s="155"/>
      <c r="H25" s="155"/>
      <c r="I25" s="155"/>
      <c r="J25" s="155"/>
      <c r="K25" s="155"/>
      <c r="L25" s="155"/>
      <c r="M25" s="155"/>
      <c r="N25" s="155"/>
      <c r="O25" s="155"/>
    </row>
    <row r="26" spans="1:15" ht="23.25" customHeight="1">
      <c r="A26" s="111"/>
      <c r="B26" s="155"/>
      <c r="C26" s="155"/>
      <c r="D26" s="155"/>
      <c r="E26" s="155"/>
      <c r="F26" s="155"/>
      <c r="G26" s="155"/>
      <c r="H26" s="155"/>
      <c r="I26" s="155"/>
      <c r="J26" s="155"/>
      <c r="K26" s="155"/>
      <c r="L26" s="155"/>
      <c r="M26" s="155"/>
      <c r="N26" s="155"/>
      <c r="O26" s="155"/>
    </row>
    <row r="27" spans="1:15" ht="23.25" customHeight="1">
      <c r="A27" s="111"/>
      <c r="B27" s="155"/>
      <c r="C27" s="155"/>
      <c r="D27" s="155"/>
      <c r="E27" s="155"/>
      <c r="F27" s="155"/>
      <c r="G27" s="155"/>
      <c r="H27" s="155"/>
      <c r="I27" s="155"/>
      <c r="J27" s="155"/>
      <c r="K27" s="155"/>
      <c r="L27" s="155"/>
      <c r="M27" s="155"/>
      <c r="N27" s="155"/>
      <c r="O27" s="155"/>
    </row>
    <row r="28" spans="1:15" ht="23.25" customHeight="1">
      <c r="A28" s="111"/>
      <c r="B28" s="155"/>
      <c r="C28" s="155"/>
      <c r="D28" s="155"/>
      <c r="E28" s="155"/>
      <c r="F28" s="155"/>
      <c r="G28" s="155"/>
      <c r="H28" s="155"/>
      <c r="I28" s="155"/>
      <c r="J28" s="155"/>
      <c r="K28" s="155"/>
      <c r="L28" s="155"/>
      <c r="M28" s="155"/>
      <c r="N28" s="155"/>
      <c r="O28" s="155"/>
    </row>
    <row r="29" spans="1:15" ht="23.25" customHeight="1">
      <c r="A29" s="111"/>
      <c r="B29" s="155"/>
      <c r="C29" s="155"/>
      <c r="D29" s="155"/>
      <c r="E29" s="155"/>
      <c r="F29" s="155"/>
      <c r="G29" s="155"/>
      <c r="H29" s="155"/>
      <c r="I29" s="155"/>
      <c r="J29" s="155"/>
      <c r="K29" s="155"/>
      <c r="L29" s="155"/>
      <c r="M29" s="155"/>
      <c r="N29" s="155"/>
      <c r="O29" s="155"/>
    </row>
    <row r="30" spans="1:15" ht="23.25" customHeight="1">
      <c r="A30" s="111"/>
      <c r="B30" s="155"/>
      <c r="C30" s="155"/>
      <c r="D30" s="155"/>
      <c r="E30" s="155"/>
      <c r="F30" s="155"/>
      <c r="G30" s="155"/>
      <c r="H30" s="155"/>
      <c r="I30" s="155"/>
      <c r="J30" s="155"/>
      <c r="K30" s="155"/>
      <c r="L30" s="155"/>
      <c r="M30" s="155"/>
      <c r="N30" s="155"/>
      <c r="O30" s="155"/>
    </row>
    <row r="31" spans="1:15" ht="23.25" customHeight="1">
      <c r="A31" s="111"/>
      <c r="B31" s="155"/>
      <c r="C31" s="155"/>
      <c r="D31" s="155"/>
      <c r="E31" s="155"/>
      <c r="F31" s="155"/>
      <c r="G31" s="155"/>
      <c r="H31" s="155"/>
      <c r="I31" s="155"/>
      <c r="J31" s="155"/>
      <c r="K31" s="155"/>
      <c r="L31" s="155"/>
      <c r="M31" s="155"/>
      <c r="N31" s="155"/>
      <c r="O31" s="155"/>
    </row>
    <row r="32" spans="1:15" ht="23.25" customHeight="1">
      <c r="A32" s="111"/>
      <c r="B32" s="155"/>
      <c r="C32" s="155"/>
      <c r="D32" s="155"/>
      <c r="E32" s="155"/>
      <c r="F32" s="155"/>
      <c r="G32" s="155"/>
      <c r="H32" s="155"/>
      <c r="I32" s="155"/>
      <c r="J32" s="155"/>
      <c r="K32" s="155"/>
      <c r="L32" s="155"/>
      <c r="M32" s="155"/>
      <c r="N32" s="155"/>
      <c r="O32" s="155"/>
    </row>
    <row r="33" spans="1:15" ht="23.25" customHeight="1">
      <c r="A33" s="111"/>
      <c r="B33" s="155"/>
      <c r="C33" s="155"/>
      <c r="D33" s="155"/>
      <c r="E33" s="155"/>
      <c r="F33" s="155"/>
      <c r="G33" s="155"/>
      <c r="H33" s="155"/>
      <c r="I33" s="155"/>
      <c r="J33" s="155"/>
      <c r="K33" s="155"/>
      <c r="L33" s="155"/>
      <c r="M33" s="155"/>
      <c r="N33" s="155"/>
      <c r="O33" s="155"/>
    </row>
    <row r="34" spans="1:15" ht="23.25" customHeight="1">
      <c r="A34" s="111"/>
      <c r="B34" s="155"/>
      <c r="C34" s="155"/>
      <c r="D34" s="155"/>
      <c r="E34" s="155"/>
      <c r="F34" s="155"/>
      <c r="G34" s="155"/>
      <c r="H34" s="155"/>
      <c r="I34" s="155"/>
      <c r="J34" s="155"/>
      <c r="K34" s="155"/>
      <c r="L34" s="155"/>
      <c r="M34" s="155"/>
      <c r="N34" s="155"/>
      <c r="O34" s="155"/>
    </row>
    <row r="35" spans="1:15" ht="23.25" customHeight="1">
      <c r="A35" s="111"/>
      <c r="B35" s="155"/>
      <c r="C35" s="155"/>
      <c r="D35" s="155"/>
      <c r="E35" s="155"/>
      <c r="F35" s="155"/>
      <c r="G35" s="155"/>
      <c r="H35" s="155"/>
      <c r="I35" s="155"/>
      <c r="J35" s="155"/>
      <c r="K35" s="155"/>
      <c r="L35" s="155"/>
      <c r="M35" s="155"/>
      <c r="N35" s="155"/>
      <c r="O35" s="155"/>
    </row>
    <row r="36" spans="1:15" ht="23.25" customHeight="1">
      <c r="A36" s="111"/>
      <c r="B36" s="155"/>
      <c r="C36" s="155"/>
      <c r="D36" s="155"/>
      <c r="E36" s="155"/>
      <c r="F36" s="155"/>
      <c r="G36" s="155"/>
      <c r="H36" s="155"/>
      <c r="I36" s="155"/>
      <c r="J36" s="155"/>
      <c r="K36" s="155"/>
      <c r="L36" s="155"/>
      <c r="M36" s="155"/>
      <c r="N36" s="155"/>
      <c r="O36" s="155"/>
    </row>
    <row r="37" spans="1:15" ht="23.25" customHeight="1">
      <c r="A37" s="111"/>
      <c r="B37" s="155"/>
      <c r="C37" s="155"/>
      <c r="D37" s="155"/>
      <c r="E37" s="155"/>
      <c r="F37" s="155"/>
      <c r="G37" s="155"/>
      <c r="H37" s="155"/>
      <c r="I37" s="155"/>
      <c r="J37" s="155"/>
      <c r="K37" s="155"/>
      <c r="L37" s="155"/>
      <c r="M37" s="155"/>
      <c r="N37" s="155"/>
      <c r="O37" s="155"/>
    </row>
    <row r="38" spans="1:15" ht="23.25" customHeight="1">
      <c r="A38" s="111"/>
      <c r="B38" s="155"/>
      <c r="C38" s="155"/>
      <c r="D38" s="155"/>
      <c r="E38" s="155"/>
      <c r="F38" s="155"/>
      <c r="G38" s="155"/>
      <c r="H38" s="155"/>
      <c r="I38" s="155"/>
      <c r="J38" s="155"/>
      <c r="K38" s="155"/>
      <c r="L38" s="155"/>
      <c r="M38" s="155"/>
      <c r="N38" s="155"/>
      <c r="O38" s="155"/>
    </row>
    <row r="39" spans="1:15" ht="23.25" customHeight="1">
      <c r="A39" s="111"/>
      <c r="B39" s="155"/>
      <c r="C39" s="155"/>
      <c r="D39" s="155"/>
      <c r="E39" s="155"/>
      <c r="F39" s="155"/>
      <c r="G39" s="155"/>
      <c r="H39" s="155"/>
      <c r="I39" s="155"/>
      <c r="J39" s="155"/>
      <c r="K39" s="155"/>
      <c r="L39" s="155"/>
      <c r="M39" s="155"/>
      <c r="N39" s="155"/>
      <c r="O39" s="155"/>
    </row>
    <row r="40" spans="1:15" ht="23.25" customHeight="1">
      <c r="A40" s="111"/>
      <c r="B40" s="155"/>
      <c r="C40" s="155"/>
      <c r="D40" s="155"/>
      <c r="E40" s="155"/>
      <c r="F40" s="155"/>
      <c r="G40" s="155"/>
      <c r="H40" s="155"/>
      <c r="I40" s="155"/>
      <c r="J40" s="155"/>
      <c r="K40" s="155"/>
      <c r="L40" s="155"/>
      <c r="M40" s="155"/>
      <c r="N40" s="155"/>
      <c r="O40" s="155"/>
    </row>
    <row r="41" spans="1:15" ht="23.25" customHeight="1">
      <c r="A41" s="111"/>
      <c r="B41" s="155"/>
      <c r="C41" s="155"/>
      <c r="D41" s="155"/>
      <c r="E41" s="155"/>
      <c r="F41" s="155"/>
      <c r="G41" s="155"/>
      <c r="H41" s="155"/>
      <c r="I41" s="155"/>
      <c r="J41" s="155"/>
      <c r="K41" s="155"/>
      <c r="L41" s="155"/>
      <c r="M41" s="155"/>
      <c r="N41" s="155"/>
      <c r="O41" s="155"/>
    </row>
    <row r="42" spans="1:15" ht="23.25" customHeight="1">
      <c r="A42" s="111"/>
      <c r="B42" s="155"/>
      <c r="C42" s="155"/>
      <c r="D42" s="155"/>
    </row>
    <row r="43" spans="1:15" ht="23.25" customHeight="1">
      <c r="A43" s="111"/>
      <c r="B43" s="155"/>
      <c r="C43" s="155"/>
      <c r="D43" s="155"/>
    </row>
    <row r="44" spans="1:15" ht="23.25" customHeight="1">
      <c r="A44" s="116"/>
      <c r="B44" s="155"/>
      <c r="C44" s="155"/>
      <c r="D44" s="155"/>
    </row>
    <row r="45" spans="1:15" ht="23.25" customHeight="1">
      <c r="A45" s="111"/>
      <c r="B45" s="155"/>
      <c r="C45" s="155"/>
      <c r="D45" s="155"/>
    </row>
  </sheetData>
  <mergeCells count="2">
    <mergeCell ref="A3:C3"/>
    <mergeCell ref="A1:N1"/>
  </mergeCells>
  <printOptions horizontalCentered="1" verticalCentered="1"/>
  <pageMargins left="0.4" right="0.4" top="0.25" bottom="0.25" header="0.31496062992126" footer="0.31496062992126"/>
  <pageSetup scale="6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48"/>
  <sheetViews>
    <sheetView showGridLines="0" view="pageBreakPreview" zoomScale="70" zoomScaleNormal="100" zoomScaleSheetLayoutView="70" workbookViewId="0">
      <selection activeCell="P31" sqref="P31"/>
    </sheetView>
  </sheetViews>
  <sheetFormatPr baseColWidth="10" defaultColWidth="11.42578125" defaultRowHeight="15"/>
  <cols>
    <col min="1" max="1" width="16.85546875" style="128" customWidth="1"/>
    <col min="2" max="2" width="15.42578125" style="128" customWidth="1"/>
    <col min="3" max="3" width="14.85546875" style="128" bestFit="1" customWidth="1"/>
    <col min="4" max="4" width="12.5703125" style="128" customWidth="1"/>
    <col min="5" max="5" width="19.140625" style="128" customWidth="1"/>
    <col min="6" max="6" width="15.5703125" style="128" customWidth="1"/>
    <col min="7" max="7" width="21.5703125" style="128" customWidth="1"/>
    <col min="8" max="9" width="19.7109375" style="128" customWidth="1"/>
    <col min="10" max="10" width="16.28515625" style="128" customWidth="1"/>
    <col min="11" max="11" width="12.7109375" style="128" customWidth="1"/>
    <col min="12" max="12" width="15.5703125" style="128" customWidth="1"/>
    <col min="13" max="13" width="26.7109375" style="128" customWidth="1"/>
    <col min="14" max="14" width="21" style="128" customWidth="1"/>
    <col min="15" max="16384" width="11.42578125" style="128"/>
  </cols>
  <sheetData>
    <row r="1" spans="1:14" ht="80.25" customHeight="1">
      <c r="A1" s="2446" t="s">
        <v>1972</v>
      </c>
      <c r="B1" s="2446"/>
      <c r="C1" s="2446"/>
      <c r="D1" s="2446"/>
      <c r="E1" s="2446"/>
      <c r="F1" s="2446"/>
      <c r="G1" s="2446"/>
      <c r="H1" s="2446"/>
      <c r="I1" s="2446"/>
      <c r="J1" s="2446"/>
      <c r="K1" s="2446"/>
      <c r="L1" s="324"/>
    </row>
    <row r="2" spans="1:14" ht="29.25" customHeight="1">
      <c r="A2" s="2447" t="s">
        <v>1973</v>
      </c>
      <c r="B2" s="2448"/>
      <c r="C2" s="2448"/>
      <c r="D2" s="2448"/>
      <c r="E2" s="2448"/>
      <c r="F2" s="2448"/>
      <c r="G2" s="2448"/>
      <c r="H2" s="2448"/>
      <c r="I2" s="2448"/>
      <c r="J2" s="2448"/>
      <c r="K2" s="2448"/>
      <c r="L2" s="523"/>
    </row>
    <row r="3" spans="1:14" ht="17.25" customHeight="1">
      <c r="A3" s="2449"/>
      <c r="B3" s="2449"/>
      <c r="C3" s="2449"/>
      <c r="D3" s="2449"/>
      <c r="E3" s="2449"/>
      <c r="F3" s="2449"/>
      <c r="G3" s="2449"/>
      <c r="H3" s="2449"/>
      <c r="I3" s="2449"/>
      <c r="J3" s="2449"/>
      <c r="K3" s="2449"/>
      <c r="L3" s="523"/>
    </row>
    <row r="4" spans="1:14" s="347" customFormat="1" ht="42" customHeight="1">
      <c r="A4" s="1345" t="s">
        <v>195</v>
      </c>
      <c r="B4" s="1345" t="s">
        <v>112</v>
      </c>
      <c r="C4" s="1346" t="s">
        <v>113</v>
      </c>
      <c r="D4" s="1346" t="s">
        <v>103</v>
      </c>
      <c r="E4" s="1346" t="s">
        <v>104</v>
      </c>
      <c r="F4" s="1346" t="s">
        <v>105</v>
      </c>
      <c r="G4" s="1345" t="s">
        <v>257</v>
      </c>
      <c r="H4" s="1615" t="s">
        <v>196</v>
      </c>
      <c r="I4" s="1615" t="s">
        <v>1009</v>
      </c>
      <c r="J4" s="1615" t="s">
        <v>23</v>
      </c>
      <c r="K4" s="2087"/>
      <c r="L4" s="739"/>
      <c r="M4" s="128"/>
    </row>
    <row r="5" spans="1:14" s="1974" customFormat="1" ht="24" customHeight="1">
      <c r="A5" s="1347" t="s">
        <v>1922</v>
      </c>
      <c r="B5" s="1988">
        <f>+'%Cotiz. x AFP'!C7</f>
        <v>447951</v>
      </c>
      <c r="C5" s="1988">
        <f>+'%Cotiz. x AFP'!C5</f>
        <v>205118</v>
      </c>
      <c r="D5" s="1988">
        <f>+'%Cotiz. x AFP'!C4</f>
        <v>11274</v>
      </c>
      <c r="E5" s="1988">
        <f>+'%Cotiz. x AFP'!C8</f>
        <v>433287</v>
      </c>
      <c r="F5" s="1988">
        <f>+'%Cotiz. x AFP'!C6</f>
        <v>275702</v>
      </c>
      <c r="G5" s="1988">
        <f>+'%Cotiz. x AFP'!C9</f>
        <v>84872</v>
      </c>
      <c r="H5" s="1988">
        <f>+'%Cotiz. x AFP'!C10</f>
        <v>42017</v>
      </c>
      <c r="I5" s="1988">
        <f>+'%Cotiz. x AFP'!C11</f>
        <v>8171</v>
      </c>
      <c r="J5" s="1989">
        <f>SUM(B5:I5)</f>
        <v>1508392</v>
      </c>
      <c r="K5" s="214"/>
      <c r="M5" s="128"/>
    </row>
    <row r="6" spans="1:14" ht="22.5" customHeight="1">
      <c r="A6" s="1348" t="s">
        <v>48</v>
      </c>
      <c r="B6" s="1990">
        <f>B5/$J$5</f>
        <v>0.29697253764273479</v>
      </c>
      <c r="C6" s="1990">
        <f t="shared" ref="C6:H6" si="0">C5/$J$5</f>
        <v>0.13598454513150426</v>
      </c>
      <c r="D6" s="1990">
        <f t="shared" si="0"/>
        <v>7.4741844295116919E-3</v>
      </c>
      <c r="E6" s="1990">
        <f t="shared" si="0"/>
        <v>0.28725092681478026</v>
      </c>
      <c r="F6" s="1990">
        <f t="shared" si="0"/>
        <v>0.18277874716917089</v>
      </c>
      <c r="G6" s="1990">
        <f t="shared" si="0"/>
        <v>5.6266540793109485E-2</v>
      </c>
      <c r="H6" s="1990">
        <f t="shared" si="0"/>
        <v>2.7855491145537765E-2</v>
      </c>
      <c r="I6" s="1990">
        <f>I5/$J$5</f>
        <v>5.4170268736508809E-3</v>
      </c>
      <c r="J6" s="1634">
        <f>SUM(B6:I6)</f>
        <v>0.99999999999999989</v>
      </c>
      <c r="K6" s="148"/>
    </row>
    <row r="7" spans="1:14">
      <c r="B7" s="146"/>
      <c r="C7" s="146"/>
      <c r="D7" s="146"/>
      <c r="E7" s="711"/>
      <c r="F7" s="711"/>
      <c r="G7" s="712"/>
      <c r="H7" s="712"/>
      <c r="I7" s="148"/>
      <c r="J7" s="148"/>
      <c r="K7" s="148"/>
    </row>
    <row r="8" spans="1:14">
      <c r="E8" s="10"/>
      <c r="F8" s="10"/>
      <c r="G8" s="148"/>
      <c r="H8" s="148"/>
      <c r="I8" s="148"/>
      <c r="J8" s="148"/>
      <c r="K8" s="148"/>
      <c r="L8" s="148"/>
      <c r="N8" s="486"/>
    </row>
    <row r="9" spans="1:14">
      <c r="E9" s="10"/>
      <c r="F9" s="10"/>
      <c r="G9" s="148"/>
      <c r="H9" s="148"/>
      <c r="I9" s="148"/>
      <c r="J9" s="148"/>
      <c r="K9" s="148"/>
      <c r="L9" s="148"/>
      <c r="N9" s="486"/>
    </row>
    <row r="10" spans="1:14">
      <c r="E10" s="9"/>
      <c r="F10" s="10"/>
      <c r="G10" s="148"/>
      <c r="H10" s="148"/>
      <c r="I10" s="148"/>
      <c r="J10" s="148"/>
      <c r="K10" s="148"/>
      <c r="L10" s="24"/>
      <c r="M10" s="486"/>
      <c r="N10" s="486"/>
    </row>
    <row r="11" spans="1:14">
      <c r="E11" s="9"/>
      <c r="F11" s="9"/>
      <c r="G11" s="148"/>
      <c r="H11" s="148"/>
      <c r="I11" s="148"/>
      <c r="J11" s="148"/>
      <c r="K11" s="148"/>
      <c r="L11" s="24"/>
      <c r="M11" s="486"/>
      <c r="N11" s="486"/>
    </row>
    <row r="12" spans="1:14" ht="18.75">
      <c r="G12" s="2"/>
      <c r="H12" s="2"/>
      <c r="I12" s="4"/>
      <c r="J12" s="4"/>
      <c r="K12" s="1"/>
      <c r="L12" s="1"/>
      <c r="M12" s="486"/>
      <c r="N12" s="486"/>
    </row>
    <row r="13" spans="1:14">
      <c r="B13" s="1"/>
      <c r="C13" s="1"/>
      <c r="D13" s="1"/>
      <c r="E13" s="1"/>
      <c r="F13" s="1"/>
      <c r="G13" s="1"/>
      <c r="H13" s="1"/>
      <c r="I13" s="3"/>
      <c r="J13" s="3"/>
      <c r="K13" s="1"/>
      <c r="L13" s="1"/>
      <c r="M13" s="486"/>
      <c r="N13" s="486"/>
    </row>
    <row r="14" spans="1:14">
      <c r="B14" s="1"/>
      <c r="C14" s="1"/>
      <c r="D14" s="1"/>
      <c r="E14" s="1"/>
      <c r="F14" s="6"/>
      <c r="G14" s="1"/>
      <c r="H14" s="1"/>
      <c r="I14" s="1"/>
      <c r="J14" s="1"/>
      <c r="K14" s="1"/>
      <c r="L14" s="4"/>
      <c r="M14" s="486"/>
      <c r="N14" s="486"/>
    </row>
    <row r="15" spans="1:14">
      <c r="B15" s="1"/>
      <c r="C15" s="1"/>
      <c r="D15" s="1"/>
      <c r="E15" s="1"/>
      <c r="F15" s="1"/>
      <c r="G15" s="1"/>
      <c r="H15" s="1"/>
      <c r="I15" s="1"/>
      <c r="J15" s="1"/>
      <c r="K15" s="1"/>
      <c r="L15" s="1"/>
      <c r="M15" s="486"/>
      <c r="N15" s="486"/>
    </row>
    <row r="16" spans="1:14">
      <c r="B16" s="1"/>
      <c r="C16" s="1"/>
      <c r="D16" s="1"/>
      <c r="E16" s="1"/>
      <c r="F16" s="1"/>
      <c r="G16" s="1"/>
      <c r="H16" s="1"/>
      <c r="I16" s="1"/>
      <c r="J16" s="1"/>
      <c r="K16" s="1"/>
      <c r="L16" s="1"/>
      <c r="M16" s="486"/>
      <c r="N16" s="486"/>
    </row>
    <row r="17" spans="2:14">
      <c r="B17" s="1"/>
      <c r="C17" s="1"/>
      <c r="D17" s="1"/>
      <c r="E17" s="1"/>
      <c r="F17" s="1"/>
      <c r="G17" s="1"/>
      <c r="H17" s="1"/>
      <c r="I17" s="1"/>
      <c r="J17" s="1"/>
      <c r="K17" s="1"/>
      <c r="L17" s="1"/>
      <c r="M17" s="486"/>
      <c r="N17" s="486"/>
    </row>
    <row r="18" spans="2:14">
      <c r="B18" s="1"/>
      <c r="C18" s="1"/>
      <c r="D18" s="1"/>
      <c r="E18" s="1"/>
      <c r="F18" s="1"/>
      <c r="G18" s="1"/>
      <c r="H18" s="1"/>
      <c r="I18" s="1"/>
      <c r="J18" s="1"/>
      <c r="K18" s="1"/>
      <c r="L18" s="1"/>
      <c r="M18" s="486"/>
      <c r="N18" s="486"/>
    </row>
    <row r="19" spans="2:14">
      <c r="B19" s="1"/>
      <c r="C19" s="1"/>
      <c r="D19" s="1"/>
      <c r="E19" s="1"/>
      <c r="F19" s="1"/>
      <c r="G19" s="1"/>
      <c r="H19" s="1"/>
      <c r="I19" s="1"/>
      <c r="J19" s="1"/>
      <c r="K19" s="1"/>
      <c r="L19" s="1"/>
      <c r="M19" s="486"/>
      <c r="N19" s="486"/>
    </row>
    <row r="20" spans="2:14">
      <c r="B20" s="1"/>
      <c r="C20" s="1"/>
      <c r="D20" s="1"/>
      <c r="E20" s="1"/>
      <c r="F20" s="1"/>
      <c r="G20" s="1"/>
      <c r="H20" s="1"/>
      <c r="I20" s="1"/>
      <c r="J20" s="1"/>
      <c r="K20" s="1"/>
      <c r="L20" s="1"/>
      <c r="M20" s="486"/>
      <c r="N20" s="486"/>
    </row>
    <row r="21" spans="2:14">
      <c r="B21" s="1"/>
      <c r="C21" s="1"/>
      <c r="D21" s="1"/>
      <c r="E21" s="1"/>
      <c r="F21" s="1"/>
      <c r="G21" s="1"/>
      <c r="H21" s="1"/>
      <c r="I21" s="1"/>
      <c r="J21" s="1"/>
      <c r="K21" s="1"/>
      <c r="L21" s="1"/>
      <c r="M21" s="486"/>
      <c r="N21" s="486"/>
    </row>
    <row r="22" spans="2:14">
      <c r="B22" s="1"/>
      <c r="C22" s="1"/>
      <c r="D22" s="1"/>
      <c r="E22" s="1"/>
      <c r="F22" s="1"/>
      <c r="G22" s="1"/>
      <c r="H22" s="1"/>
      <c r="I22" s="1"/>
      <c r="J22" s="1"/>
      <c r="K22" s="1"/>
      <c r="L22" s="1"/>
    </row>
    <row r="23" spans="2:14">
      <c r="B23" s="1"/>
      <c r="C23" s="1"/>
      <c r="D23" s="1"/>
      <c r="E23" s="1"/>
      <c r="F23" s="1"/>
      <c r="G23" s="1"/>
      <c r="H23" s="1"/>
      <c r="I23" s="1"/>
      <c r="J23" s="1"/>
      <c r="K23" s="1"/>
      <c r="L23" s="1"/>
    </row>
    <row r="24" spans="2:14">
      <c r="B24" s="1"/>
      <c r="C24" s="1"/>
      <c r="D24" s="1"/>
      <c r="E24" s="1"/>
      <c r="F24" s="1"/>
      <c r="G24" s="1"/>
      <c r="H24" s="1"/>
      <c r="I24" s="1"/>
      <c r="J24" s="1"/>
      <c r="K24" s="1"/>
      <c r="L24" s="1"/>
    </row>
    <row r="25" spans="2:14">
      <c r="B25" s="1"/>
      <c r="C25" s="1"/>
      <c r="D25" s="1"/>
      <c r="E25" s="1"/>
      <c r="F25" s="1"/>
      <c r="G25" s="1"/>
      <c r="H25" s="1"/>
      <c r="I25" s="1"/>
      <c r="J25" s="1"/>
      <c r="K25" s="1"/>
      <c r="L25" s="1"/>
    </row>
    <row r="26" spans="2:14">
      <c r="B26" s="1"/>
      <c r="C26" s="1"/>
      <c r="D26" s="1"/>
      <c r="E26" s="1"/>
      <c r="F26" s="1"/>
      <c r="G26" s="1"/>
      <c r="H26" s="1"/>
      <c r="I26" s="1"/>
      <c r="J26" s="1"/>
      <c r="K26" s="1"/>
      <c r="L26" s="1"/>
    </row>
    <row r="27" spans="2:14">
      <c r="B27" s="1"/>
      <c r="C27" s="1"/>
      <c r="D27" s="1"/>
      <c r="E27" s="1"/>
      <c r="F27" s="1"/>
      <c r="G27" s="1"/>
      <c r="H27" s="1"/>
      <c r="I27" s="1"/>
      <c r="J27" s="1"/>
      <c r="K27" s="1"/>
      <c r="L27" s="1"/>
    </row>
    <row r="28" spans="2:14">
      <c r="B28" s="1"/>
      <c r="C28" s="1"/>
      <c r="D28" s="1"/>
      <c r="E28" s="1"/>
      <c r="F28" s="1"/>
      <c r="G28" s="1"/>
      <c r="H28" s="1"/>
      <c r="I28" s="1"/>
      <c r="J28" s="1"/>
      <c r="K28" s="1"/>
      <c r="L28" s="1"/>
    </row>
    <row r="29" spans="2:14">
      <c r="B29" s="1"/>
      <c r="C29" s="1"/>
      <c r="D29" s="1"/>
      <c r="E29" s="1"/>
      <c r="F29" s="1"/>
      <c r="G29" s="1"/>
      <c r="H29" s="1"/>
      <c r="I29" s="1"/>
      <c r="J29" s="1"/>
      <c r="K29" s="1"/>
      <c r="L29" s="1"/>
    </row>
    <row r="30" spans="2:14">
      <c r="B30" s="1"/>
      <c r="C30" s="1"/>
      <c r="D30" s="1"/>
      <c r="E30" s="1"/>
      <c r="F30" s="1"/>
      <c r="G30" s="1"/>
      <c r="H30" s="1"/>
      <c r="I30" s="1"/>
      <c r="J30" s="1"/>
      <c r="K30" s="1"/>
      <c r="L30" s="1"/>
    </row>
    <row r="31" spans="2:14">
      <c r="B31" s="1"/>
      <c r="C31" s="1"/>
      <c r="D31" s="1"/>
      <c r="E31" s="1"/>
      <c r="F31" s="1"/>
      <c r="G31" s="1"/>
      <c r="H31" s="1"/>
      <c r="I31" s="1"/>
      <c r="J31" s="1"/>
      <c r="K31" s="1"/>
      <c r="L31" s="1"/>
    </row>
    <row r="32" spans="2:14">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c r="F38" s="1"/>
      <c r="G38" s="1"/>
      <c r="H38" s="1"/>
      <c r="I38" s="1"/>
      <c r="J38" s="1"/>
      <c r="K38" s="1"/>
      <c r="L38" s="1"/>
    </row>
    <row r="39" spans="2:12">
      <c r="B39" s="1"/>
      <c r="C39" s="1"/>
      <c r="D39" s="1"/>
      <c r="E39" s="1"/>
      <c r="F39" s="1"/>
      <c r="G39" s="1"/>
      <c r="H39" s="1"/>
      <c r="I39" s="1"/>
      <c r="J39" s="1"/>
      <c r="K39" s="1"/>
      <c r="L39" s="1"/>
    </row>
    <row r="40" spans="2:12">
      <c r="B40" s="1"/>
      <c r="C40" s="1"/>
      <c r="D40" s="1"/>
      <c r="E40" s="1"/>
      <c r="F40" s="1"/>
      <c r="G40" s="1"/>
      <c r="H40" s="1"/>
      <c r="I40" s="1"/>
      <c r="J40" s="1"/>
      <c r="K40" s="1"/>
      <c r="L40" s="1"/>
    </row>
    <row r="41" spans="2:12">
      <c r="B41" s="1"/>
      <c r="C41" s="1"/>
      <c r="D41" s="1"/>
      <c r="E41" s="1"/>
      <c r="F41" s="1"/>
      <c r="G41" s="1"/>
      <c r="H41" s="1"/>
      <c r="I41" s="1"/>
      <c r="J41" s="1"/>
      <c r="K41" s="1"/>
      <c r="L41" s="1"/>
    </row>
    <row r="42" spans="2:12">
      <c r="B42" s="1"/>
      <c r="C42" s="1"/>
      <c r="D42" s="1"/>
      <c r="E42" s="1"/>
      <c r="F42" s="1"/>
      <c r="G42" s="1"/>
      <c r="H42" s="1"/>
      <c r="I42" s="1"/>
      <c r="J42" s="1"/>
      <c r="K42" s="1"/>
      <c r="L42" s="1"/>
    </row>
    <row r="43" spans="2:12">
      <c r="B43" s="1"/>
      <c r="C43" s="1"/>
      <c r="D43" s="1"/>
      <c r="E43" s="1"/>
      <c r="F43" s="1"/>
      <c r="G43" s="1"/>
      <c r="H43" s="1"/>
      <c r="I43" s="1"/>
      <c r="J43" s="1"/>
      <c r="K43" s="1"/>
      <c r="L43" s="1"/>
    </row>
    <row r="44" spans="2:12">
      <c r="B44" s="1"/>
      <c r="C44" s="1"/>
      <c r="D44" s="1"/>
      <c r="E44" s="1"/>
      <c r="F44" s="1"/>
      <c r="G44" s="1"/>
      <c r="H44" s="1"/>
      <c r="I44" s="1"/>
      <c r="J44" s="1"/>
      <c r="K44" s="1"/>
      <c r="L44" s="1"/>
    </row>
    <row r="45" spans="2:12">
      <c r="B45" s="1"/>
      <c r="C45" s="1"/>
      <c r="D45" s="1"/>
      <c r="E45" s="1"/>
      <c r="F45" s="1"/>
      <c r="G45" s="1"/>
      <c r="H45" s="1"/>
      <c r="I45" s="1"/>
      <c r="J45" s="1"/>
      <c r="K45" s="1"/>
      <c r="L45" s="1"/>
    </row>
    <row r="46" spans="2:12">
      <c r="B46" s="1"/>
      <c r="C46" s="1"/>
      <c r="D46" s="1"/>
      <c r="E46" s="1"/>
      <c r="F46" s="1"/>
      <c r="G46" s="1"/>
      <c r="H46" s="1"/>
      <c r="I46" s="1"/>
      <c r="J46" s="1"/>
      <c r="K46" s="1"/>
      <c r="L46" s="1"/>
    </row>
    <row r="47" spans="2:12">
      <c r="B47" s="1"/>
      <c r="C47" s="1"/>
      <c r="D47" s="1"/>
      <c r="E47" s="1"/>
      <c r="F47" s="1"/>
      <c r="G47" s="1"/>
      <c r="H47" s="1"/>
      <c r="I47" s="1"/>
      <c r="J47" s="1"/>
      <c r="K47" s="1"/>
      <c r="L47" s="1"/>
    </row>
    <row r="48" spans="2:12">
      <c r="B48" s="1"/>
      <c r="C48" s="1"/>
      <c r="D48" s="1"/>
      <c r="E48" s="1"/>
      <c r="F48" s="1"/>
      <c r="G48" s="1"/>
      <c r="H48" s="1"/>
      <c r="I48" s="1"/>
      <c r="J48" s="1"/>
      <c r="K48" s="1"/>
      <c r="L48" s="1"/>
    </row>
  </sheetData>
  <mergeCells count="2">
    <mergeCell ref="A1:K1"/>
    <mergeCell ref="A2:K3"/>
  </mergeCells>
  <printOptions horizontalCentered="1" verticalCentered="1"/>
  <pageMargins left="0.4" right="0.4" top="0.25" bottom="0.25" header="0.31496062992126" footer="0.31496062992126"/>
  <pageSetup scale="71" orientation="landscape" r:id="rId1"/>
  <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V44"/>
  <sheetViews>
    <sheetView showGridLines="0" view="pageBreakPreview" topLeftCell="J10" zoomScale="85" zoomScaleNormal="100" zoomScaleSheetLayoutView="85" workbookViewId="0">
      <selection activeCell="S37" sqref="S37"/>
    </sheetView>
  </sheetViews>
  <sheetFormatPr baseColWidth="10" defaultColWidth="11.42578125" defaultRowHeight="15"/>
  <cols>
    <col min="1" max="1" width="13.5703125" style="128" bestFit="1" customWidth="1"/>
    <col min="2" max="2" width="11.42578125" style="128"/>
    <col min="3" max="3" width="11.85546875" style="128" customWidth="1"/>
    <col min="4" max="4" width="12.28515625" style="128" customWidth="1"/>
    <col min="5" max="5" width="13.42578125" style="128" customWidth="1"/>
    <col min="6" max="6" width="13.5703125" style="128" customWidth="1"/>
    <col min="7" max="7" width="14.42578125" style="128" customWidth="1"/>
    <col min="8" max="8" width="16.5703125" style="128" customWidth="1"/>
    <col min="9" max="9" width="15.140625" style="128" customWidth="1"/>
    <col min="10" max="15" width="11.42578125" style="128"/>
    <col min="16" max="16" width="15.42578125" style="128" customWidth="1"/>
    <col min="17" max="17" width="22.7109375" style="128" bestFit="1" customWidth="1"/>
    <col min="18" max="19" width="27.28515625" style="128" customWidth="1"/>
    <col min="20" max="20" width="30.85546875" style="128" bestFit="1" customWidth="1"/>
    <col min="21" max="21" width="16.85546875" style="128" customWidth="1"/>
    <col min="22" max="22" width="14.140625" style="128" customWidth="1"/>
    <col min="23" max="16384" width="11.42578125" style="128"/>
  </cols>
  <sheetData>
    <row r="1" spans="1:22" ht="65.25" customHeight="1">
      <c r="A1" s="2437" t="s">
        <v>1235</v>
      </c>
      <c r="B1" s="2437"/>
      <c r="C1" s="2437"/>
      <c r="D1" s="2437"/>
      <c r="E1" s="2437"/>
      <c r="F1" s="2437"/>
      <c r="G1" s="2437"/>
      <c r="H1" s="2437"/>
      <c r="I1" s="2437"/>
      <c r="J1" s="2437"/>
      <c r="K1" s="2437"/>
      <c r="L1" s="2437"/>
      <c r="M1" s="2437"/>
    </row>
    <row r="2" spans="1:22" ht="5.25" customHeight="1">
      <c r="A2" s="148"/>
      <c r="B2" s="148"/>
      <c r="C2" s="148"/>
      <c r="D2" s="148"/>
      <c r="E2" s="148"/>
      <c r="F2" s="148"/>
      <c r="G2" s="148"/>
      <c r="H2" s="148"/>
      <c r="I2" s="148"/>
      <c r="J2" s="148"/>
      <c r="K2" s="148"/>
      <c r="L2" s="148"/>
    </row>
    <row r="3" spans="1:22" ht="20.25" customHeight="1">
      <c r="A3" s="2456" t="s">
        <v>53</v>
      </c>
      <c r="B3" s="2453" t="s">
        <v>1206</v>
      </c>
      <c r="C3" s="2454"/>
      <c r="D3" s="2454"/>
      <c r="E3" s="2454"/>
      <c r="F3" s="2455"/>
      <c r="G3" s="2451" t="s">
        <v>1211</v>
      </c>
      <c r="H3" s="2452"/>
      <c r="I3" s="2452"/>
      <c r="J3" s="2452"/>
      <c r="K3" s="2452"/>
      <c r="L3" s="148"/>
    </row>
    <row r="4" spans="1:22" ht="30" customHeight="1">
      <c r="A4" s="2456"/>
      <c r="B4" s="1181" t="s">
        <v>54</v>
      </c>
      <c r="C4" s="1181" t="s">
        <v>55</v>
      </c>
      <c r="D4" s="1181" t="s">
        <v>23</v>
      </c>
      <c r="E4" s="1182" t="s">
        <v>464</v>
      </c>
      <c r="F4" s="1182" t="s">
        <v>465</v>
      </c>
      <c r="G4" s="1180" t="s">
        <v>1208</v>
      </c>
      <c r="H4" s="1180" t="s">
        <v>1207</v>
      </c>
      <c r="I4" s="548" t="s">
        <v>23</v>
      </c>
      <c r="J4" s="1180" t="s">
        <v>464</v>
      </c>
      <c r="K4" s="1180" t="s">
        <v>465</v>
      </c>
      <c r="L4" s="148"/>
    </row>
    <row r="5" spans="1:22" ht="15.75">
      <c r="A5" s="1183" t="s">
        <v>56</v>
      </c>
      <c r="B5" s="189">
        <v>350832</v>
      </c>
      <c r="C5" s="189">
        <v>226037</v>
      </c>
      <c r="D5" s="990">
        <f t="shared" ref="D5:D14" si="0">+B5+C5</f>
        <v>576869</v>
      </c>
      <c r="E5" s="239">
        <f>B5/D5</f>
        <v>0.60816580540816023</v>
      </c>
      <c r="F5" s="239">
        <f>C5/D5</f>
        <v>0.39183419459183977</v>
      </c>
      <c r="G5" s="189">
        <v>2069456</v>
      </c>
      <c r="H5" s="189">
        <v>1028987</v>
      </c>
      <c r="I5" s="831">
        <f>+G5+H5</f>
        <v>3098443</v>
      </c>
      <c r="J5" s="239">
        <f>G5/I5</f>
        <v>0.66790191073387506</v>
      </c>
      <c r="K5" s="239">
        <f>H5/I5</f>
        <v>0.33209808926612494</v>
      </c>
      <c r="L5" s="148"/>
    </row>
    <row r="6" spans="1:22" ht="15.75">
      <c r="A6" s="1183" t="s">
        <v>57</v>
      </c>
      <c r="B6" s="189">
        <v>356770</v>
      </c>
      <c r="C6" s="189">
        <v>236516</v>
      </c>
      <c r="D6" s="990">
        <f t="shared" si="0"/>
        <v>593286</v>
      </c>
      <c r="E6" s="239">
        <f t="shared" ref="E6:E11" si="1">B6/D6</f>
        <v>0.60134572533314457</v>
      </c>
      <c r="F6" s="239">
        <f t="shared" ref="F6:F11" si="2">C6/D6</f>
        <v>0.39865427466685543</v>
      </c>
      <c r="G6" s="189">
        <v>2161218</v>
      </c>
      <c r="H6" s="189">
        <v>1079286</v>
      </c>
      <c r="I6" s="831">
        <f t="shared" ref="I6:I15" si="3">+G6+H6</f>
        <v>3240504</v>
      </c>
      <c r="J6" s="239">
        <f t="shared" ref="J6:J11" si="4">G6/I6</f>
        <v>0.66693884654979596</v>
      </c>
      <c r="K6" s="239">
        <f t="shared" ref="K6:K11" si="5">H6/I6</f>
        <v>0.33306115345020404</v>
      </c>
      <c r="L6" s="148"/>
      <c r="N6" s="325"/>
      <c r="O6" s="204"/>
      <c r="P6" s="204"/>
      <c r="Q6" s="205"/>
      <c r="R6" s="320">
        <f>+-1</f>
        <v>-1</v>
      </c>
      <c r="S6" s="320"/>
    </row>
    <row r="7" spans="1:22" ht="15.75">
      <c r="A7" s="1183" t="s">
        <v>58</v>
      </c>
      <c r="B7" s="189">
        <v>386054</v>
      </c>
      <c r="C7" s="189">
        <v>240561</v>
      </c>
      <c r="D7" s="990">
        <f t="shared" si="0"/>
        <v>626615</v>
      </c>
      <c r="E7" s="239">
        <f t="shared" si="1"/>
        <v>0.6160944120392905</v>
      </c>
      <c r="F7" s="239">
        <f t="shared" si="2"/>
        <v>0.3839055879607095</v>
      </c>
      <c r="G7" s="189">
        <v>2198463</v>
      </c>
      <c r="H7" s="189">
        <v>1096254</v>
      </c>
      <c r="I7" s="831">
        <f t="shared" si="3"/>
        <v>3294717</v>
      </c>
      <c r="J7" s="239">
        <f t="shared" si="4"/>
        <v>0.66726914633335732</v>
      </c>
      <c r="K7" s="239">
        <f t="shared" si="5"/>
        <v>0.33273085366664268</v>
      </c>
      <c r="L7" s="148"/>
      <c r="N7" s="325"/>
      <c r="O7" s="2450" t="s">
        <v>258</v>
      </c>
      <c r="P7" s="2450"/>
      <c r="Q7" s="2450"/>
      <c r="R7" s="2450"/>
      <c r="S7" s="2450"/>
      <c r="T7" s="2450"/>
      <c r="U7" s="2450"/>
      <c r="V7" s="2450"/>
    </row>
    <row r="8" spans="1:22" ht="15.75" customHeight="1">
      <c r="A8" s="1183" t="s">
        <v>59</v>
      </c>
      <c r="B8" s="189">
        <v>486327</v>
      </c>
      <c r="C8" s="189">
        <v>322169</v>
      </c>
      <c r="D8" s="990">
        <f t="shared" si="0"/>
        <v>808496</v>
      </c>
      <c r="E8" s="239">
        <f t="shared" si="1"/>
        <v>0.60152060121509565</v>
      </c>
      <c r="F8" s="239">
        <f t="shared" si="2"/>
        <v>0.39847939878490429</v>
      </c>
      <c r="G8" s="189">
        <v>2268443</v>
      </c>
      <c r="H8" s="189">
        <v>1197552</v>
      </c>
      <c r="I8" s="831">
        <f t="shared" si="3"/>
        <v>3465995</v>
      </c>
      <c r="J8" s="239">
        <f t="shared" si="4"/>
        <v>0.65448536423162762</v>
      </c>
      <c r="K8" s="239">
        <f t="shared" si="5"/>
        <v>0.34551463576837244</v>
      </c>
      <c r="L8" s="148"/>
    </row>
    <row r="9" spans="1:22" ht="15.75" customHeight="1">
      <c r="A9" s="1183" t="s">
        <v>60</v>
      </c>
      <c r="B9" s="189">
        <v>549737</v>
      </c>
      <c r="C9" s="189">
        <v>363466</v>
      </c>
      <c r="D9" s="990">
        <f t="shared" si="0"/>
        <v>913203</v>
      </c>
      <c r="E9" s="239">
        <f t="shared" si="1"/>
        <v>0.60198772890584018</v>
      </c>
      <c r="F9" s="239">
        <f t="shared" si="2"/>
        <v>0.39801227109415976</v>
      </c>
      <c r="G9" s="189">
        <v>2341679</v>
      </c>
      <c r="H9" s="189">
        <v>1229793</v>
      </c>
      <c r="I9" s="831">
        <f t="shared" si="3"/>
        <v>3571472</v>
      </c>
      <c r="J9" s="239">
        <f t="shared" si="4"/>
        <v>0.65566214714829063</v>
      </c>
      <c r="K9" s="239">
        <f t="shared" si="5"/>
        <v>0.34433785285170931</v>
      </c>
      <c r="L9" s="148"/>
      <c r="O9" s="551" t="s">
        <v>53</v>
      </c>
      <c r="P9" s="832" t="s">
        <v>1210</v>
      </c>
      <c r="Q9" s="832" t="s">
        <v>1204</v>
      </c>
      <c r="R9" s="832" t="s">
        <v>1209</v>
      </c>
      <c r="S9" s="832"/>
      <c r="T9" s="832" t="s">
        <v>1205</v>
      </c>
    </row>
    <row r="10" spans="1:22" ht="15.75">
      <c r="A10" s="1183" t="s">
        <v>61</v>
      </c>
      <c r="B10" s="189">
        <v>552570</v>
      </c>
      <c r="C10" s="189">
        <v>377173</v>
      </c>
      <c r="D10" s="990">
        <f t="shared" si="0"/>
        <v>929743</v>
      </c>
      <c r="E10" s="239">
        <f t="shared" si="1"/>
        <v>0.59432552866759958</v>
      </c>
      <c r="F10" s="239">
        <f t="shared" si="2"/>
        <v>0.40567447133240048</v>
      </c>
      <c r="G10" s="189">
        <v>2395788</v>
      </c>
      <c r="H10" s="189">
        <v>1268702</v>
      </c>
      <c r="I10" s="831">
        <f t="shared" si="3"/>
        <v>3664490</v>
      </c>
      <c r="J10" s="239">
        <f t="shared" si="4"/>
        <v>0.65378483772639573</v>
      </c>
      <c r="K10" s="239">
        <f t="shared" si="5"/>
        <v>0.34621516227360422</v>
      </c>
      <c r="L10" s="148"/>
      <c r="O10" s="552" t="s">
        <v>56</v>
      </c>
      <c r="P10" s="189">
        <f t="shared" ref="P10:P20" si="6">+G5</f>
        <v>2069456</v>
      </c>
      <c r="Q10" s="189">
        <f>+B5</f>
        <v>350832</v>
      </c>
      <c r="R10" s="991">
        <f t="shared" ref="R10:R20" si="7">+$R$6*H5</f>
        <v>-1028987</v>
      </c>
      <c r="S10" s="991"/>
      <c r="T10" s="991">
        <f>+$R$6*C5</f>
        <v>-226037</v>
      </c>
    </row>
    <row r="11" spans="1:22" ht="15.75">
      <c r="A11" s="1183" t="s">
        <v>62</v>
      </c>
      <c r="B11" s="189">
        <v>634008</v>
      </c>
      <c r="C11" s="189">
        <v>484285</v>
      </c>
      <c r="D11" s="990">
        <f t="shared" si="0"/>
        <v>1118293</v>
      </c>
      <c r="E11" s="239">
        <f t="shared" si="1"/>
        <v>0.56694265277525657</v>
      </c>
      <c r="F11" s="239">
        <f t="shared" si="2"/>
        <v>0.43305734722474343</v>
      </c>
      <c r="G11" s="189">
        <v>2375866</v>
      </c>
      <c r="H11" s="189">
        <v>1232288</v>
      </c>
      <c r="I11" s="831">
        <f t="shared" si="3"/>
        <v>3608154</v>
      </c>
      <c r="J11" s="239">
        <f t="shared" si="4"/>
        <v>0.65847134019224229</v>
      </c>
      <c r="K11" s="239">
        <f t="shared" si="5"/>
        <v>0.34152865980775765</v>
      </c>
      <c r="L11" s="148"/>
      <c r="O11" s="552" t="s">
        <v>57</v>
      </c>
      <c r="P11" s="189">
        <f t="shared" si="6"/>
        <v>2161218</v>
      </c>
      <c r="Q11" s="189">
        <f t="shared" ref="Q11:Q20" si="8">+B6</f>
        <v>356770</v>
      </c>
      <c r="R11" s="991">
        <f t="shared" si="7"/>
        <v>-1079286</v>
      </c>
      <c r="S11" s="991"/>
      <c r="T11" s="991">
        <f t="shared" ref="T11:T20" si="9">+$R$6*C6</f>
        <v>-236516</v>
      </c>
    </row>
    <row r="12" spans="1:22" ht="15.75">
      <c r="A12" s="1183" t="s">
        <v>361</v>
      </c>
      <c r="B12" s="189">
        <v>675015</v>
      </c>
      <c r="C12" s="189">
        <v>514586</v>
      </c>
      <c r="D12" s="990">
        <f t="shared" si="0"/>
        <v>1189601</v>
      </c>
      <c r="E12" s="239">
        <f>B12/D12</f>
        <v>0.56742975165622755</v>
      </c>
      <c r="F12" s="239">
        <f>C12/D12</f>
        <v>0.43257024834377239</v>
      </c>
      <c r="G12" s="189">
        <v>2406770</v>
      </c>
      <c r="H12" s="189">
        <v>1361592</v>
      </c>
      <c r="I12" s="831">
        <f t="shared" si="3"/>
        <v>3768362</v>
      </c>
      <c r="J12" s="239">
        <f>G12/I12</f>
        <v>0.63867802509419214</v>
      </c>
      <c r="K12" s="239">
        <f>H12/I12</f>
        <v>0.36132197490580786</v>
      </c>
      <c r="L12" s="148"/>
      <c r="O12" s="552" t="s">
        <v>58</v>
      </c>
      <c r="P12" s="189">
        <f t="shared" si="6"/>
        <v>2198463</v>
      </c>
      <c r="Q12" s="189">
        <f t="shared" si="8"/>
        <v>386054</v>
      </c>
      <c r="R12" s="991">
        <f t="shared" si="7"/>
        <v>-1096254</v>
      </c>
      <c r="S12" s="991"/>
      <c r="T12" s="991">
        <f t="shared" si="9"/>
        <v>-240561</v>
      </c>
    </row>
    <row r="13" spans="1:22" ht="14.25" customHeight="1">
      <c r="A13" s="1183" t="s">
        <v>508</v>
      </c>
      <c r="B13" s="189">
        <v>702422</v>
      </c>
      <c r="C13" s="189">
        <v>540358</v>
      </c>
      <c r="D13" s="990">
        <f t="shared" si="0"/>
        <v>1242780</v>
      </c>
      <c r="E13" s="239">
        <f>B13/D13</f>
        <v>0.56520220795313736</v>
      </c>
      <c r="F13" s="239">
        <f>C13/D13</f>
        <v>0.4347977920468627</v>
      </c>
      <c r="G13" s="189">
        <v>2490273</v>
      </c>
      <c r="H13" s="189">
        <v>1440514</v>
      </c>
      <c r="I13" s="831">
        <f t="shared" si="3"/>
        <v>3930787</v>
      </c>
      <c r="J13" s="239">
        <f>G13/I13</f>
        <v>0.63353038462781119</v>
      </c>
      <c r="K13" s="239">
        <f>H13/I13</f>
        <v>0.36646961537218881</v>
      </c>
      <c r="O13" s="552" t="s">
        <v>59</v>
      </c>
      <c r="P13" s="189">
        <f t="shared" si="6"/>
        <v>2268443</v>
      </c>
      <c r="Q13" s="189">
        <f t="shared" si="8"/>
        <v>486327</v>
      </c>
      <c r="R13" s="991">
        <f t="shared" si="7"/>
        <v>-1197552</v>
      </c>
      <c r="S13" s="991"/>
      <c r="T13" s="991">
        <f t="shared" si="9"/>
        <v>-322169</v>
      </c>
    </row>
    <row r="14" spans="1:22" ht="13.5" customHeight="1">
      <c r="A14" s="1183" t="s">
        <v>1029</v>
      </c>
      <c r="B14" s="189">
        <v>726141</v>
      </c>
      <c r="C14" s="189">
        <v>564996</v>
      </c>
      <c r="D14" s="990">
        <f t="shared" si="0"/>
        <v>1291137</v>
      </c>
      <c r="E14" s="923">
        <f>B14/D14</f>
        <v>0.56240429946628434</v>
      </c>
      <c r="F14" s="923">
        <f>C14/D14</f>
        <v>0.43759570053371566</v>
      </c>
      <c r="G14" s="189">
        <v>2564366</v>
      </c>
      <c r="H14" s="189">
        <v>1434611</v>
      </c>
      <c r="I14" s="990">
        <f t="shared" si="3"/>
        <v>3998977</v>
      </c>
      <c r="J14" s="923">
        <f>G14/I14</f>
        <v>0.64125550109440488</v>
      </c>
      <c r="K14" s="923">
        <f>H14/I14</f>
        <v>0.35874449890559512</v>
      </c>
      <c r="L14" s="1"/>
      <c r="O14" s="552" t="s">
        <v>60</v>
      </c>
      <c r="P14" s="189">
        <f t="shared" si="6"/>
        <v>2341679</v>
      </c>
      <c r="Q14" s="189">
        <f t="shared" si="8"/>
        <v>549737</v>
      </c>
      <c r="R14" s="991">
        <f t="shared" si="7"/>
        <v>-1229793</v>
      </c>
      <c r="S14" s="991"/>
      <c r="T14" s="991">
        <f t="shared" si="9"/>
        <v>-363466</v>
      </c>
    </row>
    <row r="15" spans="1:22" ht="15.75">
      <c r="A15" s="1184" t="s">
        <v>1234</v>
      </c>
      <c r="B15" s="189">
        <v>723320</v>
      </c>
      <c r="C15" s="189">
        <v>561215</v>
      </c>
      <c r="D15" s="990">
        <f>+B15+C15</f>
        <v>1284535</v>
      </c>
      <c r="E15" s="923">
        <f>B15/D15</f>
        <v>0.56309870887130364</v>
      </c>
      <c r="F15" s="923">
        <f>C15/D15</f>
        <v>0.43690129112869636</v>
      </c>
      <c r="G15" s="189">
        <v>2506927</v>
      </c>
      <c r="H15" s="189">
        <v>1475049</v>
      </c>
      <c r="I15" s="990">
        <f t="shared" si="3"/>
        <v>3981976</v>
      </c>
      <c r="J15" s="923">
        <f>G15/I15</f>
        <v>0.62956858604873556</v>
      </c>
      <c r="K15" s="923">
        <f>H15/I15</f>
        <v>0.37043141395126439</v>
      </c>
      <c r="L15" s="1"/>
      <c r="O15" s="552" t="s">
        <v>61</v>
      </c>
      <c r="P15" s="189">
        <f t="shared" si="6"/>
        <v>2395788</v>
      </c>
      <c r="Q15" s="189">
        <f t="shared" si="8"/>
        <v>552570</v>
      </c>
      <c r="R15" s="991">
        <f t="shared" si="7"/>
        <v>-1268702</v>
      </c>
      <c r="S15" s="991"/>
      <c r="T15" s="991">
        <f t="shared" si="9"/>
        <v>-377173</v>
      </c>
    </row>
    <row r="16" spans="1:22" ht="15.75">
      <c r="B16" s="1"/>
      <c r="C16" s="1"/>
      <c r="D16" s="1"/>
      <c r="E16" s="1"/>
      <c r="F16" s="1"/>
      <c r="G16" s="1"/>
      <c r="H16" s="1"/>
      <c r="I16" s="1"/>
      <c r="J16" s="1"/>
      <c r="K16" s="1"/>
      <c r="L16" s="1"/>
      <c r="O16" s="552" t="s">
        <v>62</v>
      </c>
      <c r="P16" s="189">
        <f t="shared" si="6"/>
        <v>2375866</v>
      </c>
      <c r="Q16" s="189">
        <f t="shared" si="8"/>
        <v>634008</v>
      </c>
      <c r="R16" s="991">
        <f t="shared" si="7"/>
        <v>-1232288</v>
      </c>
      <c r="S16" s="991"/>
      <c r="T16" s="991">
        <f t="shared" si="9"/>
        <v>-484285</v>
      </c>
    </row>
    <row r="17" spans="2:20" ht="15.75">
      <c r="B17" s="1"/>
      <c r="C17" s="1"/>
      <c r="D17" s="1"/>
      <c r="E17" s="1"/>
      <c r="F17" s="1"/>
      <c r="G17" s="1"/>
      <c r="H17" s="1"/>
      <c r="I17" s="1"/>
      <c r="J17" s="1"/>
      <c r="K17" s="1"/>
      <c r="L17" s="1"/>
      <c r="O17" s="552" t="s">
        <v>361</v>
      </c>
      <c r="P17" s="189">
        <f t="shared" si="6"/>
        <v>2406770</v>
      </c>
      <c r="Q17" s="189">
        <f t="shared" si="8"/>
        <v>675015</v>
      </c>
      <c r="R17" s="991">
        <f t="shared" si="7"/>
        <v>-1361592</v>
      </c>
      <c r="S17" s="991"/>
      <c r="T17" s="991">
        <f t="shared" si="9"/>
        <v>-514586</v>
      </c>
    </row>
    <row r="18" spans="2:20" ht="15.75">
      <c r="B18" s="1"/>
      <c r="C18" s="1"/>
      <c r="D18" s="1"/>
      <c r="E18" s="1"/>
      <c r="F18" s="1"/>
      <c r="G18" s="1"/>
      <c r="H18" s="1"/>
      <c r="I18" s="1"/>
      <c r="J18" s="1"/>
      <c r="K18" s="1"/>
      <c r="L18" s="1"/>
      <c r="O18" s="552" t="s">
        <v>508</v>
      </c>
      <c r="P18" s="189">
        <f t="shared" si="6"/>
        <v>2490273</v>
      </c>
      <c r="Q18" s="189">
        <f t="shared" si="8"/>
        <v>702422</v>
      </c>
      <c r="R18" s="991">
        <f t="shared" si="7"/>
        <v>-1440514</v>
      </c>
      <c r="S18" s="991"/>
      <c r="T18" s="991">
        <f t="shared" si="9"/>
        <v>-540358</v>
      </c>
    </row>
    <row r="19" spans="2:20" ht="15.75">
      <c r="B19" s="1"/>
      <c r="C19" s="1"/>
      <c r="D19" s="1"/>
      <c r="E19" s="1"/>
      <c r="F19" s="1"/>
      <c r="G19" s="1"/>
      <c r="H19" s="1"/>
      <c r="I19" s="1"/>
      <c r="J19" s="1"/>
      <c r="K19" s="1"/>
      <c r="L19" s="1"/>
      <c r="O19" s="552" t="s">
        <v>1029</v>
      </c>
      <c r="P19" s="189">
        <f t="shared" si="6"/>
        <v>2564366</v>
      </c>
      <c r="Q19" s="189">
        <f t="shared" si="8"/>
        <v>726141</v>
      </c>
      <c r="R19" s="991">
        <f t="shared" si="7"/>
        <v>-1434611</v>
      </c>
      <c r="S19" s="991"/>
      <c r="T19" s="991">
        <f t="shared" si="9"/>
        <v>-564996</v>
      </c>
    </row>
    <row r="20" spans="2:20" ht="15.75">
      <c r="B20" s="1"/>
      <c r="C20" s="1"/>
      <c r="D20" s="1"/>
      <c r="E20" s="1"/>
      <c r="F20" s="1"/>
      <c r="G20" s="1"/>
      <c r="H20" s="1"/>
      <c r="I20" s="1"/>
      <c r="J20" s="1"/>
      <c r="K20" s="1"/>
      <c r="L20" s="1"/>
      <c r="O20" s="552" t="s">
        <v>1123</v>
      </c>
      <c r="P20" s="189">
        <f t="shared" si="6"/>
        <v>2506927</v>
      </c>
      <c r="Q20" s="189">
        <f t="shared" si="8"/>
        <v>723320</v>
      </c>
      <c r="R20" s="991">
        <f t="shared" si="7"/>
        <v>-1475049</v>
      </c>
      <c r="S20" s="991"/>
      <c r="T20" s="991">
        <f t="shared" si="9"/>
        <v>-561215</v>
      </c>
    </row>
    <row r="21" spans="2:20">
      <c r="B21" s="1"/>
      <c r="C21" s="1"/>
      <c r="D21" s="1"/>
      <c r="E21" s="1"/>
      <c r="F21" s="1"/>
      <c r="G21" s="1"/>
      <c r="H21" s="1"/>
      <c r="I21" s="1"/>
      <c r="J21" s="1"/>
      <c r="K21" s="1"/>
      <c r="L21" s="1"/>
    </row>
    <row r="22" spans="2:20">
      <c r="B22" s="1"/>
      <c r="C22" s="1"/>
      <c r="D22" s="1"/>
      <c r="E22" s="1"/>
      <c r="F22" s="1"/>
      <c r="G22" s="1"/>
      <c r="H22" s="1"/>
      <c r="I22" s="1"/>
      <c r="J22" s="1"/>
      <c r="K22" s="1"/>
      <c r="L22" s="1"/>
    </row>
    <row r="23" spans="2:20">
      <c r="B23" s="1"/>
      <c r="C23" s="1"/>
      <c r="D23" s="1"/>
      <c r="E23" s="1"/>
      <c r="F23" s="1"/>
      <c r="G23" s="1"/>
      <c r="H23" s="1"/>
      <c r="I23" s="1"/>
      <c r="J23" s="1"/>
      <c r="K23" s="1"/>
      <c r="L23" s="1"/>
    </row>
    <row r="24" spans="2:20">
      <c r="B24" s="1"/>
      <c r="C24" s="1"/>
      <c r="D24" s="1"/>
      <c r="E24" s="1"/>
      <c r="F24" s="1"/>
      <c r="G24" s="1"/>
      <c r="H24" s="1"/>
      <c r="I24" s="1"/>
      <c r="J24" s="1"/>
      <c r="K24" s="1"/>
      <c r="L24" s="1"/>
    </row>
    <row r="25" spans="2:20">
      <c r="B25" s="1"/>
      <c r="C25" s="1"/>
      <c r="D25" s="1"/>
      <c r="E25" s="1"/>
      <c r="F25" s="1"/>
      <c r="G25" s="1"/>
      <c r="H25" s="1"/>
      <c r="I25" s="1"/>
      <c r="J25" s="1"/>
      <c r="K25" s="1"/>
      <c r="L25" s="1"/>
    </row>
    <row r="26" spans="2:20">
      <c r="B26" s="1"/>
      <c r="C26" s="1"/>
      <c r="D26" s="1"/>
      <c r="E26" s="1"/>
      <c r="F26" s="1"/>
      <c r="G26" s="1"/>
      <c r="H26" s="1"/>
      <c r="I26" s="1"/>
      <c r="J26" s="1"/>
      <c r="K26" s="1"/>
      <c r="L26" s="1"/>
    </row>
    <row r="27" spans="2:20">
      <c r="B27" s="1"/>
      <c r="C27" s="1"/>
      <c r="D27" s="1"/>
      <c r="E27" s="1"/>
      <c r="F27" s="1"/>
      <c r="G27" s="1"/>
      <c r="H27" s="1"/>
      <c r="I27" s="1"/>
      <c r="J27" s="1"/>
      <c r="K27" s="1"/>
      <c r="L27" s="1"/>
    </row>
    <row r="28" spans="2:20">
      <c r="B28" s="1"/>
      <c r="C28" s="1"/>
      <c r="D28" s="1"/>
      <c r="E28" s="1"/>
      <c r="F28" s="1"/>
      <c r="G28" s="1"/>
      <c r="H28" s="1"/>
      <c r="I28" s="1"/>
      <c r="J28" s="1"/>
      <c r="K28" s="1"/>
      <c r="L28" s="1"/>
    </row>
    <row r="29" spans="2:20">
      <c r="B29" s="1"/>
      <c r="C29" s="1"/>
      <c r="D29" s="1"/>
      <c r="E29" s="1"/>
      <c r="F29" s="1"/>
      <c r="G29" s="1"/>
      <c r="H29" s="1"/>
      <c r="I29" s="1"/>
      <c r="J29" s="1"/>
      <c r="K29" s="1"/>
      <c r="L29" s="1"/>
    </row>
    <row r="30" spans="2:20">
      <c r="B30" s="1"/>
      <c r="C30" s="1"/>
      <c r="D30" s="1"/>
      <c r="E30" s="1"/>
      <c r="F30" s="1"/>
      <c r="G30" s="1"/>
      <c r="H30" s="1"/>
      <c r="I30" s="1"/>
      <c r="J30" s="1"/>
      <c r="K30" s="1"/>
      <c r="L30" s="1"/>
    </row>
    <row r="31" spans="2:20">
      <c r="B31" s="1"/>
      <c r="C31" s="1"/>
      <c r="D31" s="1"/>
      <c r="E31" s="1"/>
      <c r="F31" s="1"/>
      <c r="G31" s="1"/>
      <c r="H31" s="1"/>
      <c r="I31" s="1"/>
      <c r="J31" s="1"/>
      <c r="K31" s="1"/>
      <c r="L31" s="1"/>
    </row>
    <row r="32" spans="2:20">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c r="F38" s="1"/>
      <c r="G38" s="1"/>
      <c r="H38" s="1"/>
      <c r="I38" s="1"/>
      <c r="J38" s="1"/>
      <c r="K38" s="1"/>
      <c r="L38" s="1"/>
    </row>
    <row r="39" spans="2:12">
      <c r="B39" s="1"/>
      <c r="C39" s="1"/>
      <c r="D39" s="1"/>
      <c r="E39" s="1"/>
      <c r="F39" s="1"/>
      <c r="G39" s="1"/>
      <c r="H39" s="1"/>
      <c r="I39" s="1"/>
      <c r="J39" s="1"/>
      <c r="K39" s="1"/>
      <c r="L39" s="1"/>
    </row>
    <row r="40" spans="2:12">
      <c r="B40" s="1"/>
      <c r="C40" s="1"/>
      <c r="D40" s="1"/>
      <c r="E40" s="1"/>
      <c r="F40" s="1"/>
      <c r="G40" s="1"/>
      <c r="H40" s="1"/>
      <c r="I40" s="1"/>
      <c r="J40" s="1"/>
      <c r="K40" s="1"/>
      <c r="L40" s="1"/>
    </row>
    <row r="41" spans="2:12">
      <c r="B41" s="1"/>
      <c r="C41" s="1"/>
      <c r="D41" s="1"/>
      <c r="E41" s="1"/>
      <c r="F41" s="1"/>
      <c r="G41" s="1"/>
      <c r="H41" s="1"/>
      <c r="I41" s="1"/>
      <c r="J41" s="1"/>
      <c r="K41" s="1"/>
      <c r="L41" s="1"/>
    </row>
    <row r="42" spans="2:12">
      <c r="B42" s="1"/>
      <c r="C42" s="1"/>
      <c r="D42" s="1"/>
      <c r="E42" s="1"/>
      <c r="F42" s="1"/>
      <c r="G42" s="1"/>
      <c r="H42" s="1"/>
      <c r="I42" s="1"/>
      <c r="J42" s="1"/>
      <c r="K42" s="1"/>
      <c r="L42" s="1"/>
    </row>
    <row r="43" spans="2:12">
      <c r="B43" s="1"/>
      <c r="C43" s="1"/>
      <c r="D43" s="1"/>
      <c r="E43" s="1"/>
      <c r="F43" s="1"/>
      <c r="G43" s="1"/>
      <c r="H43" s="1"/>
      <c r="I43" s="1"/>
      <c r="J43" s="1"/>
      <c r="K43" s="1"/>
      <c r="L43" s="1"/>
    </row>
    <row r="44" spans="2:12">
      <c r="B44" s="1"/>
      <c r="C44" s="1"/>
      <c r="D44" s="1"/>
      <c r="E44" s="1"/>
      <c r="F44" s="1"/>
      <c r="G44" s="1"/>
      <c r="H44" s="1"/>
      <c r="I44" s="1"/>
      <c r="J44" s="1"/>
      <c r="K44" s="1"/>
      <c r="L44" s="1"/>
    </row>
  </sheetData>
  <mergeCells count="5">
    <mergeCell ref="O7:V7"/>
    <mergeCell ref="A1:M1"/>
    <mergeCell ref="G3:K3"/>
    <mergeCell ref="B3:F3"/>
    <mergeCell ref="A3:A4"/>
  </mergeCells>
  <printOptions horizontalCentered="1" verticalCentered="1"/>
  <pageMargins left="0.4" right="0.4" top="0.25" bottom="0.25" header="0.31496062992126" footer="0.31496062992126"/>
  <pageSetup scale="68" orientation="landscape" r:id="rId1"/>
  <drawing r:id="rId2"/>
  <legacy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Z17"/>
  <sheetViews>
    <sheetView showGridLines="0" view="pageBreakPreview" zoomScale="70" zoomScaleNormal="70" zoomScaleSheetLayoutView="70" workbookViewId="0">
      <pane ySplit="1" topLeftCell="A2" activePane="bottomLeft" state="frozen"/>
      <selection pane="bottomLeft" activeCell="U26" sqref="U26"/>
    </sheetView>
  </sheetViews>
  <sheetFormatPr baseColWidth="10" defaultColWidth="11.42578125" defaultRowHeight="15"/>
  <cols>
    <col min="2" max="2" width="13.28515625" customWidth="1"/>
    <col min="3" max="3" width="12.42578125" customWidth="1"/>
    <col min="4" max="4" width="0" hidden="1" customWidth="1"/>
    <col min="5" max="5" width="11.42578125" style="128"/>
    <col min="6" max="6" width="12.5703125" customWidth="1"/>
    <col min="8" max="8" width="0" hidden="1" customWidth="1"/>
    <col min="16" max="67" width="11.42578125" style="128"/>
    <col min="69" max="69" width="11.42578125" customWidth="1"/>
    <col min="70" max="70" width="11.5703125" style="128" customWidth="1"/>
    <col min="71" max="71" width="11.42578125" style="128"/>
    <col min="73" max="73" width="20.42578125" bestFit="1" customWidth="1"/>
    <col min="74" max="74" width="21.85546875" bestFit="1" customWidth="1"/>
    <col min="75" max="75" width="19.7109375" bestFit="1" customWidth="1"/>
    <col min="76" max="76" width="21" bestFit="1" customWidth="1"/>
    <col min="77" max="77" width="10.42578125" style="128" customWidth="1"/>
  </cols>
  <sheetData>
    <row r="1" spans="1:78" ht="67.5" customHeight="1">
      <c r="A1" s="2293" t="s">
        <v>1974</v>
      </c>
      <c r="B1" s="2293"/>
      <c r="C1" s="2293"/>
      <c r="D1" s="2293"/>
      <c r="E1" s="2293"/>
      <c r="F1" s="2293"/>
      <c r="G1" s="2293"/>
      <c r="H1" s="2293"/>
      <c r="I1" s="2293"/>
      <c r="J1" s="2293"/>
      <c r="K1" s="2293"/>
      <c r="L1" s="2293"/>
      <c r="M1" s="2293"/>
      <c r="N1" s="2293"/>
      <c r="O1" s="2293"/>
      <c r="P1" s="2181"/>
      <c r="Q1" s="2181"/>
      <c r="R1" s="2181"/>
      <c r="S1" s="2181"/>
      <c r="T1" s="2181"/>
      <c r="U1" s="2181"/>
      <c r="V1" s="2181"/>
      <c r="W1" s="2181"/>
      <c r="X1" s="2181"/>
      <c r="Y1" s="2181"/>
      <c r="Z1" s="2181"/>
      <c r="AA1" s="2181"/>
      <c r="AB1" s="2181"/>
      <c r="AC1" s="2181"/>
      <c r="AD1" s="2181"/>
      <c r="AE1" s="2181"/>
      <c r="AF1" s="2181"/>
      <c r="AG1" s="2181"/>
      <c r="AH1" s="2181"/>
      <c r="AI1" s="2181"/>
      <c r="AJ1" s="2181"/>
      <c r="AK1" s="2181"/>
      <c r="AL1" s="2181"/>
      <c r="AM1" s="2181"/>
      <c r="AN1" s="2181"/>
      <c r="AO1" s="2181"/>
      <c r="AP1" s="2181"/>
      <c r="AQ1" s="2181"/>
      <c r="AR1" s="2181"/>
      <c r="AS1" s="2181"/>
      <c r="AT1" s="2181"/>
      <c r="AU1" s="2181"/>
      <c r="AV1" s="2181"/>
      <c r="AW1" s="2181"/>
      <c r="AX1" s="2181"/>
      <c r="AY1" s="2181"/>
      <c r="AZ1" s="2181"/>
      <c r="BA1" s="2181"/>
      <c r="BB1" s="2181"/>
      <c r="BC1" s="2181"/>
      <c r="BD1" s="2181"/>
      <c r="BE1" s="2181"/>
      <c r="BF1" s="2181"/>
      <c r="BG1" s="2181"/>
      <c r="BH1" s="2181"/>
      <c r="BI1" s="2181"/>
      <c r="BJ1" s="2181"/>
      <c r="BK1" s="2181"/>
      <c r="BL1" s="2181"/>
      <c r="BM1" s="2181"/>
      <c r="BN1" s="2181"/>
      <c r="BO1" s="2181"/>
    </row>
    <row r="2" spans="1:78" ht="3" customHeight="1"/>
    <row r="3" spans="1:78" ht="16.5" customHeight="1">
      <c r="A3" s="2457" t="s">
        <v>195</v>
      </c>
      <c r="B3" s="2459" t="s">
        <v>1143</v>
      </c>
      <c r="C3" s="2460"/>
      <c r="D3" s="2460"/>
      <c r="E3" s="2461"/>
      <c r="F3" s="2462" t="s">
        <v>50</v>
      </c>
      <c r="G3" s="2462"/>
      <c r="H3" s="2462"/>
      <c r="I3" s="2462"/>
      <c r="BV3">
        <f>+-1</f>
        <v>-1</v>
      </c>
    </row>
    <row r="4" spans="1:78">
      <c r="A4" s="2458"/>
      <c r="B4" s="1536" t="s">
        <v>54</v>
      </c>
      <c r="C4" s="1536" t="s">
        <v>55</v>
      </c>
      <c r="D4" s="1536" t="s">
        <v>114</v>
      </c>
      <c r="E4" s="1536" t="s">
        <v>23</v>
      </c>
      <c r="F4" s="1536" t="s">
        <v>54</v>
      </c>
      <c r="G4" s="1536" t="s">
        <v>55</v>
      </c>
      <c r="H4" s="1536" t="s">
        <v>55</v>
      </c>
      <c r="I4" s="1536" t="s">
        <v>23</v>
      </c>
    </row>
    <row r="5" spans="1:78" hidden="1">
      <c r="A5" s="1537">
        <v>37986</v>
      </c>
      <c r="B5" s="920">
        <v>568158</v>
      </c>
      <c r="C5" s="920">
        <v>418380</v>
      </c>
      <c r="D5" s="921">
        <v>986538</v>
      </c>
      <c r="E5" s="1535">
        <f>+C5+B5</f>
        <v>986538</v>
      </c>
      <c r="F5" s="920">
        <v>350832</v>
      </c>
      <c r="G5" s="920">
        <v>226037</v>
      </c>
      <c r="H5" s="920">
        <v>226037</v>
      </c>
      <c r="I5" s="1535">
        <f>+G5+F5</f>
        <v>576869</v>
      </c>
      <c r="J5" s="22"/>
      <c r="K5" s="22"/>
      <c r="BT5" s="917" t="s">
        <v>195</v>
      </c>
      <c r="BU5" s="918" t="s">
        <v>1148</v>
      </c>
      <c r="BV5" s="918" t="s">
        <v>1150</v>
      </c>
      <c r="BW5" s="918" t="s">
        <v>1151</v>
      </c>
      <c r="BX5" s="918" t="s">
        <v>1149</v>
      </c>
      <c r="BY5" s="1193"/>
      <c r="BZ5" s="1193"/>
    </row>
    <row r="6" spans="1:78" hidden="1">
      <c r="A6" s="1537">
        <v>38352</v>
      </c>
      <c r="B6" s="920">
        <v>685676</v>
      </c>
      <c r="C6" s="920">
        <v>504526</v>
      </c>
      <c r="D6" s="921">
        <v>1190202</v>
      </c>
      <c r="E6" s="1535">
        <f t="shared" ref="E6:E15" si="0">+C6+B6</f>
        <v>1190202</v>
      </c>
      <c r="F6" s="920">
        <v>356770</v>
      </c>
      <c r="G6" s="920">
        <v>236516</v>
      </c>
      <c r="H6" s="920">
        <v>236516</v>
      </c>
      <c r="I6" s="1535">
        <f t="shared" ref="I6:I15" si="1">+G6+F6</f>
        <v>593286</v>
      </c>
      <c r="J6" s="22"/>
      <c r="K6" s="22"/>
      <c r="BT6" s="919" t="s">
        <v>1145</v>
      </c>
      <c r="BU6" s="920">
        <f>+B5</f>
        <v>568158</v>
      </c>
      <c r="BV6" s="920">
        <f>+F5</f>
        <v>350832</v>
      </c>
      <c r="BW6" s="922">
        <f>+C5*$BV$3</f>
        <v>-418380</v>
      </c>
      <c r="BX6" s="922">
        <f>+$BV$3*G5</f>
        <v>-226037</v>
      </c>
      <c r="BY6" s="1194"/>
      <c r="BZ6" s="146"/>
    </row>
    <row r="7" spans="1:78" ht="16.5" customHeight="1">
      <c r="A7" s="1537">
        <v>38717</v>
      </c>
      <c r="B7" s="920">
        <v>828566</v>
      </c>
      <c r="C7" s="920">
        <v>600955</v>
      </c>
      <c r="D7" s="921">
        <v>1429521</v>
      </c>
      <c r="E7" s="1535">
        <f t="shared" si="0"/>
        <v>1429521</v>
      </c>
      <c r="F7" s="1705">
        <v>386054</v>
      </c>
      <c r="G7" s="1705">
        <v>240561</v>
      </c>
      <c r="H7" s="920">
        <v>240561</v>
      </c>
      <c r="I7" s="1535">
        <f t="shared" si="1"/>
        <v>626615</v>
      </c>
      <c r="J7" s="22"/>
      <c r="K7" s="22"/>
      <c r="BP7" s="2052"/>
      <c r="BT7" s="919" t="s">
        <v>1146</v>
      </c>
      <c r="BU7" s="920">
        <v>685676</v>
      </c>
      <c r="BV7" s="920">
        <v>356770</v>
      </c>
      <c r="BW7" s="922">
        <v>-504526</v>
      </c>
      <c r="BX7" s="922">
        <v>-236516</v>
      </c>
      <c r="BY7" s="1194"/>
      <c r="BZ7" s="146"/>
    </row>
    <row r="8" spans="1:78">
      <c r="A8" s="1537">
        <v>39082</v>
      </c>
      <c r="B8" s="920">
        <v>930043</v>
      </c>
      <c r="C8" s="920">
        <v>658578</v>
      </c>
      <c r="D8" s="921">
        <f t="shared" ref="D8:D15" si="2">B8+C8</f>
        <v>1588621</v>
      </c>
      <c r="E8" s="1535">
        <f t="shared" si="0"/>
        <v>1588621</v>
      </c>
      <c r="F8" s="1705">
        <v>486327</v>
      </c>
      <c r="G8" s="1705">
        <v>322169</v>
      </c>
      <c r="H8" s="920">
        <v>322169</v>
      </c>
      <c r="I8" s="1535">
        <f t="shared" si="1"/>
        <v>808496</v>
      </c>
      <c r="J8" s="22"/>
      <c r="K8" s="22"/>
      <c r="BP8" s="2052"/>
      <c r="BT8" s="919" t="s">
        <v>1147</v>
      </c>
      <c r="BU8" s="920">
        <v>828566</v>
      </c>
      <c r="BV8" s="920">
        <v>386054</v>
      </c>
      <c r="BW8" s="922">
        <v>-600955</v>
      </c>
      <c r="BX8" s="922">
        <v>-240561</v>
      </c>
      <c r="BY8" s="1194"/>
      <c r="BZ8" s="146"/>
    </row>
    <row r="9" spans="1:78">
      <c r="A9" s="1537">
        <v>39417</v>
      </c>
      <c r="B9" s="920">
        <v>1055907</v>
      </c>
      <c r="C9" s="920">
        <v>741120</v>
      </c>
      <c r="D9" s="921">
        <f t="shared" si="2"/>
        <v>1797027</v>
      </c>
      <c r="E9" s="1535">
        <f t="shared" si="0"/>
        <v>1797027</v>
      </c>
      <c r="F9" s="1705">
        <v>549737</v>
      </c>
      <c r="G9" s="1705">
        <v>363466</v>
      </c>
      <c r="H9" s="920">
        <v>363466</v>
      </c>
      <c r="I9" s="1535">
        <f t="shared" si="1"/>
        <v>913203</v>
      </c>
      <c r="J9" s="22"/>
      <c r="K9" s="22"/>
      <c r="L9" s="385"/>
      <c r="BP9" s="2052"/>
      <c r="BT9" s="919" t="s">
        <v>1140</v>
      </c>
      <c r="BU9" s="920">
        <v>930043</v>
      </c>
      <c r="BV9" s="920">
        <v>486327</v>
      </c>
      <c r="BW9" s="922">
        <v>-658578</v>
      </c>
      <c r="BX9" s="922">
        <v>-322169</v>
      </c>
      <c r="BY9" s="1194"/>
      <c r="BZ9" s="146"/>
    </row>
    <row r="10" spans="1:78">
      <c r="A10" s="1537">
        <v>39783</v>
      </c>
      <c r="B10" s="920">
        <v>1165631</v>
      </c>
      <c r="C10" s="920">
        <v>818089</v>
      </c>
      <c r="D10" s="921">
        <f t="shared" si="2"/>
        <v>1983720</v>
      </c>
      <c r="E10" s="1535">
        <f t="shared" si="0"/>
        <v>1983720</v>
      </c>
      <c r="F10" s="1705">
        <v>552570</v>
      </c>
      <c r="G10" s="1705">
        <v>377173</v>
      </c>
      <c r="H10" s="920">
        <v>377173</v>
      </c>
      <c r="I10" s="1535">
        <f t="shared" si="1"/>
        <v>929743</v>
      </c>
      <c r="J10" s="22"/>
      <c r="K10" s="22"/>
      <c r="L10" s="812"/>
      <c r="M10" t="s">
        <v>36</v>
      </c>
      <c r="BP10" s="2052"/>
      <c r="BT10" s="919" t="s">
        <v>1139</v>
      </c>
      <c r="BU10" s="920">
        <v>1055907</v>
      </c>
      <c r="BV10" s="920">
        <v>549737</v>
      </c>
      <c r="BW10" s="922">
        <v>-741120</v>
      </c>
      <c r="BX10" s="922">
        <v>-363466</v>
      </c>
      <c r="BY10" s="1194"/>
      <c r="BZ10" s="146"/>
    </row>
    <row r="11" spans="1:78">
      <c r="A11" s="1537">
        <v>40148</v>
      </c>
      <c r="B11" s="920">
        <v>1281904</v>
      </c>
      <c r="C11" s="920">
        <v>911986</v>
      </c>
      <c r="D11" s="921">
        <f t="shared" si="2"/>
        <v>2193890</v>
      </c>
      <c r="E11" s="1535">
        <f t="shared" si="0"/>
        <v>2193890</v>
      </c>
      <c r="F11" s="1705">
        <v>634008</v>
      </c>
      <c r="G11" s="1705">
        <v>484285</v>
      </c>
      <c r="H11" s="920">
        <v>484285</v>
      </c>
      <c r="I11" s="1535">
        <f t="shared" si="1"/>
        <v>1118293</v>
      </c>
      <c r="J11" s="22"/>
      <c r="K11" s="22"/>
      <c r="BT11" s="919" t="s">
        <v>1059</v>
      </c>
      <c r="BU11" s="920">
        <v>1165631</v>
      </c>
      <c r="BV11" s="920">
        <v>552570</v>
      </c>
      <c r="BW11" s="922">
        <v>-818089</v>
      </c>
      <c r="BX11" s="922">
        <v>-377173</v>
      </c>
      <c r="BY11" s="1194"/>
      <c r="BZ11" s="146"/>
    </row>
    <row r="12" spans="1:78">
      <c r="A12" s="1537">
        <v>40513</v>
      </c>
      <c r="B12" s="920">
        <v>1383536</v>
      </c>
      <c r="C12" s="920">
        <v>991247</v>
      </c>
      <c r="D12" s="921">
        <f t="shared" si="2"/>
        <v>2374783</v>
      </c>
      <c r="E12" s="1535">
        <f t="shared" si="0"/>
        <v>2374783</v>
      </c>
      <c r="F12" s="1705">
        <v>675015</v>
      </c>
      <c r="G12" s="1705">
        <v>514586</v>
      </c>
      <c r="H12" s="920">
        <v>514586</v>
      </c>
      <c r="I12" s="1535">
        <f t="shared" si="1"/>
        <v>1189601</v>
      </c>
      <c r="J12" s="22"/>
      <c r="K12" s="22"/>
      <c r="BT12" s="919" t="s">
        <v>944</v>
      </c>
      <c r="BU12" s="920">
        <v>1281904</v>
      </c>
      <c r="BV12" s="920">
        <v>634008</v>
      </c>
      <c r="BW12" s="922">
        <v>-911986</v>
      </c>
      <c r="BX12" s="922">
        <v>-484285</v>
      </c>
      <c r="BY12" s="1194"/>
      <c r="BZ12" s="146"/>
    </row>
    <row r="13" spans="1:78">
      <c r="A13" s="1537">
        <v>40878</v>
      </c>
      <c r="B13" s="920">
        <v>1480731</v>
      </c>
      <c r="C13" s="920">
        <v>1072243</v>
      </c>
      <c r="D13" s="921">
        <f t="shared" si="2"/>
        <v>2552974</v>
      </c>
      <c r="E13" s="1535">
        <f t="shared" si="0"/>
        <v>2552974</v>
      </c>
      <c r="F13" s="1705">
        <v>702422</v>
      </c>
      <c r="G13" s="1705">
        <v>540358</v>
      </c>
      <c r="H13" s="920">
        <v>540358</v>
      </c>
      <c r="I13" s="1535">
        <f t="shared" si="1"/>
        <v>1242780</v>
      </c>
      <c r="J13" s="22"/>
      <c r="K13" s="22"/>
      <c r="BT13" s="919" t="s">
        <v>945</v>
      </c>
      <c r="BU13" s="920">
        <v>1383536</v>
      </c>
      <c r="BV13" s="920">
        <v>675015</v>
      </c>
      <c r="BW13" s="922">
        <v>-991247</v>
      </c>
      <c r="BX13" s="922">
        <v>-514586</v>
      </c>
      <c r="BY13" s="1194"/>
      <c r="BZ13" s="146"/>
    </row>
    <row r="14" spans="1:78">
      <c r="A14" s="1537">
        <v>41244</v>
      </c>
      <c r="B14" s="920">
        <v>1570504</v>
      </c>
      <c r="C14" s="920">
        <v>1143945</v>
      </c>
      <c r="D14" s="921">
        <f t="shared" si="2"/>
        <v>2714449</v>
      </c>
      <c r="E14" s="1535">
        <f t="shared" si="0"/>
        <v>2714449</v>
      </c>
      <c r="F14" s="1705">
        <v>726141</v>
      </c>
      <c r="G14" s="1705">
        <v>564996</v>
      </c>
      <c r="H14" s="920">
        <v>564996</v>
      </c>
      <c r="I14" s="1535">
        <f t="shared" si="1"/>
        <v>1291137</v>
      </c>
      <c r="J14" s="22"/>
      <c r="K14" s="22"/>
      <c r="BT14" s="919" t="s">
        <v>946</v>
      </c>
      <c r="BU14" s="920">
        <v>1480731</v>
      </c>
      <c r="BV14" s="920">
        <v>702422</v>
      </c>
      <c r="BW14" s="922">
        <v>-1072243</v>
      </c>
      <c r="BX14" s="922">
        <v>-540358</v>
      </c>
      <c r="BY14" s="1194"/>
      <c r="BZ14" s="146"/>
    </row>
    <row r="15" spans="1:78">
      <c r="A15" s="1537">
        <v>41609</v>
      </c>
      <c r="B15" s="920">
        <v>1661097</v>
      </c>
      <c r="C15" s="920">
        <v>1220033</v>
      </c>
      <c r="D15" s="921">
        <f t="shared" si="2"/>
        <v>2881130</v>
      </c>
      <c r="E15" s="1535">
        <f t="shared" si="0"/>
        <v>2881130</v>
      </c>
      <c r="F15" s="1705">
        <v>770060</v>
      </c>
      <c r="G15" s="1705">
        <v>606906</v>
      </c>
      <c r="H15" s="920">
        <v>542857</v>
      </c>
      <c r="I15" s="1535">
        <f t="shared" si="1"/>
        <v>1376966</v>
      </c>
      <c r="J15" s="22"/>
      <c r="K15" s="22"/>
      <c r="BT15" s="919" t="s">
        <v>1060</v>
      </c>
      <c r="BU15" s="920">
        <v>1570504</v>
      </c>
      <c r="BV15" s="920">
        <v>726141</v>
      </c>
      <c r="BW15" s="922">
        <v>-1143945</v>
      </c>
      <c r="BX15" s="922">
        <v>-564996</v>
      </c>
      <c r="BY15" s="1194"/>
      <c r="BZ15" s="146"/>
    </row>
    <row r="16" spans="1:78">
      <c r="A16" s="1537">
        <v>41974</v>
      </c>
      <c r="B16" s="920">
        <v>1759926</v>
      </c>
      <c r="C16" s="920">
        <v>1309974</v>
      </c>
      <c r="D16" s="921">
        <f>B16+C16</f>
        <v>3069900</v>
      </c>
      <c r="E16" s="1535">
        <f>+C16+B16</f>
        <v>3069900</v>
      </c>
      <c r="F16" s="1705">
        <v>835620</v>
      </c>
      <c r="G16" s="1705">
        <v>672772</v>
      </c>
      <c r="H16" s="920">
        <v>542857</v>
      </c>
      <c r="I16" s="1535">
        <f>+G16+F16</f>
        <v>1508392</v>
      </c>
      <c r="BT16" s="919" t="s">
        <v>1644</v>
      </c>
      <c r="BU16" s="920">
        <v>1661097</v>
      </c>
      <c r="BV16" s="920">
        <v>770060</v>
      </c>
      <c r="BW16" s="922">
        <v>-1220033</v>
      </c>
      <c r="BX16" s="922">
        <v>-606906</v>
      </c>
      <c r="BY16" s="1194"/>
      <c r="BZ16" s="146"/>
    </row>
    <row r="17" spans="1:76">
      <c r="A17" s="128"/>
      <c r="BT17" s="919">
        <v>41974</v>
      </c>
      <c r="BU17" s="920">
        <v>1759926</v>
      </c>
      <c r="BV17" s="920">
        <v>835620</v>
      </c>
      <c r="BW17" s="922">
        <v>-1309974</v>
      </c>
      <c r="BX17" s="922">
        <v>-672772</v>
      </c>
    </row>
  </sheetData>
  <mergeCells count="4">
    <mergeCell ref="A1:O1"/>
    <mergeCell ref="A3:A4"/>
    <mergeCell ref="B3:E3"/>
    <mergeCell ref="F3:I3"/>
  </mergeCells>
  <pageMargins left="0.7" right="0.7" top="0.75" bottom="0.75" header="0.3" footer="0.3"/>
  <pageSetup scale="72" orientation="landscape" r:id="rId1"/>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42"/>
  <sheetViews>
    <sheetView showGridLines="0" view="pageBreakPreview" topLeftCell="B1" zoomScale="70" zoomScaleNormal="85" zoomScaleSheetLayoutView="70" workbookViewId="0">
      <selection activeCell="R31" sqref="R31"/>
    </sheetView>
  </sheetViews>
  <sheetFormatPr baseColWidth="10" defaultColWidth="11.42578125" defaultRowHeight="15"/>
  <cols>
    <col min="1" max="1" width="20.140625" style="128" customWidth="1"/>
    <col min="2" max="2" width="25.28515625" style="128" customWidth="1"/>
    <col min="3" max="3" width="17.85546875" style="128" bestFit="1" customWidth="1"/>
    <col min="4" max="4" width="16.85546875" style="128" customWidth="1"/>
    <col min="5" max="5" width="23" style="128" customWidth="1"/>
    <col min="6" max="6" width="16.7109375" style="128" customWidth="1"/>
    <col min="7" max="16" width="11.42578125" style="128"/>
    <col min="17" max="17" width="17.28515625" style="128" bestFit="1" customWidth="1"/>
    <col min="18" max="16384" width="11.42578125" style="128"/>
  </cols>
  <sheetData>
    <row r="1" spans="1:15" ht="90.75" customHeight="1">
      <c r="A1" s="2463" t="s">
        <v>1975</v>
      </c>
      <c r="B1" s="2463"/>
      <c r="C1" s="2463"/>
      <c r="D1" s="2463"/>
      <c r="E1" s="2463"/>
      <c r="F1" s="2463"/>
      <c r="G1" s="2463"/>
      <c r="H1" s="2463"/>
      <c r="I1" s="2463"/>
      <c r="J1" s="2463"/>
      <c r="K1" s="2463"/>
      <c r="L1" s="2463"/>
      <c r="M1" s="2463"/>
      <c r="N1" s="2463"/>
      <c r="O1" s="2463"/>
    </row>
    <row r="2" spans="1:15" ht="3.75" customHeight="1"/>
    <row r="3" spans="1:15" ht="26.25" customHeight="1">
      <c r="A3" s="1254" t="s">
        <v>25</v>
      </c>
      <c r="B3" s="1255" t="s">
        <v>241</v>
      </c>
      <c r="C3" s="10"/>
      <c r="D3" s="148"/>
      <c r="E3" s="148"/>
      <c r="F3" s="148"/>
      <c r="G3" s="148"/>
      <c r="H3" s="148"/>
      <c r="I3" s="148"/>
      <c r="J3" s="148"/>
      <c r="K3" s="148"/>
    </row>
    <row r="4" spans="1:15" ht="15" hidden="1" customHeight="1">
      <c r="A4" s="1256">
        <v>2003</v>
      </c>
      <c r="B4" s="785">
        <v>1813713639.4200001</v>
      </c>
      <c r="C4" s="10"/>
      <c r="D4" s="148"/>
      <c r="E4" s="148"/>
      <c r="F4" s="148"/>
      <c r="G4" s="148"/>
      <c r="H4" s="148"/>
      <c r="I4" s="148"/>
      <c r="J4" s="148"/>
      <c r="K4" s="148"/>
    </row>
    <row r="5" spans="1:15" ht="17.25" hidden="1">
      <c r="A5" s="1256">
        <v>2004</v>
      </c>
      <c r="B5" s="785">
        <v>6547304794.6500006</v>
      </c>
      <c r="C5" s="10"/>
      <c r="D5" s="148"/>
      <c r="E5" s="148"/>
      <c r="F5" s="148"/>
      <c r="G5" s="148"/>
      <c r="H5" s="148"/>
      <c r="I5" s="148"/>
      <c r="J5" s="148"/>
      <c r="K5" s="148"/>
    </row>
    <row r="6" spans="1:15" ht="17.25">
      <c r="A6" s="1256">
        <v>2005</v>
      </c>
      <c r="B6" s="785">
        <v>8393553851.0549603</v>
      </c>
      <c r="C6" s="10"/>
      <c r="D6" s="148"/>
      <c r="E6" s="148"/>
      <c r="F6" s="148"/>
      <c r="G6" s="148"/>
      <c r="H6" s="148"/>
      <c r="I6" s="148"/>
      <c r="J6" s="148"/>
      <c r="K6" s="148"/>
    </row>
    <row r="7" spans="1:15" ht="17.25">
      <c r="A7" s="1256">
        <v>2006</v>
      </c>
      <c r="B7" s="785">
        <v>9613650449.1000004</v>
      </c>
      <c r="C7" s="10"/>
      <c r="D7" s="148"/>
      <c r="E7" s="148"/>
      <c r="F7" s="148"/>
      <c r="G7" s="148"/>
      <c r="H7" s="148"/>
      <c r="I7" s="148"/>
      <c r="J7" s="148"/>
      <c r="K7" s="148"/>
    </row>
    <row r="8" spans="1:15" ht="17.25">
      <c r="A8" s="1256">
        <v>2007</v>
      </c>
      <c r="B8" s="785">
        <v>14892605258.139999</v>
      </c>
      <c r="C8" s="10"/>
      <c r="D8" s="148"/>
      <c r="E8" s="148"/>
      <c r="F8" s="148"/>
      <c r="G8" s="148"/>
      <c r="H8" s="148"/>
      <c r="I8" s="148"/>
      <c r="J8" s="148"/>
      <c r="K8" s="148"/>
    </row>
    <row r="9" spans="1:15" ht="17.25">
      <c r="A9" s="1256">
        <v>2008</v>
      </c>
      <c r="B9" s="785">
        <v>15887792787.9</v>
      </c>
      <c r="C9" s="10"/>
      <c r="D9" s="148"/>
      <c r="E9" s="148"/>
      <c r="F9" s="148"/>
      <c r="G9" s="148"/>
      <c r="H9" s="148"/>
      <c r="I9" s="148"/>
      <c r="J9" s="148"/>
      <c r="K9" s="148"/>
    </row>
    <row r="10" spans="1:15" ht="17.25">
      <c r="A10" s="1256">
        <v>2009</v>
      </c>
      <c r="B10" s="785">
        <v>18789773765.599998</v>
      </c>
      <c r="C10" s="10"/>
      <c r="D10" s="148"/>
      <c r="E10" s="148"/>
      <c r="F10" s="148"/>
      <c r="G10" s="148"/>
      <c r="H10" s="148"/>
      <c r="I10" s="148"/>
      <c r="J10" s="148"/>
      <c r="K10" s="148"/>
    </row>
    <row r="11" spans="1:15" ht="17.25">
      <c r="A11" s="1256">
        <v>2010</v>
      </c>
      <c r="B11" s="785">
        <v>23938495282.519997</v>
      </c>
      <c r="C11" s="10"/>
      <c r="D11" s="148"/>
      <c r="E11" s="148"/>
      <c r="F11" s="148"/>
      <c r="G11" s="148"/>
      <c r="H11" s="148"/>
      <c r="I11" s="148"/>
      <c r="J11" s="148"/>
      <c r="K11" s="148"/>
    </row>
    <row r="12" spans="1:15" ht="17.25">
      <c r="A12" s="1256">
        <v>2011</v>
      </c>
      <c r="B12" s="785">
        <v>23585106301.460003</v>
      </c>
      <c r="C12" s="10"/>
      <c r="D12" s="10"/>
      <c r="E12" s="10"/>
      <c r="F12" s="10"/>
      <c r="G12" s="10"/>
      <c r="H12" s="148"/>
      <c r="I12" s="148"/>
      <c r="J12" s="148"/>
      <c r="K12" s="148"/>
    </row>
    <row r="13" spans="1:15" ht="17.25">
      <c r="A13" s="1256" t="s">
        <v>1058</v>
      </c>
      <c r="B13" s="883">
        <v>26400473552.25</v>
      </c>
      <c r="C13" s="10"/>
      <c r="D13" s="10"/>
      <c r="E13" s="10"/>
      <c r="F13" s="10"/>
      <c r="G13" s="10"/>
      <c r="H13" s="148"/>
      <c r="I13" s="148"/>
      <c r="J13" s="148"/>
      <c r="K13" s="148"/>
    </row>
    <row r="14" spans="1:15" ht="17.25">
      <c r="A14" s="1256" t="s">
        <v>1643</v>
      </c>
      <c r="B14" s="883">
        <v>29506184318.75</v>
      </c>
      <c r="C14" s="10"/>
      <c r="D14" s="10"/>
      <c r="E14" s="1699"/>
      <c r="F14" s="10"/>
      <c r="G14" s="10"/>
      <c r="H14" s="148"/>
      <c r="I14" s="148"/>
      <c r="J14" s="148"/>
      <c r="K14" s="148"/>
    </row>
    <row r="15" spans="1:15" ht="17.25">
      <c r="A15" s="1256" t="s">
        <v>1907</v>
      </c>
      <c r="B15" s="883">
        <v>33591892120.470001</v>
      </c>
      <c r="C15" s="10"/>
      <c r="D15" s="10"/>
      <c r="E15" s="10"/>
      <c r="F15" s="10"/>
      <c r="G15" s="10"/>
      <c r="H15" s="148"/>
      <c r="I15" s="148"/>
      <c r="J15" s="148"/>
      <c r="K15" s="148"/>
    </row>
    <row r="16" spans="1:15" ht="18.75">
      <c r="A16" s="1257" t="s">
        <v>23</v>
      </c>
      <c r="B16" s="1258">
        <f>SUM(B6:B15)</f>
        <v>204599527687.24496</v>
      </c>
      <c r="C16" s="1"/>
      <c r="D16" s="1"/>
      <c r="E16" s="1"/>
      <c r="F16" s="1"/>
      <c r="G16" s="1"/>
    </row>
    <row r="17" spans="1:7">
      <c r="A17" s="1"/>
      <c r="B17" s="1"/>
      <c r="C17" s="1"/>
      <c r="D17" s="1"/>
      <c r="E17" s="1"/>
      <c r="F17" s="1"/>
      <c r="G17" s="1"/>
    </row>
    <row r="18" spans="1:7">
      <c r="A18" s="1"/>
      <c r="B18" s="1"/>
      <c r="C18" s="1"/>
      <c r="D18" s="1"/>
      <c r="E18" s="1"/>
      <c r="F18" s="1"/>
      <c r="G18" s="1"/>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sheetData>
  <mergeCells count="1">
    <mergeCell ref="A1:O1"/>
  </mergeCells>
  <printOptions horizontalCentered="1"/>
  <pageMargins left="0.70866141732283472" right="0.70866141732283472" top="0.33" bottom="0.74803149606299213" header="0.31496062992125984" footer="0.31496062992125984"/>
  <pageSetup scale="55" orientation="landscape" r:id="rId1"/>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9" tint="-0.499984740745262"/>
    <pageSetUpPr fitToPage="1"/>
  </sheetPr>
  <dimension ref="A1:P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C3" sqref="C3"/>
    </sheetView>
  </sheetViews>
  <sheetFormatPr baseColWidth="10" defaultColWidth="11.5703125" defaultRowHeight="15"/>
  <cols>
    <col min="1" max="1" width="15.140625" customWidth="1"/>
    <col min="2" max="2" width="16.28515625" style="128" customWidth="1"/>
    <col min="3" max="4" width="16.28515625" customWidth="1"/>
    <col min="5" max="5" width="16.7109375" customWidth="1"/>
    <col min="6" max="6" width="17.42578125" customWidth="1"/>
    <col min="7" max="9" width="17.28515625" customWidth="1"/>
    <col min="10" max="10" width="17.42578125" customWidth="1"/>
    <col min="11" max="11" width="17.85546875" bestFit="1" customWidth="1"/>
    <col min="12" max="12" width="19.140625" customWidth="1"/>
    <col min="13" max="13" width="20.85546875" customWidth="1"/>
    <col min="14" max="14" width="20.85546875" bestFit="1" customWidth="1"/>
  </cols>
  <sheetData>
    <row r="1" spans="1:16" ht="67.5" customHeight="1">
      <c r="A1" s="2434" t="s">
        <v>1236</v>
      </c>
      <c r="B1" s="2434"/>
      <c r="C1" s="2434"/>
      <c r="D1" s="2434"/>
      <c r="E1" s="2434"/>
      <c r="F1" s="2434"/>
      <c r="G1" s="2434"/>
      <c r="H1" s="2434"/>
      <c r="I1" s="2434"/>
      <c r="J1" s="2434"/>
      <c r="K1" s="2434"/>
      <c r="L1" s="2434"/>
      <c r="M1" s="2434"/>
    </row>
    <row r="2" spans="1:16" s="128" customFormat="1" ht="3.75" customHeight="1">
      <c r="A2" s="549"/>
      <c r="B2" s="553"/>
      <c r="C2" s="553"/>
      <c r="D2" s="553"/>
      <c r="E2" s="553"/>
      <c r="F2" s="553"/>
      <c r="G2" s="553"/>
      <c r="H2" s="553"/>
      <c r="I2" s="553"/>
      <c r="J2" s="553"/>
      <c r="K2" s="553"/>
      <c r="L2" s="553"/>
    </row>
    <row r="3" spans="1:16" ht="21" customHeight="1">
      <c r="A3" s="554"/>
      <c r="B3" s="557" t="s">
        <v>466</v>
      </c>
      <c r="C3" s="557">
        <v>2004</v>
      </c>
      <c r="D3" s="557">
        <v>2005</v>
      </c>
      <c r="E3" s="557">
        <v>2006</v>
      </c>
      <c r="F3" s="557">
        <v>2007</v>
      </c>
      <c r="G3" s="557">
        <v>2008</v>
      </c>
      <c r="H3" s="557">
        <v>2009</v>
      </c>
      <c r="I3" s="557">
        <v>2010</v>
      </c>
      <c r="J3" s="557" t="s">
        <v>509</v>
      </c>
      <c r="K3" s="557" t="s">
        <v>1058</v>
      </c>
      <c r="L3" s="557" t="s">
        <v>1233</v>
      </c>
      <c r="M3" s="557" t="s">
        <v>23</v>
      </c>
      <c r="N3" s="149"/>
      <c r="O3" s="21"/>
    </row>
    <row r="4" spans="1:16" s="59" customFormat="1">
      <c r="A4" s="555" t="s">
        <v>89</v>
      </c>
      <c r="B4" s="98">
        <v>1450970911.5360003</v>
      </c>
      <c r="C4" s="98">
        <v>4189179686.8000002</v>
      </c>
      <c r="D4" s="98">
        <v>5761654867.9499998</v>
      </c>
      <c r="E4" s="98">
        <v>7098103492.750001</v>
      </c>
      <c r="F4" s="98">
        <v>9157024021.4599991</v>
      </c>
      <c r="G4" s="98">
        <v>10971688650.739998</v>
      </c>
      <c r="H4" s="98">
        <v>14102437235.269999</v>
      </c>
      <c r="I4" s="316">
        <v>18859678263.360001</v>
      </c>
      <c r="J4" s="316">
        <v>18145611295.329998</v>
      </c>
      <c r="K4" s="316">
        <v>20525176273.790001</v>
      </c>
      <c r="L4" s="316">
        <v>1729563084.9100001</v>
      </c>
      <c r="M4" s="558">
        <f>SUM(B4:L4)</f>
        <v>111991087783.896</v>
      </c>
      <c r="N4" s="149"/>
      <c r="O4" s="26"/>
    </row>
    <row r="5" spans="1:16" s="59" customFormat="1">
      <c r="A5" s="555" t="s">
        <v>90</v>
      </c>
      <c r="B5" s="98">
        <v>0</v>
      </c>
      <c r="C5" s="98">
        <v>778329107.64999998</v>
      </c>
      <c r="D5" s="98">
        <v>801549025.60000014</v>
      </c>
      <c r="E5" s="98">
        <v>470524902.12</v>
      </c>
      <c r="F5" s="98">
        <v>726388233.41900003</v>
      </c>
      <c r="G5" s="98">
        <v>702593218.49000001</v>
      </c>
      <c r="H5" s="98">
        <v>791490784.11000001</v>
      </c>
      <c r="I5" s="316">
        <v>935805888.1400001</v>
      </c>
      <c r="J5" s="316">
        <v>1045138743.0899999</v>
      </c>
      <c r="K5" s="316">
        <v>1032095716.16</v>
      </c>
      <c r="L5" s="316">
        <v>76713542.849999994</v>
      </c>
      <c r="M5" s="558">
        <f t="shared" ref="M5:M11" si="0">SUM(B5:L5)</f>
        <v>7360629161.6290007</v>
      </c>
      <c r="N5" s="21"/>
      <c r="O5" s="26"/>
    </row>
    <row r="6" spans="1:16" s="59" customFormat="1">
      <c r="A6" s="555" t="s">
        <v>91</v>
      </c>
      <c r="B6" s="98">
        <v>0</v>
      </c>
      <c r="C6" s="98">
        <v>0</v>
      </c>
      <c r="D6" s="98">
        <v>0</v>
      </c>
      <c r="E6" s="98">
        <v>0</v>
      </c>
      <c r="F6" s="98">
        <v>2506661252.1800003</v>
      </c>
      <c r="G6" s="98">
        <v>1248799551.6500001</v>
      </c>
      <c r="H6" s="98">
        <v>404625934.49000001</v>
      </c>
      <c r="I6" s="317">
        <v>0</v>
      </c>
      <c r="J6" s="98">
        <v>0</v>
      </c>
      <c r="K6" s="316">
        <v>0</v>
      </c>
      <c r="L6" s="316">
        <v>0</v>
      </c>
      <c r="M6" s="558">
        <f t="shared" si="0"/>
        <v>4160086738.3200006</v>
      </c>
      <c r="N6" s="21"/>
      <c r="O6" s="26"/>
    </row>
    <row r="7" spans="1:16" s="59" customFormat="1">
      <c r="A7" s="555" t="s">
        <v>92</v>
      </c>
      <c r="B7" s="98">
        <v>181371363.94200003</v>
      </c>
      <c r="C7" s="98">
        <v>750678112.24000001</v>
      </c>
      <c r="D7" s="98">
        <v>787020865.17999995</v>
      </c>
      <c r="E7" s="98">
        <v>905145735.52999997</v>
      </c>
      <c r="F7" s="98">
        <v>1128937194.7399998</v>
      </c>
      <c r="G7" s="98">
        <v>1354809029.5900002</v>
      </c>
      <c r="H7" s="98">
        <v>1598791980.2700002</v>
      </c>
      <c r="I7" s="316">
        <v>1839177727.8</v>
      </c>
      <c r="J7" s="317">
        <v>2055053729.2299998</v>
      </c>
      <c r="K7" s="742">
        <v>2278168828.7800002</v>
      </c>
      <c r="L7" s="742">
        <v>192191655.02000001</v>
      </c>
      <c r="M7" s="558">
        <f t="shared" si="0"/>
        <v>13071346222.322002</v>
      </c>
      <c r="N7" s="21"/>
      <c r="O7" s="26"/>
    </row>
    <row r="8" spans="1:16" s="59" customFormat="1" ht="15.75" customHeight="1">
      <c r="A8" s="555" t="s">
        <v>93</v>
      </c>
      <c r="B8" s="98">
        <v>0</v>
      </c>
      <c r="C8" s="98">
        <v>0</v>
      </c>
      <c r="D8" s="98">
        <v>44554249.010000005</v>
      </c>
      <c r="E8" s="98">
        <v>50116429.870000005</v>
      </c>
      <c r="F8" s="98">
        <v>66693954.190000013</v>
      </c>
      <c r="G8" s="98">
        <v>70260729.659999996</v>
      </c>
      <c r="H8" s="98">
        <v>75325664.870000005</v>
      </c>
      <c r="I8" s="316">
        <v>87578817.120000005</v>
      </c>
      <c r="J8" s="316">
        <v>91807218.480000004</v>
      </c>
      <c r="K8" s="316">
        <v>92110689.790000007</v>
      </c>
      <c r="L8" s="316">
        <v>1124429.83</v>
      </c>
      <c r="M8" s="558">
        <f t="shared" si="0"/>
        <v>579572182.82000005</v>
      </c>
      <c r="N8" s="21"/>
      <c r="O8" s="26"/>
    </row>
    <row r="9" spans="1:16" s="59" customFormat="1">
      <c r="A9" s="555" t="s">
        <v>94</v>
      </c>
      <c r="B9" s="98">
        <v>90685681.971000016</v>
      </c>
      <c r="C9" s="98">
        <v>416646003.28025001</v>
      </c>
      <c r="D9" s="98">
        <v>499326061.26086009</v>
      </c>
      <c r="E9" s="98">
        <v>539813903.23000002</v>
      </c>
      <c r="F9" s="98">
        <v>653915330.37</v>
      </c>
      <c r="G9" s="98">
        <v>775828907.30000007</v>
      </c>
      <c r="H9" s="98">
        <v>933206115.5</v>
      </c>
      <c r="I9" s="316">
        <v>1197846913.1600001</v>
      </c>
      <c r="J9" s="316">
        <v>1153613834.1200001</v>
      </c>
      <c r="K9" s="316">
        <v>1270496588.99</v>
      </c>
      <c r="L9" s="316">
        <v>106561736.52</v>
      </c>
      <c r="M9" s="558">
        <f t="shared" si="0"/>
        <v>7637941075.7021103</v>
      </c>
      <c r="N9" s="21"/>
      <c r="O9" s="26"/>
    </row>
    <row r="10" spans="1:16" s="59" customFormat="1">
      <c r="A10" s="555" t="s">
        <v>95</v>
      </c>
      <c r="B10" s="98">
        <v>18137136.394200001</v>
      </c>
      <c r="C10" s="98">
        <v>82133021.969750002</v>
      </c>
      <c r="D10" s="98">
        <v>99075487.134100005</v>
      </c>
      <c r="E10" s="98">
        <v>109989360.61999997</v>
      </c>
      <c r="F10" s="98">
        <v>130598212.33</v>
      </c>
      <c r="G10" s="98">
        <v>140113069.22999999</v>
      </c>
      <c r="H10" s="95">
        <v>132002937.52000001</v>
      </c>
      <c r="I10" s="316">
        <v>188169177.71000001</v>
      </c>
      <c r="J10" s="316">
        <v>162448764.51999998</v>
      </c>
      <c r="K10" s="316">
        <v>179079077.34999999</v>
      </c>
      <c r="L10" s="316">
        <v>14995011.18</v>
      </c>
      <c r="M10" s="558">
        <f t="shared" si="0"/>
        <v>1256741255.95805</v>
      </c>
      <c r="N10" s="21"/>
      <c r="O10" s="26"/>
    </row>
    <row r="11" spans="1:16" s="59" customFormat="1" ht="16.5" customHeight="1">
      <c r="A11" s="555" t="s">
        <v>1023</v>
      </c>
      <c r="B11" s="98">
        <v>72548545.576800004</v>
      </c>
      <c r="C11" s="98">
        <v>330338862.61999995</v>
      </c>
      <c r="D11" s="98">
        <v>400373294.9199999</v>
      </c>
      <c r="E11" s="98">
        <v>439956624.98000002</v>
      </c>
      <c r="F11" s="98">
        <v>522387059.45000005</v>
      </c>
      <c r="G11" s="98">
        <v>623699631.28999996</v>
      </c>
      <c r="H11" s="98">
        <v>751893113.57000005</v>
      </c>
      <c r="I11" s="316">
        <v>830238495.26999998</v>
      </c>
      <c r="J11" s="316">
        <v>931432716.68999994</v>
      </c>
      <c r="K11" s="316">
        <v>1023346377.39</v>
      </c>
      <c r="L11" s="316">
        <v>85688014.829999998</v>
      </c>
      <c r="M11" s="558">
        <f t="shared" si="0"/>
        <v>6011902736.5867996</v>
      </c>
      <c r="O11" s="26"/>
    </row>
    <row r="12" spans="1:16" s="59" customFormat="1">
      <c r="A12" s="556" t="s">
        <v>23</v>
      </c>
      <c r="B12" s="558">
        <f>SUM(B4:B11)</f>
        <v>1813713639.4200003</v>
      </c>
      <c r="C12" s="558">
        <f>SUM(C4:C11)</f>
        <v>6547304794.5599995</v>
      </c>
      <c r="D12" s="558">
        <f t="shared" ref="D12:I12" si="1">SUM(D4:D11)</f>
        <v>8393553851.0549612</v>
      </c>
      <c r="E12" s="558">
        <f t="shared" si="1"/>
        <v>9613650449.1000004</v>
      </c>
      <c r="F12" s="558">
        <f t="shared" si="1"/>
        <v>14892605258.139002</v>
      </c>
      <c r="G12" s="558">
        <f t="shared" si="1"/>
        <v>15887792787.949997</v>
      </c>
      <c r="H12" s="558">
        <f>SUM(H4:H11)</f>
        <v>18789773765.600002</v>
      </c>
      <c r="I12" s="558">
        <f t="shared" si="1"/>
        <v>23938495282.559998</v>
      </c>
      <c r="J12" s="558">
        <f>SUM(J4:J11)</f>
        <v>23585106301.459995</v>
      </c>
      <c r="K12" s="558">
        <f>SUM(K4:K11)</f>
        <v>26400473552.25</v>
      </c>
      <c r="L12" s="558">
        <f>SUM(L4:L11)</f>
        <v>2206837475.1399999</v>
      </c>
      <c r="M12" s="558">
        <f>SUM(M4:M11)</f>
        <v>152069307157.23395</v>
      </c>
      <c r="N12"/>
      <c r="O12"/>
      <c r="P12" s="26"/>
    </row>
    <row r="13" spans="1:16" s="59" customFormat="1" ht="12" customHeight="1">
      <c r="A13" s="220"/>
      <c r="B13" s="220"/>
      <c r="C13" s="220"/>
      <c r="D13" s="220"/>
      <c r="E13" s="220"/>
      <c r="F13" s="220"/>
      <c r="G13" s="220"/>
      <c r="H13" s="220"/>
      <c r="I13" s="220"/>
      <c r="J13" s="220"/>
      <c r="K13"/>
      <c r="L13"/>
      <c r="M13"/>
    </row>
    <row r="14" spans="1:16">
      <c r="A14" s="220"/>
      <c r="B14" s="220"/>
      <c r="C14" s="220"/>
      <c r="D14" s="220"/>
      <c r="E14" s="220"/>
      <c r="F14" s="220"/>
      <c r="G14" s="220"/>
      <c r="H14" s="220"/>
      <c r="I14" s="220"/>
      <c r="J14" s="220"/>
    </row>
    <row r="15" spans="1:16">
      <c r="A15" s="56"/>
      <c r="B15" s="151"/>
      <c r="C15" s="56"/>
      <c r="D15" s="56"/>
      <c r="E15" s="56"/>
      <c r="F15" s="56"/>
      <c r="G15" s="56"/>
      <c r="H15" s="56"/>
      <c r="I15" s="56"/>
      <c r="J15" s="56"/>
    </row>
    <row r="16" spans="1:16">
      <c r="A16" s="56"/>
      <c r="B16" s="151"/>
      <c r="C16" s="56"/>
      <c r="D16" s="56"/>
      <c r="E16" s="56"/>
      <c r="F16" s="56"/>
      <c r="G16" s="56"/>
      <c r="H16" s="56"/>
      <c r="I16" s="56"/>
      <c r="J16" s="56"/>
    </row>
    <row r="17" spans="1:15">
      <c r="A17" s="56"/>
      <c r="B17" s="151"/>
      <c r="C17" s="56"/>
      <c r="D17" s="56"/>
      <c r="E17" s="56"/>
      <c r="F17" s="56"/>
      <c r="G17" s="56"/>
      <c r="H17" s="56"/>
      <c r="I17" s="56"/>
      <c r="J17" s="56"/>
    </row>
    <row r="18" spans="1:15">
      <c r="A18" s="56"/>
      <c r="B18" s="151"/>
      <c r="C18" s="56"/>
      <c r="D18" s="56"/>
      <c r="E18" s="56"/>
      <c r="F18" s="56"/>
      <c r="G18" s="56"/>
      <c r="H18" s="56"/>
      <c r="I18" s="56"/>
      <c r="J18" s="56"/>
    </row>
    <row r="19" spans="1:15">
      <c r="A19" s="56"/>
      <c r="B19" s="151"/>
      <c r="C19" s="56"/>
      <c r="D19" s="56"/>
      <c r="E19" s="56"/>
      <c r="F19" s="56"/>
      <c r="G19" s="56"/>
      <c r="H19" s="56"/>
      <c r="I19" s="56"/>
      <c r="J19" s="56"/>
    </row>
    <row r="20" spans="1:15">
      <c r="C20" s="56"/>
      <c r="D20" s="56"/>
      <c r="E20" s="56"/>
      <c r="F20" s="56"/>
      <c r="G20" s="56"/>
      <c r="H20" s="56"/>
      <c r="I20" s="56"/>
      <c r="J20" s="56"/>
      <c r="K20" s="56"/>
      <c r="L20" s="56"/>
      <c r="M20" s="56"/>
      <c r="N20" s="56"/>
      <c r="O20" s="56"/>
    </row>
    <row r="22" spans="1:15">
      <c r="I22">
        <v>34093498.089999996</v>
      </c>
    </row>
    <row r="38" ht="58.5" customHeight="1"/>
    <row r="39" ht="51.75" customHeight="1"/>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legacy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T35" sqref="T35"/>
    </sheetView>
  </sheetViews>
  <sheetFormatPr baseColWidth="10" defaultColWidth="11.42578125" defaultRowHeight="15"/>
  <cols>
    <col min="1" max="1" width="17.5703125" style="128" customWidth="1"/>
    <col min="2" max="2" width="17.7109375" style="128" customWidth="1"/>
    <col min="3" max="3" width="12.42578125" style="128" customWidth="1"/>
    <col min="4" max="4" width="10.28515625" style="128" customWidth="1"/>
    <col min="5" max="5" width="10.5703125" style="128" customWidth="1"/>
    <col min="6" max="6" width="10.42578125" style="128" customWidth="1"/>
    <col min="7" max="7" width="11.7109375" style="128" customWidth="1"/>
    <col min="8" max="8" width="10.42578125" style="128" customWidth="1"/>
    <col min="9" max="9" width="16.140625" style="128" customWidth="1"/>
    <col min="10" max="10" width="11.140625" style="128" customWidth="1"/>
    <col min="11" max="11" width="12.5703125" style="128" customWidth="1"/>
    <col min="12" max="12" width="11.140625" style="128" customWidth="1"/>
    <col min="13" max="13" width="16.42578125" style="128" customWidth="1"/>
    <col min="14" max="14" width="12" style="128" customWidth="1"/>
    <col min="15" max="15" width="22" style="128" customWidth="1"/>
    <col min="16" max="16" width="27.7109375" style="128" customWidth="1"/>
    <col min="17" max="17" width="16.7109375" style="128" customWidth="1"/>
    <col min="18" max="18" width="15.28515625" style="128" customWidth="1"/>
    <col min="19" max="19" width="12.5703125" style="128" bestFit="1" customWidth="1"/>
    <col min="20" max="20" width="11.42578125" style="128"/>
    <col min="21" max="21" width="15.42578125" style="128" bestFit="1" customWidth="1"/>
    <col min="22" max="16384" width="11.42578125" style="128"/>
  </cols>
  <sheetData>
    <row r="1" spans="1:19" ht="87.75" customHeight="1">
      <c r="A1" s="2464" t="s">
        <v>1976</v>
      </c>
      <c r="B1" s="2464"/>
      <c r="C1" s="2464"/>
      <c r="D1" s="2464"/>
      <c r="E1" s="2464"/>
      <c r="F1" s="2464"/>
      <c r="G1" s="2464"/>
      <c r="H1" s="2464"/>
      <c r="I1" s="2464"/>
      <c r="J1" s="2464"/>
      <c r="K1" s="2464"/>
      <c r="L1" s="2464"/>
      <c r="M1" s="2464"/>
      <c r="N1" s="2464"/>
      <c r="O1" s="2464"/>
      <c r="P1" s="2464"/>
      <c r="Q1" s="2464"/>
    </row>
    <row r="2" spans="1:19" ht="4.5" customHeight="1">
      <c r="A2" s="79"/>
      <c r="B2" s="79"/>
      <c r="C2" s="79"/>
      <c r="D2" s="79"/>
      <c r="E2" s="79"/>
      <c r="F2" s="79"/>
      <c r="G2" s="79"/>
      <c r="H2" s="79"/>
      <c r="I2" s="79"/>
      <c r="J2" s="79"/>
      <c r="K2" s="79"/>
      <c r="L2" s="79"/>
      <c r="M2" s="79"/>
      <c r="N2" s="79"/>
      <c r="O2" s="79"/>
      <c r="P2" s="79"/>
      <c r="Q2" s="79"/>
      <c r="R2" s="79"/>
      <c r="S2" s="79"/>
    </row>
    <row r="3" spans="1:19" s="59" customFormat="1" ht="22.5" customHeight="1">
      <c r="A3" s="2465" t="s">
        <v>356</v>
      </c>
      <c r="B3" s="2465"/>
      <c r="C3" s="128"/>
      <c r="D3" s="128"/>
      <c r="E3" s="128"/>
      <c r="F3" s="79"/>
      <c r="G3" s="79"/>
      <c r="H3" s="79"/>
      <c r="I3" s="79"/>
      <c r="J3" s="79"/>
      <c r="K3" s="79"/>
      <c r="L3" s="79"/>
      <c r="M3" s="79"/>
      <c r="N3" s="79"/>
      <c r="O3" s="79"/>
      <c r="P3" s="79"/>
      <c r="Q3" s="79"/>
      <c r="R3" s="79"/>
      <c r="S3" s="79"/>
    </row>
    <row r="4" spans="1:19" s="59" customFormat="1" ht="19.5" customHeight="1">
      <c r="A4" s="1635" t="s">
        <v>355</v>
      </c>
      <c r="B4" s="1635" t="s">
        <v>357</v>
      </c>
      <c r="C4" s="128"/>
      <c r="D4" s="128"/>
      <c r="E4" s="128"/>
      <c r="F4" s="336"/>
      <c r="G4" s="83"/>
      <c r="H4" s="128"/>
      <c r="I4" s="151"/>
      <c r="J4" s="151"/>
      <c r="K4" s="151"/>
      <c r="L4" s="151"/>
      <c r="M4" s="128"/>
      <c r="N4" s="128"/>
      <c r="O4" s="128"/>
      <c r="P4" s="128"/>
      <c r="Q4" s="128"/>
      <c r="R4" s="236"/>
    </row>
    <row r="5" spans="1:19" s="59" customFormat="1" ht="18.75" hidden="1">
      <c r="A5" s="769">
        <v>2004</v>
      </c>
      <c r="B5" s="1213">
        <v>1348</v>
      </c>
      <c r="C5" s="128"/>
      <c r="D5" s="128"/>
      <c r="E5" s="128"/>
      <c r="F5" s="336"/>
      <c r="G5" s="83"/>
      <c r="H5" s="128"/>
      <c r="I5" s="151"/>
      <c r="J5" s="151"/>
      <c r="K5" s="151"/>
      <c r="L5" s="151"/>
      <c r="M5" s="128"/>
      <c r="N5" s="128"/>
      <c r="O5" s="128"/>
      <c r="P5" s="128"/>
      <c r="Q5" s="128"/>
      <c r="R5" s="236"/>
    </row>
    <row r="6" spans="1:19" s="59" customFormat="1" ht="18.75">
      <c r="A6" s="769">
        <v>2005</v>
      </c>
      <c r="B6" s="1213">
        <v>733</v>
      </c>
      <c r="C6" s="128"/>
      <c r="D6" s="128"/>
      <c r="E6" s="128"/>
      <c r="F6" s="336"/>
      <c r="G6" s="83"/>
      <c r="H6" s="128"/>
      <c r="I6" s="151"/>
      <c r="J6" s="151"/>
      <c r="K6" s="151"/>
      <c r="L6" s="151"/>
      <c r="M6" s="128"/>
      <c r="N6" s="128"/>
      <c r="O6" s="128"/>
      <c r="P6" s="128"/>
      <c r="Q6" s="128"/>
      <c r="R6" s="236"/>
    </row>
    <row r="7" spans="1:19" s="59" customFormat="1" ht="18.75">
      <c r="A7" s="769">
        <v>2006</v>
      </c>
      <c r="B7" s="1213">
        <v>1859</v>
      </c>
      <c r="C7" s="128"/>
      <c r="D7" s="128"/>
      <c r="E7" s="128"/>
      <c r="F7" s="336"/>
      <c r="G7" s="83"/>
      <c r="H7" s="128"/>
      <c r="I7" s="151"/>
      <c r="J7" s="151"/>
      <c r="K7" s="151"/>
      <c r="L7" s="151"/>
      <c r="M7" s="128"/>
      <c r="N7" s="128"/>
      <c r="O7" s="128"/>
      <c r="P7" s="128"/>
      <c r="Q7" s="128"/>
      <c r="R7" s="236"/>
    </row>
    <row r="8" spans="1:19" s="59" customFormat="1" ht="18.75">
      <c r="A8" s="769">
        <v>2007</v>
      </c>
      <c r="B8" s="1213">
        <v>1247</v>
      </c>
      <c r="C8" s="128"/>
      <c r="D8" s="128"/>
      <c r="E8" s="128"/>
      <c r="F8" s="336"/>
      <c r="G8" s="83"/>
      <c r="H8" s="128"/>
      <c r="I8" s="151"/>
      <c r="J8" s="151"/>
      <c r="K8" s="151"/>
      <c r="L8" s="151"/>
      <c r="M8" s="128"/>
      <c r="N8" s="128"/>
      <c r="O8" s="128"/>
      <c r="P8" s="128"/>
      <c r="Q8" s="128"/>
      <c r="R8" s="236"/>
    </row>
    <row r="9" spans="1:19" s="59" customFormat="1" ht="18.75">
      <c r="A9" s="769">
        <v>2008</v>
      </c>
      <c r="B9" s="1213">
        <v>1028</v>
      </c>
      <c r="C9" s="128"/>
      <c r="D9" s="128"/>
      <c r="E9" s="128"/>
      <c r="F9" s="336"/>
      <c r="G9" s="83"/>
      <c r="H9" s="128"/>
      <c r="I9" s="151"/>
      <c r="J9" s="151"/>
      <c r="K9" s="151"/>
      <c r="L9" s="151"/>
      <c r="M9" s="128"/>
      <c r="N9" s="128"/>
      <c r="O9" s="128"/>
      <c r="P9" s="128"/>
      <c r="Q9" s="128"/>
      <c r="R9" s="81"/>
      <c r="S9" s="82"/>
    </row>
    <row r="10" spans="1:19" s="59" customFormat="1" ht="18.75">
      <c r="A10" s="769">
        <v>2009</v>
      </c>
      <c r="B10" s="1213">
        <v>25287</v>
      </c>
      <c r="C10" s="128"/>
      <c r="D10" s="128"/>
      <c r="E10" s="128"/>
      <c r="F10" s="336"/>
      <c r="G10" s="83"/>
      <c r="H10" s="128"/>
      <c r="J10" s="151"/>
      <c r="K10" s="151"/>
      <c r="L10" s="151"/>
      <c r="M10" s="128"/>
      <c r="N10" s="128"/>
      <c r="O10" s="128"/>
      <c r="P10" s="128"/>
      <c r="Q10" s="128"/>
      <c r="R10" s="236"/>
    </row>
    <row r="11" spans="1:19" s="59" customFormat="1" ht="18.75">
      <c r="A11" s="769">
        <v>2010</v>
      </c>
      <c r="B11" s="1213">
        <v>10644</v>
      </c>
      <c r="C11" s="128"/>
      <c r="D11" s="128"/>
      <c r="E11" s="128"/>
      <c r="F11" s="494"/>
      <c r="G11" s="83"/>
      <c r="H11" s="128"/>
      <c r="I11" s="151"/>
      <c r="J11" s="151"/>
      <c r="K11" s="151"/>
      <c r="L11" s="151"/>
      <c r="M11" s="128"/>
      <c r="N11" s="128"/>
      <c r="O11" s="128"/>
      <c r="P11" s="128"/>
      <c r="Q11" s="128"/>
      <c r="R11" s="236"/>
    </row>
    <row r="12" spans="1:19" s="59" customFormat="1" ht="19.5" customHeight="1">
      <c r="A12" s="769">
        <v>2011</v>
      </c>
      <c r="B12" s="1213">
        <v>6268</v>
      </c>
      <c r="C12" s="128"/>
      <c r="D12" s="128"/>
      <c r="E12" s="128"/>
      <c r="G12" s="83"/>
      <c r="H12" s="128"/>
      <c r="I12" s="151"/>
      <c r="J12" s="151"/>
      <c r="K12" s="151"/>
      <c r="L12" s="151"/>
      <c r="M12" s="128"/>
      <c r="N12" s="128"/>
      <c r="O12" s="128"/>
      <c r="P12" s="128"/>
      <c r="Q12" s="128"/>
      <c r="R12" s="236"/>
    </row>
    <row r="13" spans="1:19" s="59" customFormat="1" ht="19.5" customHeight="1">
      <c r="A13" s="769" t="s">
        <v>1058</v>
      </c>
      <c r="B13" s="1213">
        <v>10046</v>
      </c>
      <c r="C13" s="128"/>
      <c r="D13" s="128"/>
      <c r="E13" s="128"/>
      <c r="G13" s="83"/>
      <c r="H13" s="128"/>
      <c r="I13" s="151"/>
      <c r="J13" s="151"/>
      <c r="K13" s="151"/>
      <c r="L13" s="151"/>
      <c r="M13" s="128"/>
      <c r="N13" s="128"/>
      <c r="O13" s="128"/>
      <c r="P13" s="128"/>
      <c r="Q13" s="128"/>
      <c r="R13" s="236"/>
    </row>
    <row r="14" spans="1:19" s="59" customFormat="1" ht="19.5" customHeight="1">
      <c r="A14" s="769" t="s">
        <v>1643</v>
      </c>
      <c r="B14" s="1213">
        <v>15740</v>
      </c>
      <c r="C14" s="128"/>
      <c r="D14" s="128"/>
      <c r="E14" s="128"/>
      <c r="G14" s="83"/>
      <c r="H14" s="128"/>
      <c r="I14" s="151"/>
      <c r="J14" s="151"/>
      <c r="K14" s="151"/>
      <c r="L14" s="151"/>
      <c r="M14" s="128"/>
      <c r="N14" s="128"/>
      <c r="O14" s="128"/>
      <c r="P14" s="128"/>
      <c r="Q14" s="128"/>
      <c r="R14" s="236"/>
    </row>
    <row r="15" spans="1:19" s="59" customFormat="1" ht="19.5" customHeight="1">
      <c r="A15" s="769" t="s">
        <v>1907</v>
      </c>
      <c r="B15" s="1213">
        <v>32227</v>
      </c>
      <c r="C15" s="128"/>
      <c r="D15" s="128"/>
      <c r="E15" s="128"/>
      <c r="G15" s="83"/>
      <c r="H15" s="128"/>
      <c r="I15" s="151"/>
      <c r="J15" s="151"/>
      <c r="K15" s="151"/>
      <c r="L15" s="151"/>
      <c r="M15" s="128"/>
      <c r="N15" s="128"/>
      <c r="O15" s="128"/>
      <c r="P15" s="128"/>
      <c r="Q15" s="128"/>
      <c r="R15" s="236"/>
    </row>
    <row r="16" spans="1:19" s="59" customFormat="1" ht="18.75">
      <c r="A16" s="770" t="s">
        <v>23</v>
      </c>
      <c r="B16" s="2106">
        <f>SUM(B6:B15)</f>
        <v>105079</v>
      </c>
      <c r="C16" s="128"/>
      <c r="D16" s="128"/>
      <c r="E16" s="128"/>
      <c r="F16" s="83"/>
      <c r="G16" s="83"/>
      <c r="H16" s="128"/>
      <c r="I16" s="151"/>
      <c r="J16" s="151"/>
      <c r="K16" s="151"/>
      <c r="L16" s="151"/>
      <c r="M16" s="128"/>
      <c r="N16" s="128"/>
      <c r="O16" s="128"/>
      <c r="P16" s="128"/>
      <c r="Q16" s="128"/>
      <c r="R16" s="236"/>
      <c r="S16" s="235"/>
    </row>
    <row r="17" spans="1:19" s="59" customFormat="1">
      <c r="A17" s="151"/>
      <c r="B17" s="151"/>
      <c r="C17" s="151"/>
      <c r="D17" s="151"/>
      <c r="E17" s="151"/>
      <c r="F17" s="151"/>
      <c r="G17" s="151"/>
      <c r="H17" s="151"/>
      <c r="I17" s="151"/>
      <c r="J17" s="151"/>
      <c r="K17" s="151"/>
      <c r="L17" s="151"/>
      <c r="M17" s="151"/>
      <c r="N17" s="151"/>
      <c r="O17" s="151"/>
      <c r="P17" s="151"/>
      <c r="Q17" s="151"/>
      <c r="R17" s="236"/>
      <c r="S17" s="235"/>
    </row>
    <row r="18" spans="1:19" s="59" customFormat="1">
      <c r="A18" s="151"/>
      <c r="B18" s="151"/>
      <c r="C18" s="70"/>
      <c r="D18" s="70"/>
      <c r="E18" s="70"/>
      <c r="F18" s="70"/>
      <c r="G18" s="90"/>
      <c r="H18" s="70"/>
      <c r="I18" s="90"/>
      <c r="J18" s="70"/>
      <c r="K18" s="70"/>
      <c r="L18" s="70"/>
      <c r="M18" s="70"/>
      <c r="N18" s="70"/>
      <c r="O18" s="70"/>
      <c r="P18" s="90"/>
      <c r="Q18" s="31"/>
      <c r="R18" s="236"/>
      <c r="S18" s="235"/>
    </row>
    <row r="19" spans="1:19" s="59" customFormat="1">
      <c r="A19" s="151"/>
      <c r="B19" s="151"/>
      <c r="C19" s="70"/>
      <c r="D19" s="70"/>
      <c r="E19" s="70"/>
      <c r="F19" s="70"/>
      <c r="G19" s="90"/>
      <c r="H19" s="70"/>
      <c r="I19" s="90"/>
      <c r="J19" s="70"/>
      <c r="K19" s="70"/>
      <c r="L19" s="70"/>
      <c r="M19" s="90"/>
      <c r="N19" s="70"/>
      <c r="O19" s="70"/>
      <c r="P19" s="70"/>
      <c r="Q19" s="70"/>
      <c r="R19" s="236"/>
      <c r="S19" s="235"/>
    </row>
    <row r="20" spans="1:19" s="59" customFormat="1">
      <c r="A20" s="151"/>
      <c r="B20" s="151"/>
      <c r="C20" s="70"/>
      <c r="D20" s="70"/>
      <c r="E20" s="70"/>
      <c r="F20" s="70"/>
      <c r="G20" s="90"/>
      <c r="H20" s="70"/>
      <c r="I20" s="90"/>
      <c r="J20" s="70"/>
      <c r="K20" s="70"/>
      <c r="L20" s="70"/>
      <c r="M20" s="90"/>
      <c r="N20" s="70"/>
      <c r="O20" s="70"/>
      <c r="P20" s="70"/>
      <c r="Q20" s="70"/>
      <c r="R20" s="236"/>
      <c r="S20" s="236"/>
    </row>
    <row r="21" spans="1:19" s="59" customFormat="1">
      <c r="A21" s="151"/>
      <c r="B21" s="151"/>
      <c r="C21" s="70"/>
      <c r="D21" s="70"/>
      <c r="E21" s="70"/>
      <c r="F21" s="70"/>
      <c r="G21" s="90"/>
      <c r="H21" s="70"/>
      <c r="I21" s="90"/>
      <c r="J21" s="70"/>
      <c r="K21" s="70"/>
      <c r="L21" s="70"/>
      <c r="M21" s="70"/>
      <c r="N21" s="70"/>
      <c r="O21" s="70"/>
      <c r="P21" s="90"/>
      <c r="Q21" s="70"/>
      <c r="R21" s="236"/>
      <c r="S21" s="236"/>
    </row>
    <row r="22" spans="1:19" s="59" customFormat="1">
      <c r="A22" s="151"/>
      <c r="B22" s="151"/>
      <c r="C22" s="70"/>
      <c r="D22" s="70"/>
      <c r="E22" s="70"/>
      <c r="F22" s="70"/>
      <c r="G22" s="90"/>
      <c r="H22" s="70"/>
      <c r="I22" s="90"/>
      <c r="J22" s="70"/>
      <c r="K22" s="70"/>
      <c r="L22" s="70"/>
      <c r="M22" s="90"/>
      <c r="N22" s="70"/>
      <c r="O22" s="70"/>
      <c r="P22" s="90"/>
      <c r="Q22" s="90"/>
      <c r="R22" s="236"/>
      <c r="S22" s="236"/>
    </row>
    <row r="23" spans="1:19" s="59" customFormat="1">
      <c r="A23" s="151"/>
      <c r="B23" s="151"/>
      <c r="C23" s="70"/>
      <c r="D23" s="70"/>
      <c r="E23" s="70"/>
      <c r="F23" s="70"/>
      <c r="G23" s="70"/>
      <c r="H23" s="70"/>
      <c r="I23" s="90"/>
      <c r="J23" s="70"/>
      <c r="K23" s="90"/>
      <c r="L23" s="90"/>
      <c r="M23" s="70"/>
      <c r="N23" s="70"/>
      <c r="O23" s="70"/>
      <c r="P23" s="70"/>
      <c r="Q23" s="70"/>
      <c r="R23" s="236"/>
      <c r="S23" s="236"/>
    </row>
    <row r="24" spans="1:19" s="59" customFormat="1">
      <c r="A24" s="151"/>
      <c r="B24" s="151"/>
      <c r="C24" s="70"/>
      <c r="D24" s="70"/>
      <c r="E24" s="70"/>
      <c r="F24" s="70"/>
      <c r="G24" s="70"/>
      <c r="H24" s="70"/>
      <c r="I24" s="90"/>
      <c r="J24" s="70"/>
      <c r="K24" s="70"/>
      <c r="L24" s="70"/>
      <c r="M24" s="90"/>
      <c r="N24" s="70"/>
      <c r="O24" s="70"/>
      <c r="P24" s="70"/>
      <c r="Q24" s="90"/>
      <c r="R24" s="236"/>
      <c r="S24" s="236"/>
    </row>
    <row r="25" spans="1:19" s="59" customFormat="1">
      <c r="A25" s="151"/>
      <c r="B25" s="151"/>
      <c r="C25" s="70"/>
      <c r="D25" s="70"/>
      <c r="E25" s="70"/>
      <c r="F25" s="70"/>
      <c r="G25" s="90"/>
      <c r="H25" s="70"/>
      <c r="I25" s="90"/>
      <c r="J25" s="70"/>
      <c r="K25" s="70"/>
      <c r="L25" s="70"/>
      <c r="M25" s="90"/>
      <c r="N25" s="70"/>
      <c r="O25" s="70"/>
      <c r="P25" s="70"/>
      <c r="Q25" s="90"/>
      <c r="R25" s="236"/>
      <c r="S25" s="236"/>
    </row>
    <row r="26" spans="1:19" s="59" customFormat="1">
      <c r="A26" s="151"/>
      <c r="B26" s="151"/>
      <c r="C26" s="151"/>
      <c r="D26" s="32"/>
      <c r="E26" s="32"/>
      <c r="F26" s="32"/>
      <c r="G26" s="33"/>
      <c r="H26" s="32"/>
      <c r="I26" s="33"/>
      <c r="J26" s="32"/>
      <c r="K26" s="33"/>
      <c r="L26" s="33"/>
      <c r="M26" s="33"/>
      <c r="N26" s="32"/>
      <c r="O26" s="32"/>
      <c r="P26" s="32"/>
      <c r="Q26" s="34"/>
      <c r="R26" s="236"/>
      <c r="S26" s="236"/>
    </row>
    <row r="27" spans="1:19" s="59" customFormat="1">
      <c r="A27" s="151"/>
      <c r="B27" s="151"/>
      <c r="C27" s="70"/>
      <c r="D27" s="70"/>
      <c r="E27" s="70"/>
      <c r="F27" s="70"/>
      <c r="G27" s="90"/>
      <c r="H27" s="70"/>
      <c r="I27" s="90"/>
      <c r="J27" s="70"/>
      <c r="K27" s="70"/>
      <c r="L27" s="70"/>
      <c r="M27" s="90"/>
      <c r="N27" s="70"/>
      <c r="O27" s="70"/>
      <c r="P27" s="90"/>
      <c r="Q27" s="90"/>
      <c r="R27" s="236"/>
      <c r="S27" s="236"/>
    </row>
    <row r="28" spans="1:19" s="59" customFormat="1">
      <c r="A28" s="151"/>
      <c r="B28" s="151"/>
      <c r="C28" s="151"/>
      <c r="D28" s="151"/>
      <c r="E28" s="151"/>
      <c r="F28" s="151"/>
      <c r="G28" s="151"/>
      <c r="H28" s="151"/>
      <c r="I28" s="151"/>
      <c r="J28" s="151"/>
      <c r="K28" s="151"/>
      <c r="L28" s="151"/>
      <c r="M28" s="151"/>
      <c r="N28" s="151"/>
      <c r="O28" s="151"/>
      <c r="P28" s="151"/>
      <c r="Q28" s="151"/>
      <c r="R28" s="236"/>
      <c r="S28" s="236"/>
    </row>
    <row r="29" spans="1:19" s="59" customFormat="1">
      <c r="A29" s="151"/>
      <c r="B29" s="151"/>
      <c r="C29" s="151"/>
      <c r="D29" s="151"/>
      <c r="E29" s="151"/>
      <c r="F29" s="151"/>
      <c r="G29" s="151"/>
      <c r="H29" s="151"/>
      <c r="I29" s="151"/>
      <c r="J29" s="151"/>
      <c r="K29" s="151"/>
      <c r="L29" s="151"/>
      <c r="M29" s="151"/>
      <c r="N29" s="151"/>
      <c r="O29" s="151"/>
      <c r="P29" s="151"/>
      <c r="Q29" s="151"/>
      <c r="R29" s="236"/>
      <c r="S29" s="236"/>
    </row>
    <row r="30" spans="1:19" s="59" customFormat="1">
      <c r="A30" s="151"/>
      <c r="B30" s="151"/>
      <c r="C30" s="151"/>
      <c r="D30" s="151"/>
      <c r="E30" s="151"/>
      <c r="F30" s="151"/>
      <c r="G30" s="151"/>
      <c r="H30" s="151"/>
      <c r="I30" s="151"/>
      <c r="J30" s="151"/>
      <c r="K30" s="151"/>
      <c r="L30" s="151"/>
      <c r="M30" s="151"/>
      <c r="N30" s="151"/>
      <c r="O30" s="151"/>
      <c r="P30" s="151"/>
      <c r="Q30" s="151"/>
      <c r="R30" s="236"/>
      <c r="S30" s="236"/>
    </row>
    <row r="31" spans="1:19" s="59" customFormat="1">
      <c r="A31" s="151"/>
      <c r="B31" s="151"/>
      <c r="C31" s="151"/>
      <c r="D31" s="151"/>
      <c r="E31" s="151"/>
      <c r="F31" s="151"/>
      <c r="G31" s="151"/>
      <c r="H31" s="151"/>
      <c r="I31" s="151"/>
      <c r="J31" s="151"/>
      <c r="K31" s="151"/>
      <c r="L31" s="151"/>
      <c r="M31" s="151"/>
      <c r="N31" s="151"/>
      <c r="O31" s="151"/>
      <c r="P31" s="151"/>
      <c r="Q31" s="151"/>
      <c r="R31" s="236"/>
      <c r="S31" s="236"/>
    </row>
    <row r="32" spans="1:19" s="59" customFormat="1">
      <c r="A32" s="151"/>
      <c r="B32" s="151"/>
      <c r="C32" s="151"/>
      <c r="D32" s="151"/>
      <c r="E32" s="151"/>
      <c r="F32" s="151"/>
      <c r="G32" s="151"/>
      <c r="H32" s="151"/>
      <c r="I32" s="151"/>
      <c r="J32" s="151"/>
      <c r="K32" s="151"/>
      <c r="L32" s="151"/>
      <c r="M32" s="151"/>
      <c r="N32" s="151"/>
      <c r="O32" s="151"/>
      <c r="P32" s="151"/>
      <c r="Q32" s="151"/>
      <c r="R32" s="236"/>
      <c r="S32" s="236"/>
    </row>
    <row r="33" spans="1:21" s="59" customFormat="1">
      <c r="A33" s="151"/>
      <c r="B33" s="151"/>
      <c r="C33" s="151"/>
      <c r="D33" s="151"/>
      <c r="E33" s="151"/>
      <c r="F33" s="151"/>
      <c r="G33" s="151"/>
      <c r="H33" s="151"/>
      <c r="I33" s="151"/>
      <c r="J33" s="151"/>
      <c r="K33" s="151"/>
      <c r="L33" s="151"/>
      <c r="M33" s="151"/>
      <c r="N33" s="151"/>
      <c r="O33" s="151"/>
      <c r="P33" s="151"/>
      <c r="Q33" s="151"/>
      <c r="R33" s="236"/>
      <c r="S33" s="236"/>
    </row>
    <row r="34" spans="1:21" s="59" customFormat="1">
      <c r="A34" s="151"/>
      <c r="B34" s="151"/>
      <c r="C34" s="151"/>
      <c r="D34" s="151"/>
      <c r="E34" s="151"/>
      <c r="F34" s="151"/>
      <c r="G34" s="151"/>
      <c r="H34" s="151"/>
      <c r="I34" s="151"/>
      <c r="J34" s="151"/>
      <c r="K34" s="151"/>
      <c r="L34" s="151"/>
      <c r="M34" s="151"/>
      <c r="N34" s="151"/>
      <c r="O34" s="151"/>
      <c r="P34" s="151"/>
      <c r="Q34" s="151"/>
    </row>
    <row r="35" spans="1:21" s="59" customFormat="1">
      <c r="A35" s="151"/>
      <c r="B35" s="151"/>
      <c r="C35" s="151"/>
      <c r="D35" s="151"/>
      <c r="E35" s="151"/>
      <c r="F35" s="151"/>
      <c r="G35" s="151"/>
      <c r="H35" s="151"/>
      <c r="I35" s="151"/>
      <c r="J35" s="151"/>
      <c r="K35" s="151"/>
      <c r="L35" s="151"/>
      <c r="M35" s="151"/>
      <c r="N35" s="151"/>
      <c r="O35" s="151"/>
      <c r="P35" s="151"/>
      <c r="Q35" s="151"/>
    </row>
    <row r="36" spans="1:21" s="59" customFormat="1">
      <c r="A36" s="151"/>
      <c r="B36" s="151"/>
      <c r="C36" s="151"/>
      <c r="D36" s="151"/>
      <c r="E36" s="151"/>
      <c r="F36" s="151"/>
      <c r="G36" s="151"/>
      <c r="H36" s="151"/>
      <c r="I36" s="151"/>
      <c r="J36" s="151"/>
      <c r="K36" s="151"/>
      <c r="L36" s="151"/>
      <c r="M36" s="151"/>
      <c r="N36" s="151"/>
      <c r="O36" s="151"/>
      <c r="P36" s="151"/>
      <c r="Q36" s="151"/>
      <c r="U36" s="141"/>
    </row>
    <row r="37" spans="1:21" s="59" customFormat="1">
      <c r="A37" s="128"/>
      <c r="B37" s="128"/>
      <c r="C37" s="128"/>
      <c r="D37" s="128"/>
      <c r="E37" s="128"/>
      <c r="F37" s="128"/>
      <c r="G37" s="128"/>
      <c r="H37" s="128"/>
      <c r="I37" s="128"/>
      <c r="J37" s="128"/>
      <c r="K37" s="128"/>
      <c r="L37" s="128"/>
      <c r="M37" s="128"/>
      <c r="N37" s="128"/>
      <c r="O37" s="128"/>
      <c r="P37" s="128"/>
      <c r="Q37" s="128"/>
    </row>
    <row r="38" spans="1:21" s="59" customFormat="1">
      <c r="A38" s="128"/>
      <c r="B38" s="128"/>
      <c r="C38" s="128"/>
      <c r="D38" s="128"/>
      <c r="E38" s="128"/>
      <c r="F38" s="128"/>
      <c r="G38" s="128"/>
      <c r="H38" s="128"/>
      <c r="I38" s="128"/>
      <c r="J38" s="128"/>
      <c r="K38" s="128"/>
      <c r="L38" s="128"/>
      <c r="M38" s="128"/>
      <c r="N38" s="128"/>
      <c r="O38" s="128"/>
      <c r="P38" s="128"/>
      <c r="Q38" s="128"/>
    </row>
    <row r="39" spans="1:21" s="59" customFormat="1">
      <c r="A39" s="128"/>
      <c r="B39" s="128"/>
      <c r="C39" s="128"/>
      <c r="D39" s="128"/>
      <c r="E39" s="128"/>
      <c r="F39" s="128"/>
      <c r="G39" s="128"/>
      <c r="H39" s="128"/>
      <c r="I39" s="128"/>
      <c r="J39" s="128"/>
      <c r="K39" s="128"/>
      <c r="L39" s="128"/>
      <c r="M39" s="128"/>
      <c r="N39" s="128"/>
      <c r="O39" s="128"/>
      <c r="P39" s="128"/>
      <c r="Q39" s="128"/>
    </row>
    <row r="40" spans="1:21" s="59" customFormat="1">
      <c r="A40" s="128"/>
      <c r="B40" s="128"/>
      <c r="C40" s="128"/>
      <c r="D40" s="128"/>
      <c r="E40" s="128"/>
      <c r="F40" s="128"/>
      <c r="G40" s="128"/>
      <c r="H40" s="128"/>
      <c r="I40" s="128"/>
      <c r="J40" s="128"/>
      <c r="K40" s="128"/>
      <c r="L40" s="128"/>
      <c r="M40" s="128"/>
      <c r="N40" s="128"/>
      <c r="O40" s="128"/>
      <c r="P40" s="128"/>
      <c r="Q40" s="128"/>
    </row>
    <row r="41" spans="1:21" s="59" customFormat="1">
      <c r="A41" s="128"/>
      <c r="B41" s="128"/>
      <c r="C41" s="128"/>
      <c r="D41" s="128"/>
      <c r="E41" s="128"/>
      <c r="F41" s="128"/>
      <c r="G41" s="128"/>
      <c r="H41" s="128"/>
      <c r="I41" s="128"/>
      <c r="J41" s="128"/>
      <c r="K41" s="128"/>
      <c r="L41" s="128"/>
      <c r="M41" s="128"/>
      <c r="N41" s="128"/>
      <c r="O41" s="128"/>
      <c r="P41" s="128"/>
      <c r="Q41" s="128"/>
    </row>
    <row r="42" spans="1:21" s="59" customFormat="1">
      <c r="A42" s="128"/>
      <c r="B42" s="128"/>
      <c r="C42" s="128"/>
      <c r="D42" s="128"/>
      <c r="E42" s="128"/>
      <c r="F42" s="128"/>
      <c r="G42" s="128"/>
      <c r="H42" s="128"/>
      <c r="I42" s="128"/>
      <c r="J42" s="128"/>
      <c r="K42" s="128"/>
      <c r="L42" s="128"/>
      <c r="M42" s="128"/>
      <c r="N42" s="128"/>
      <c r="O42" s="128"/>
      <c r="P42" s="128"/>
      <c r="Q42" s="128"/>
    </row>
    <row r="43" spans="1:21" s="59" customFormat="1">
      <c r="A43" s="128"/>
      <c r="B43" s="128"/>
      <c r="C43" s="128"/>
      <c r="D43" s="128"/>
      <c r="E43" s="128"/>
      <c r="F43" s="128"/>
      <c r="G43" s="128"/>
      <c r="H43" s="128"/>
      <c r="I43" s="128"/>
      <c r="J43" s="128"/>
      <c r="K43" s="128"/>
      <c r="L43" s="128"/>
      <c r="M43" s="128"/>
      <c r="N43" s="128"/>
      <c r="O43" s="128"/>
      <c r="P43" s="128"/>
      <c r="Q43" s="128"/>
    </row>
    <row r="44" spans="1:21" s="59" customFormat="1">
      <c r="A44" s="128"/>
      <c r="B44" s="128"/>
      <c r="C44" s="128"/>
      <c r="D44" s="128"/>
      <c r="E44" s="128"/>
      <c r="F44" s="128"/>
      <c r="G44" s="128"/>
      <c r="H44" s="128"/>
      <c r="I44" s="128"/>
      <c r="J44" s="128"/>
      <c r="K44" s="128"/>
      <c r="L44" s="128"/>
      <c r="M44" s="128"/>
      <c r="N44" s="128"/>
      <c r="O44" s="128"/>
      <c r="P44" s="128"/>
      <c r="Q44" s="128"/>
    </row>
    <row r="45" spans="1:21" s="59" customFormat="1">
      <c r="A45" s="128"/>
      <c r="B45" s="128"/>
      <c r="C45" s="128"/>
      <c r="D45" s="128"/>
      <c r="E45" s="128"/>
      <c r="F45" s="128"/>
      <c r="G45" s="128"/>
      <c r="H45" s="128"/>
      <c r="I45" s="128"/>
      <c r="J45" s="128"/>
      <c r="K45" s="128"/>
      <c r="L45" s="128"/>
      <c r="M45" s="128"/>
      <c r="N45" s="128"/>
      <c r="O45" s="128"/>
      <c r="P45" s="128"/>
      <c r="Q45" s="128"/>
    </row>
    <row r="46" spans="1:21" s="59" customFormat="1">
      <c r="A46" s="128"/>
      <c r="B46" s="128"/>
      <c r="C46" s="128"/>
      <c r="D46" s="128"/>
      <c r="E46" s="128"/>
      <c r="F46" s="128"/>
      <c r="G46" s="128"/>
      <c r="H46" s="128"/>
      <c r="I46" s="128"/>
      <c r="J46" s="128"/>
      <c r="K46" s="128"/>
      <c r="L46" s="128"/>
      <c r="M46" s="128"/>
      <c r="N46" s="128"/>
      <c r="O46" s="128"/>
      <c r="P46" s="128"/>
      <c r="Q46" s="128"/>
    </row>
    <row r="47" spans="1:21" s="59" customFormat="1">
      <c r="A47" s="128"/>
      <c r="B47" s="128"/>
      <c r="C47" s="128"/>
      <c r="D47" s="128"/>
      <c r="E47" s="128"/>
      <c r="F47" s="128"/>
      <c r="G47" s="128"/>
      <c r="H47" s="128"/>
      <c r="I47" s="128"/>
      <c r="J47" s="128"/>
      <c r="K47" s="128"/>
      <c r="L47" s="128"/>
      <c r="M47" s="128"/>
      <c r="N47" s="128"/>
      <c r="O47" s="128"/>
      <c r="P47" s="128"/>
      <c r="Q47" s="128"/>
    </row>
    <row r="48" spans="1:21" s="59" customFormat="1">
      <c r="A48" s="128"/>
      <c r="B48" s="128"/>
      <c r="C48" s="128"/>
      <c r="D48" s="128"/>
      <c r="E48" s="128"/>
      <c r="F48" s="128"/>
      <c r="G48" s="128"/>
      <c r="H48" s="128"/>
      <c r="I48" s="128"/>
      <c r="J48" s="128"/>
      <c r="K48" s="128"/>
      <c r="L48" s="128"/>
      <c r="M48" s="128"/>
      <c r="N48" s="128"/>
      <c r="O48" s="128"/>
      <c r="P48" s="128"/>
      <c r="Q48" s="128"/>
    </row>
    <row r="49" spans="1:17" s="59" customFormat="1">
      <c r="A49" s="128"/>
      <c r="B49" s="128"/>
      <c r="C49" s="128"/>
      <c r="D49" s="128"/>
      <c r="E49" s="128"/>
      <c r="F49" s="128"/>
      <c r="G49" s="128"/>
      <c r="H49" s="128"/>
      <c r="I49" s="128"/>
      <c r="J49" s="128"/>
      <c r="K49" s="128"/>
      <c r="L49" s="128"/>
      <c r="M49" s="128"/>
      <c r="N49" s="128"/>
      <c r="O49" s="128"/>
      <c r="P49" s="128"/>
      <c r="Q49" s="128"/>
    </row>
    <row r="50" spans="1:17" s="59" customFormat="1">
      <c r="A50" s="128"/>
      <c r="B50" s="128"/>
      <c r="C50" s="128"/>
      <c r="D50" s="128"/>
      <c r="E50" s="128"/>
      <c r="F50" s="128"/>
      <c r="G50" s="128"/>
      <c r="H50" s="128"/>
      <c r="I50" s="128"/>
      <c r="J50" s="128"/>
      <c r="K50" s="128"/>
      <c r="L50" s="128"/>
      <c r="M50" s="128"/>
      <c r="N50" s="128"/>
      <c r="O50" s="128"/>
      <c r="P50" s="128"/>
      <c r="Q50" s="128"/>
    </row>
    <row r="51" spans="1:17" s="59" customFormat="1">
      <c r="A51" s="128"/>
      <c r="B51" s="128"/>
      <c r="C51" s="128"/>
      <c r="D51" s="128"/>
      <c r="E51" s="128"/>
      <c r="F51" s="128"/>
      <c r="G51" s="128"/>
      <c r="H51" s="128"/>
      <c r="I51" s="128"/>
      <c r="J51" s="128"/>
      <c r="K51" s="128"/>
      <c r="L51" s="128"/>
      <c r="M51" s="128"/>
      <c r="N51" s="128"/>
      <c r="O51" s="128"/>
      <c r="P51" s="128"/>
      <c r="Q51" s="128"/>
    </row>
    <row r="52" spans="1:17" s="59" customFormat="1">
      <c r="A52" s="128"/>
      <c r="B52" s="128"/>
      <c r="C52" s="128"/>
      <c r="D52" s="128"/>
      <c r="E52" s="128"/>
      <c r="F52" s="128"/>
      <c r="G52" s="128"/>
      <c r="H52" s="128"/>
      <c r="I52" s="128"/>
      <c r="J52" s="128"/>
      <c r="K52" s="128"/>
      <c r="L52" s="128"/>
      <c r="M52" s="128"/>
      <c r="N52" s="128"/>
      <c r="O52" s="128"/>
      <c r="P52" s="128"/>
      <c r="Q52" s="128"/>
    </row>
    <row r="53" spans="1:17" s="59" customFormat="1">
      <c r="A53" s="128"/>
      <c r="B53" s="128"/>
      <c r="C53" s="128"/>
      <c r="D53" s="128"/>
      <c r="E53" s="128"/>
      <c r="F53" s="128"/>
      <c r="G53" s="128"/>
      <c r="H53" s="128"/>
      <c r="I53" s="128"/>
      <c r="J53" s="128"/>
      <c r="K53" s="128"/>
      <c r="L53" s="128"/>
      <c r="M53" s="128"/>
      <c r="N53" s="128"/>
      <c r="O53" s="128"/>
      <c r="P53" s="128"/>
      <c r="Q53" s="128"/>
    </row>
    <row r="54" spans="1:17" s="59" customFormat="1">
      <c r="A54" s="128"/>
      <c r="B54" s="128"/>
      <c r="C54" s="128"/>
      <c r="D54" s="128"/>
      <c r="E54" s="128"/>
      <c r="F54" s="128"/>
      <c r="G54" s="128"/>
      <c r="H54" s="128"/>
      <c r="I54" s="128"/>
      <c r="J54" s="128"/>
      <c r="K54" s="128"/>
      <c r="L54" s="128"/>
      <c r="M54" s="128"/>
      <c r="N54" s="128"/>
      <c r="O54" s="128"/>
      <c r="P54" s="128"/>
      <c r="Q54" s="128"/>
    </row>
    <row r="55" spans="1:17" s="59" customFormat="1">
      <c r="A55" s="128"/>
      <c r="B55" s="128"/>
      <c r="C55" s="128"/>
      <c r="D55" s="128"/>
      <c r="E55" s="128"/>
      <c r="F55" s="128"/>
      <c r="G55" s="128"/>
      <c r="H55" s="128"/>
      <c r="I55" s="128"/>
      <c r="J55" s="128"/>
      <c r="K55" s="128"/>
      <c r="L55" s="128"/>
      <c r="M55" s="128"/>
      <c r="N55" s="128"/>
      <c r="O55" s="128"/>
      <c r="P55" s="128"/>
      <c r="Q55" s="128"/>
    </row>
    <row r="56" spans="1:17" s="59" customFormat="1">
      <c r="A56" s="128"/>
      <c r="B56" s="128"/>
      <c r="C56" s="128"/>
      <c r="D56" s="128"/>
      <c r="E56" s="128"/>
      <c r="F56" s="128"/>
      <c r="G56" s="128"/>
      <c r="H56" s="128"/>
      <c r="I56" s="128"/>
      <c r="J56" s="128"/>
      <c r="K56" s="128"/>
      <c r="L56" s="128"/>
      <c r="M56" s="128"/>
      <c r="N56" s="128"/>
      <c r="O56" s="128"/>
      <c r="P56" s="128"/>
      <c r="Q56" s="128"/>
    </row>
    <row r="57" spans="1:17" s="59" customFormat="1">
      <c r="A57" s="128"/>
      <c r="B57" s="128"/>
      <c r="C57" s="128"/>
      <c r="D57" s="128"/>
      <c r="E57" s="128"/>
      <c r="F57" s="128"/>
      <c r="G57" s="128"/>
      <c r="H57" s="128"/>
      <c r="I57" s="128"/>
      <c r="J57" s="128"/>
      <c r="K57" s="128"/>
      <c r="L57" s="128"/>
      <c r="M57" s="128"/>
      <c r="N57" s="128"/>
      <c r="O57" s="128"/>
      <c r="P57" s="128"/>
      <c r="Q57" s="128"/>
    </row>
    <row r="58" spans="1:17" s="59" customFormat="1">
      <c r="A58" s="128"/>
      <c r="B58" s="128"/>
      <c r="C58" s="128"/>
      <c r="D58" s="128"/>
      <c r="E58" s="128"/>
      <c r="F58" s="128"/>
      <c r="G58" s="128"/>
      <c r="H58" s="128"/>
      <c r="I58" s="128"/>
      <c r="J58" s="128"/>
      <c r="K58" s="128"/>
      <c r="L58" s="128"/>
      <c r="M58" s="128"/>
      <c r="N58" s="128"/>
      <c r="O58" s="128"/>
      <c r="P58" s="128"/>
      <c r="Q58" s="128"/>
    </row>
    <row r="59" spans="1:17" s="59" customFormat="1">
      <c r="A59" s="128"/>
      <c r="B59" s="128"/>
      <c r="C59" s="128"/>
      <c r="D59" s="128"/>
      <c r="E59" s="128"/>
      <c r="F59" s="128"/>
      <c r="G59" s="128"/>
      <c r="H59" s="128"/>
      <c r="I59" s="128"/>
      <c r="J59" s="128"/>
      <c r="K59" s="128"/>
      <c r="L59" s="128"/>
      <c r="M59" s="128"/>
      <c r="N59" s="128"/>
      <c r="O59" s="128"/>
      <c r="P59" s="128"/>
      <c r="Q59" s="128"/>
    </row>
    <row r="60" spans="1:17" s="59" customFormat="1">
      <c r="A60" s="128"/>
      <c r="B60" s="128"/>
      <c r="C60" s="128"/>
      <c r="D60" s="128"/>
      <c r="E60" s="128"/>
      <c r="F60" s="128"/>
      <c r="G60" s="128"/>
      <c r="H60" s="128"/>
      <c r="I60" s="128"/>
      <c r="J60" s="128"/>
      <c r="K60" s="128"/>
      <c r="L60" s="128"/>
      <c r="M60" s="128"/>
      <c r="N60" s="128"/>
      <c r="O60" s="128"/>
      <c r="P60" s="128"/>
      <c r="Q60" s="128"/>
    </row>
    <row r="61" spans="1:17" s="59" customFormat="1">
      <c r="A61" s="128"/>
      <c r="B61" s="128"/>
      <c r="C61" s="128"/>
      <c r="D61" s="128"/>
      <c r="E61" s="128"/>
      <c r="F61" s="128"/>
      <c r="G61" s="128"/>
      <c r="H61" s="128"/>
      <c r="I61" s="128"/>
      <c r="J61" s="128"/>
      <c r="K61" s="128"/>
      <c r="L61" s="128"/>
      <c r="M61" s="128"/>
      <c r="N61" s="128"/>
      <c r="O61" s="128"/>
      <c r="P61" s="128"/>
      <c r="Q61" s="128"/>
    </row>
    <row r="62" spans="1:17" s="59" customFormat="1">
      <c r="A62" s="128"/>
      <c r="B62" s="128"/>
      <c r="C62" s="128"/>
      <c r="D62" s="128"/>
      <c r="E62" s="128"/>
      <c r="F62" s="128"/>
      <c r="G62" s="128"/>
      <c r="H62" s="128"/>
      <c r="I62" s="128"/>
      <c r="J62" s="128"/>
      <c r="K62" s="128"/>
      <c r="L62" s="128"/>
      <c r="M62" s="128"/>
      <c r="N62" s="128"/>
      <c r="O62" s="128"/>
      <c r="P62" s="128"/>
      <c r="Q62" s="128"/>
    </row>
    <row r="63" spans="1:17" s="59" customFormat="1">
      <c r="A63" s="128"/>
      <c r="B63" s="128"/>
      <c r="C63" s="128"/>
      <c r="D63" s="128"/>
      <c r="E63" s="128"/>
      <c r="F63" s="128"/>
      <c r="G63" s="128"/>
      <c r="H63" s="128"/>
      <c r="I63" s="128"/>
      <c r="J63" s="128"/>
      <c r="K63" s="128"/>
      <c r="L63" s="128"/>
      <c r="M63" s="128"/>
      <c r="N63" s="128"/>
      <c r="O63" s="128"/>
      <c r="P63" s="128"/>
      <c r="Q63" s="128"/>
    </row>
    <row r="64" spans="1:17" s="59" customFormat="1">
      <c r="A64" s="128"/>
      <c r="B64" s="128"/>
      <c r="C64" s="128"/>
      <c r="D64" s="128"/>
      <c r="E64" s="128"/>
      <c r="F64" s="128"/>
      <c r="G64" s="128"/>
      <c r="H64" s="128"/>
      <c r="I64" s="128"/>
      <c r="J64" s="128"/>
      <c r="K64" s="128"/>
      <c r="L64" s="128"/>
      <c r="M64" s="128"/>
      <c r="N64" s="128"/>
      <c r="O64" s="128"/>
      <c r="P64" s="128"/>
      <c r="Q64" s="128"/>
    </row>
    <row r="65" spans="1:17" s="59" customFormat="1">
      <c r="A65" s="128"/>
      <c r="B65" s="128"/>
      <c r="C65" s="128"/>
      <c r="D65" s="128"/>
      <c r="E65" s="128"/>
      <c r="F65" s="128"/>
      <c r="G65" s="128"/>
      <c r="H65" s="128"/>
      <c r="I65" s="128"/>
      <c r="J65" s="128"/>
      <c r="K65" s="128"/>
      <c r="L65" s="128"/>
      <c r="M65" s="128"/>
      <c r="N65" s="128"/>
      <c r="O65" s="128"/>
      <c r="P65" s="128"/>
      <c r="Q65" s="128"/>
    </row>
    <row r="66" spans="1:17" s="59" customFormat="1">
      <c r="A66" s="128"/>
      <c r="B66" s="128"/>
      <c r="C66" s="128"/>
      <c r="D66" s="128"/>
      <c r="E66" s="128"/>
      <c r="F66" s="128"/>
      <c r="G66" s="128"/>
      <c r="H66" s="128"/>
      <c r="I66" s="128"/>
      <c r="J66" s="128"/>
      <c r="K66" s="128"/>
      <c r="L66" s="128"/>
      <c r="M66" s="128"/>
      <c r="N66" s="128"/>
      <c r="O66" s="128"/>
      <c r="P66" s="128"/>
      <c r="Q66" s="128"/>
    </row>
    <row r="67" spans="1:17" s="59" customFormat="1">
      <c r="A67" s="128"/>
      <c r="B67" s="128"/>
      <c r="C67" s="128"/>
      <c r="D67" s="128"/>
      <c r="E67" s="128"/>
      <c r="F67" s="128"/>
      <c r="G67" s="128"/>
      <c r="H67" s="128"/>
      <c r="I67" s="128"/>
      <c r="J67" s="128"/>
      <c r="K67" s="128"/>
      <c r="L67" s="128"/>
      <c r="M67" s="128"/>
      <c r="N67" s="128"/>
      <c r="O67" s="128"/>
      <c r="P67" s="128"/>
      <c r="Q67" s="128"/>
    </row>
    <row r="68" spans="1:17" s="59" customFormat="1">
      <c r="A68" s="128"/>
      <c r="B68" s="128"/>
      <c r="C68" s="128"/>
      <c r="D68" s="128"/>
      <c r="E68" s="128"/>
      <c r="F68" s="128"/>
      <c r="G68" s="128"/>
      <c r="H68" s="128"/>
      <c r="I68" s="128"/>
      <c r="J68" s="128"/>
      <c r="K68" s="128"/>
      <c r="L68" s="128"/>
      <c r="M68" s="128"/>
      <c r="N68" s="128"/>
      <c r="O68" s="128"/>
      <c r="P68" s="128"/>
      <c r="Q68" s="128"/>
    </row>
    <row r="69" spans="1:17" s="59" customFormat="1">
      <c r="A69" s="128"/>
      <c r="B69" s="128"/>
      <c r="C69" s="128"/>
      <c r="D69" s="128"/>
      <c r="E69" s="128"/>
      <c r="F69" s="128"/>
      <c r="G69" s="128"/>
      <c r="H69" s="128"/>
      <c r="I69" s="128"/>
      <c r="J69" s="128"/>
      <c r="K69" s="128"/>
      <c r="L69" s="128"/>
      <c r="M69" s="128"/>
      <c r="N69" s="128"/>
      <c r="O69" s="128"/>
      <c r="P69" s="128"/>
      <c r="Q69" s="128"/>
    </row>
    <row r="70" spans="1:17" s="59" customFormat="1">
      <c r="A70" s="128"/>
      <c r="B70" s="128"/>
      <c r="C70" s="128"/>
      <c r="D70" s="128"/>
      <c r="E70" s="128"/>
      <c r="F70" s="128"/>
      <c r="G70" s="128"/>
      <c r="H70" s="128"/>
      <c r="I70" s="128"/>
      <c r="J70" s="128"/>
      <c r="K70" s="128"/>
      <c r="L70" s="128"/>
      <c r="M70" s="128"/>
      <c r="N70" s="128"/>
      <c r="O70" s="128"/>
      <c r="P70" s="128"/>
      <c r="Q70" s="128"/>
    </row>
    <row r="71" spans="1:17" s="59" customFormat="1">
      <c r="A71" s="128"/>
      <c r="B71" s="128"/>
      <c r="C71" s="128"/>
      <c r="D71" s="128"/>
      <c r="E71" s="128"/>
      <c r="F71" s="128"/>
      <c r="G71" s="128"/>
      <c r="H71" s="128"/>
      <c r="I71" s="128"/>
      <c r="J71" s="128"/>
      <c r="K71" s="128"/>
      <c r="L71" s="128"/>
      <c r="M71" s="128"/>
      <c r="N71" s="128"/>
      <c r="O71" s="128"/>
      <c r="P71" s="128"/>
      <c r="Q71" s="128"/>
    </row>
    <row r="72" spans="1:17" s="59" customFormat="1">
      <c r="A72" s="128"/>
      <c r="B72" s="128"/>
      <c r="C72" s="128"/>
      <c r="D72" s="128"/>
      <c r="E72" s="128"/>
      <c r="F72" s="128"/>
      <c r="G72" s="128"/>
      <c r="H72" s="128"/>
      <c r="I72" s="128"/>
      <c r="J72" s="128"/>
      <c r="K72" s="128"/>
      <c r="L72" s="128"/>
      <c r="M72" s="128"/>
      <c r="N72" s="128"/>
      <c r="O72" s="128"/>
      <c r="P72" s="128"/>
      <c r="Q72" s="128"/>
    </row>
    <row r="73" spans="1:17" s="59" customFormat="1">
      <c r="A73" s="128"/>
      <c r="B73" s="128"/>
      <c r="C73" s="128"/>
      <c r="D73" s="128"/>
      <c r="E73" s="128"/>
      <c r="F73" s="128"/>
      <c r="G73" s="128"/>
      <c r="H73" s="128"/>
      <c r="I73" s="128"/>
      <c r="J73" s="128"/>
      <c r="K73" s="128"/>
      <c r="L73" s="128"/>
      <c r="M73" s="128"/>
      <c r="N73" s="128"/>
      <c r="O73" s="128"/>
      <c r="P73" s="128"/>
      <c r="Q73" s="128"/>
    </row>
    <row r="74" spans="1:17" s="59" customFormat="1">
      <c r="A74" s="128"/>
      <c r="B74" s="128"/>
      <c r="C74" s="128"/>
      <c r="D74" s="128"/>
      <c r="E74" s="128"/>
      <c r="F74" s="128"/>
      <c r="G74" s="128"/>
      <c r="H74" s="128"/>
      <c r="I74" s="128"/>
      <c r="J74" s="128"/>
      <c r="K74" s="128"/>
      <c r="L74" s="128"/>
      <c r="M74" s="128"/>
      <c r="N74" s="128"/>
      <c r="O74" s="128"/>
      <c r="P74" s="128"/>
      <c r="Q74" s="128"/>
    </row>
    <row r="75" spans="1:17" s="59" customFormat="1">
      <c r="A75" s="128"/>
      <c r="B75" s="128"/>
      <c r="C75" s="128"/>
      <c r="D75" s="128"/>
      <c r="E75" s="128"/>
      <c r="F75" s="128"/>
      <c r="G75" s="128"/>
      <c r="H75" s="128"/>
      <c r="I75" s="128"/>
      <c r="J75" s="128"/>
      <c r="K75" s="128"/>
      <c r="L75" s="128"/>
      <c r="M75" s="128"/>
      <c r="N75" s="128"/>
      <c r="O75" s="128"/>
      <c r="P75" s="128"/>
      <c r="Q75" s="128"/>
    </row>
    <row r="76" spans="1:17" s="59" customFormat="1">
      <c r="A76" s="128"/>
      <c r="B76" s="128"/>
      <c r="C76" s="128"/>
      <c r="D76" s="128"/>
      <c r="E76" s="128"/>
      <c r="F76" s="128"/>
      <c r="G76" s="128"/>
      <c r="H76" s="128"/>
      <c r="I76" s="128"/>
      <c r="J76" s="128"/>
      <c r="K76" s="128"/>
      <c r="L76" s="128"/>
      <c r="M76" s="128"/>
      <c r="N76" s="128"/>
      <c r="O76" s="128"/>
      <c r="P76" s="128"/>
      <c r="Q76" s="128"/>
    </row>
    <row r="77" spans="1:17" s="59" customFormat="1">
      <c r="A77" s="128"/>
      <c r="B77" s="128"/>
      <c r="C77" s="128"/>
      <c r="D77" s="128"/>
      <c r="E77" s="128"/>
      <c r="F77" s="128"/>
      <c r="G77" s="128"/>
      <c r="H77" s="128"/>
      <c r="I77" s="128"/>
      <c r="J77" s="128"/>
      <c r="K77" s="128"/>
      <c r="L77" s="128"/>
      <c r="M77" s="128"/>
      <c r="N77" s="128"/>
      <c r="O77" s="128"/>
      <c r="P77" s="128"/>
      <c r="Q77" s="128"/>
    </row>
    <row r="78" spans="1:17" s="59" customFormat="1">
      <c r="A78" s="128"/>
      <c r="B78" s="128"/>
      <c r="C78" s="128"/>
      <c r="D78" s="128"/>
      <c r="E78" s="128"/>
      <c r="F78" s="128"/>
      <c r="G78" s="128"/>
      <c r="H78" s="128"/>
      <c r="I78" s="128"/>
      <c r="J78" s="128"/>
      <c r="K78" s="128"/>
      <c r="L78" s="128"/>
      <c r="M78" s="128"/>
      <c r="N78" s="128"/>
      <c r="O78" s="128"/>
      <c r="P78" s="128"/>
      <c r="Q78" s="128"/>
    </row>
    <row r="79" spans="1:17" s="59" customFormat="1">
      <c r="A79" s="128"/>
      <c r="B79" s="128"/>
      <c r="C79" s="128"/>
      <c r="D79" s="128"/>
      <c r="E79" s="128"/>
      <c r="F79" s="128"/>
      <c r="G79" s="128"/>
      <c r="H79" s="128"/>
      <c r="I79" s="128"/>
      <c r="J79" s="128"/>
      <c r="K79" s="128"/>
      <c r="L79" s="128"/>
      <c r="M79" s="128"/>
      <c r="N79" s="128"/>
      <c r="O79" s="128"/>
      <c r="P79" s="128"/>
      <c r="Q79" s="128"/>
    </row>
    <row r="80" spans="1:17" s="59" customFormat="1">
      <c r="A80" s="128"/>
      <c r="B80" s="128"/>
      <c r="C80" s="128"/>
      <c r="D80" s="128"/>
      <c r="E80" s="128"/>
      <c r="F80" s="128"/>
      <c r="G80" s="128"/>
      <c r="H80" s="128"/>
      <c r="I80" s="128"/>
      <c r="J80" s="128"/>
      <c r="K80" s="128"/>
      <c r="L80" s="128"/>
      <c r="M80" s="128"/>
      <c r="N80" s="128"/>
      <c r="O80" s="128"/>
      <c r="P80" s="128"/>
      <c r="Q80" s="128"/>
    </row>
    <row r="81" spans="1:17" s="59" customFormat="1">
      <c r="A81" s="128"/>
      <c r="B81" s="128"/>
      <c r="C81" s="128"/>
      <c r="D81" s="128"/>
      <c r="E81" s="128"/>
      <c r="F81" s="128"/>
      <c r="G81" s="128"/>
      <c r="H81" s="128"/>
      <c r="I81" s="128"/>
      <c r="J81" s="128"/>
      <c r="K81" s="128"/>
      <c r="L81" s="128"/>
      <c r="M81" s="128"/>
      <c r="N81" s="128"/>
      <c r="O81" s="128"/>
      <c r="P81" s="128"/>
      <c r="Q81" s="128"/>
    </row>
    <row r="82" spans="1:17" s="59" customFormat="1">
      <c r="A82" s="128"/>
      <c r="B82" s="128"/>
      <c r="C82" s="128"/>
      <c r="D82" s="128"/>
      <c r="E82" s="128"/>
      <c r="F82" s="128"/>
      <c r="G82" s="128"/>
      <c r="H82" s="128"/>
      <c r="I82" s="128"/>
      <c r="J82" s="128"/>
      <c r="K82" s="128"/>
      <c r="L82" s="128"/>
      <c r="M82" s="128"/>
      <c r="N82" s="128"/>
      <c r="O82" s="128"/>
      <c r="P82" s="128"/>
      <c r="Q82" s="128"/>
    </row>
    <row r="83" spans="1:17" s="59" customFormat="1">
      <c r="A83" s="128"/>
      <c r="B83" s="128"/>
      <c r="C83" s="128"/>
      <c r="D83" s="128"/>
      <c r="E83" s="128"/>
      <c r="F83" s="128"/>
      <c r="G83" s="128"/>
      <c r="H83" s="128"/>
      <c r="I83" s="128"/>
      <c r="J83" s="128"/>
      <c r="K83" s="128"/>
      <c r="L83" s="128"/>
      <c r="M83" s="128"/>
      <c r="N83" s="128"/>
      <c r="O83" s="128"/>
      <c r="P83" s="128"/>
      <c r="Q83" s="128"/>
    </row>
    <row r="84" spans="1:17" s="59" customFormat="1">
      <c r="A84" s="128"/>
      <c r="B84" s="128"/>
      <c r="C84" s="128"/>
      <c r="D84" s="128"/>
      <c r="E84" s="128"/>
      <c r="F84" s="128"/>
      <c r="G84" s="128"/>
      <c r="H84" s="128"/>
      <c r="I84" s="128"/>
      <c r="J84" s="128"/>
      <c r="K84" s="128"/>
      <c r="L84" s="128"/>
      <c r="M84" s="128"/>
      <c r="N84" s="128"/>
      <c r="O84" s="128"/>
      <c r="P84" s="128"/>
      <c r="Q84" s="128"/>
    </row>
    <row r="85" spans="1:17" s="59" customFormat="1">
      <c r="A85" s="128"/>
      <c r="B85" s="128"/>
      <c r="C85" s="128"/>
      <c r="D85" s="128"/>
      <c r="E85" s="128"/>
      <c r="F85" s="128"/>
      <c r="G85" s="128"/>
      <c r="H85" s="128"/>
      <c r="I85" s="128"/>
      <c r="J85" s="128"/>
      <c r="K85" s="128"/>
      <c r="L85" s="128"/>
      <c r="M85" s="128"/>
      <c r="N85" s="128"/>
      <c r="O85" s="128"/>
      <c r="P85" s="128"/>
      <c r="Q85" s="128"/>
    </row>
    <row r="86" spans="1:17" s="59" customFormat="1">
      <c r="A86" s="128"/>
      <c r="B86" s="128"/>
      <c r="C86" s="128"/>
      <c r="D86" s="128"/>
      <c r="E86" s="128"/>
      <c r="F86" s="128"/>
      <c r="G86" s="128"/>
      <c r="H86" s="128"/>
      <c r="I86" s="128"/>
      <c r="J86" s="128"/>
      <c r="K86" s="128"/>
      <c r="L86" s="128"/>
      <c r="M86" s="128"/>
      <c r="N86" s="128"/>
      <c r="O86" s="128"/>
      <c r="P86" s="128"/>
      <c r="Q86" s="128"/>
    </row>
    <row r="87" spans="1:17" s="59" customFormat="1">
      <c r="A87" s="128"/>
      <c r="B87" s="128"/>
      <c r="C87" s="128"/>
      <c r="D87" s="128"/>
      <c r="E87" s="128"/>
      <c r="F87" s="128"/>
      <c r="G87" s="128"/>
      <c r="H87" s="128"/>
      <c r="I87" s="128"/>
      <c r="J87" s="128"/>
      <c r="K87" s="128"/>
      <c r="L87" s="128"/>
      <c r="M87" s="128"/>
      <c r="N87" s="128"/>
      <c r="O87" s="128"/>
      <c r="P87" s="128"/>
      <c r="Q87" s="128"/>
    </row>
    <row r="88" spans="1:17" s="59" customFormat="1">
      <c r="A88" s="128"/>
      <c r="B88" s="128"/>
      <c r="C88" s="128"/>
      <c r="D88" s="128"/>
      <c r="E88" s="128"/>
      <c r="F88" s="128"/>
      <c r="G88" s="128"/>
      <c r="H88" s="128"/>
      <c r="I88" s="128"/>
      <c r="J88" s="128"/>
      <c r="K88" s="128"/>
      <c r="L88" s="128"/>
      <c r="M88" s="128"/>
      <c r="N88" s="128"/>
      <c r="O88" s="128"/>
      <c r="P88" s="128"/>
      <c r="Q88" s="128"/>
    </row>
    <row r="89" spans="1:17" s="59" customFormat="1">
      <c r="A89" s="128"/>
      <c r="B89" s="128"/>
      <c r="C89" s="128"/>
      <c r="D89" s="128"/>
      <c r="E89" s="128"/>
      <c r="F89" s="128"/>
      <c r="G89" s="128"/>
      <c r="H89" s="128"/>
      <c r="I89" s="128"/>
      <c r="J89" s="128"/>
      <c r="K89" s="128"/>
      <c r="L89" s="128"/>
      <c r="M89" s="128"/>
      <c r="N89" s="128"/>
      <c r="O89" s="128"/>
      <c r="P89" s="128"/>
      <c r="Q89" s="128"/>
    </row>
    <row r="90" spans="1:17" s="59" customFormat="1">
      <c r="A90" s="128"/>
      <c r="B90" s="128"/>
      <c r="C90" s="128"/>
      <c r="D90" s="128"/>
      <c r="E90" s="128"/>
      <c r="F90" s="128"/>
      <c r="G90" s="128"/>
      <c r="H90" s="128"/>
      <c r="I90" s="128"/>
      <c r="J90" s="128"/>
      <c r="K90" s="128"/>
      <c r="L90" s="128"/>
      <c r="M90" s="128"/>
      <c r="N90" s="128"/>
      <c r="O90" s="128"/>
      <c r="P90" s="128"/>
      <c r="Q90" s="128"/>
    </row>
    <row r="91" spans="1:17" s="59" customFormat="1">
      <c r="A91" s="128"/>
      <c r="B91" s="128"/>
      <c r="C91" s="128"/>
      <c r="D91" s="128"/>
      <c r="E91" s="128"/>
      <c r="F91" s="128"/>
      <c r="G91" s="128"/>
      <c r="H91" s="128"/>
      <c r="I91" s="128"/>
      <c r="J91" s="128"/>
      <c r="K91" s="128"/>
      <c r="L91" s="128"/>
      <c r="M91" s="128"/>
      <c r="N91" s="128"/>
      <c r="O91" s="128"/>
      <c r="P91" s="128"/>
      <c r="Q91" s="128"/>
    </row>
    <row r="92" spans="1:17" s="59" customFormat="1">
      <c r="A92" s="128"/>
      <c r="B92" s="128"/>
      <c r="C92" s="128"/>
      <c r="D92" s="128"/>
      <c r="E92" s="128"/>
      <c r="F92" s="128"/>
      <c r="G92" s="128"/>
      <c r="H92" s="128"/>
      <c r="I92" s="128"/>
      <c r="J92" s="128"/>
      <c r="K92" s="128"/>
      <c r="L92" s="128"/>
      <c r="M92" s="128"/>
      <c r="N92" s="128"/>
      <c r="O92" s="128"/>
      <c r="P92" s="128"/>
      <c r="Q92" s="128"/>
    </row>
    <row r="93" spans="1:17" s="59" customFormat="1">
      <c r="A93" s="128"/>
      <c r="B93" s="128"/>
      <c r="C93" s="128"/>
      <c r="D93" s="128"/>
      <c r="E93" s="128"/>
      <c r="F93" s="128"/>
      <c r="G93" s="128"/>
      <c r="H93" s="128"/>
      <c r="I93" s="128"/>
      <c r="J93" s="128"/>
      <c r="K93" s="128"/>
      <c r="L93" s="128"/>
      <c r="M93" s="128"/>
      <c r="N93" s="128"/>
      <c r="O93" s="128"/>
      <c r="P93" s="128"/>
      <c r="Q93" s="128"/>
    </row>
    <row r="94" spans="1:17" s="59" customFormat="1">
      <c r="A94" s="128"/>
      <c r="B94" s="128"/>
      <c r="C94" s="128"/>
      <c r="D94" s="128"/>
      <c r="E94" s="128"/>
      <c r="F94" s="128"/>
      <c r="G94" s="128"/>
      <c r="H94" s="128"/>
      <c r="I94" s="128"/>
      <c r="J94" s="128"/>
      <c r="K94" s="128"/>
      <c r="L94" s="128"/>
      <c r="M94" s="128"/>
      <c r="N94" s="128"/>
      <c r="O94" s="128"/>
      <c r="P94" s="128"/>
      <c r="Q94" s="128"/>
    </row>
    <row r="95" spans="1:17" s="59" customFormat="1">
      <c r="A95" s="128"/>
      <c r="B95" s="128"/>
      <c r="C95" s="128"/>
      <c r="D95" s="128"/>
      <c r="E95" s="128"/>
      <c r="F95" s="128"/>
      <c r="G95" s="128"/>
      <c r="H95" s="128"/>
      <c r="I95" s="128"/>
      <c r="J95" s="128"/>
      <c r="K95" s="128"/>
      <c r="L95" s="128"/>
      <c r="M95" s="128"/>
      <c r="N95" s="128"/>
      <c r="O95" s="128"/>
      <c r="P95" s="128"/>
      <c r="Q95" s="128"/>
    </row>
    <row r="96" spans="1:17" s="59" customFormat="1">
      <c r="A96" s="128"/>
      <c r="B96" s="128"/>
      <c r="C96" s="128"/>
      <c r="D96" s="128"/>
      <c r="E96" s="128"/>
      <c r="F96" s="128"/>
      <c r="G96" s="128"/>
      <c r="H96" s="128"/>
      <c r="I96" s="128"/>
      <c r="J96" s="128"/>
      <c r="K96" s="128"/>
      <c r="L96" s="128"/>
      <c r="M96" s="128"/>
      <c r="N96" s="128"/>
      <c r="O96" s="128"/>
      <c r="P96" s="128"/>
      <c r="Q96" s="128"/>
    </row>
    <row r="97" spans="1:17" s="59" customFormat="1">
      <c r="A97" s="128"/>
      <c r="B97" s="128"/>
      <c r="C97" s="128"/>
      <c r="D97" s="128"/>
      <c r="E97" s="128"/>
      <c r="F97" s="128"/>
      <c r="G97" s="128"/>
      <c r="H97" s="128"/>
      <c r="I97" s="128"/>
      <c r="J97" s="128"/>
      <c r="K97" s="128"/>
      <c r="L97" s="128"/>
      <c r="M97" s="128"/>
      <c r="N97" s="128"/>
      <c r="O97" s="128"/>
      <c r="P97" s="128"/>
      <c r="Q97" s="128"/>
    </row>
    <row r="98" spans="1:17" s="59" customFormat="1">
      <c r="A98" s="128"/>
      <c r="B98" s="128"/>
      <c r="C98" s="128"/>
      <c r="D98" s="128"/>
      <c r="E98" s="128"/>
      <c r="F98" s="128"/>
      <c r="G98" s="128"/>
      <c r="H98" s="128"/>
      <c r="I98" s="128"/>
      <c r="J98" s="128"/>
      <c r="K98" s="128"/>
      <c r="L98" s="128"/>
      <c r="M98" s="128"/>
      <c r="N98" s="128"/>
      <c r="O98" s="128"/>
      <c r="P98" s="128"/>
      <c r="Q98" s="128"/>
    </row>
    <row r="99" spans="1:17" s="59" customFormat="1">
      <c r="A99" s="128"/>
      <c r="B99" s="128"/>
      <c r="C99" s="128"/>
      <c r="D99" s="128"/>
      <c r="E99" s="128"/>
      <c r="F99" s="128"/>
      <c r="G99" s="128"/>
      <c r="H99" s="128"/>
      <c r="I99" s="128"/>
      <c r="J99" s="128"/>
      <c r="K99" s="128"/>
      <c r="L99" s="128"/>
      <c r="M99" s="128"/>
      <c r="N99" s="128"/>
      <c r="O99" s="128"/>
      <c r="P99" s="128"/>
      <c r="Q99" s="128"/>
    </row>
    <row r="100" spans="1:17" s="59" customFormat="1">
      <c r="A100" s="128"/>
      <c r="B100" s="128"/>
      <c r="C100" s="128"/>
      <c r="D100" s="128"/>
      <c r="E100" s="128"/>
      <c r="F100" s="128"/>
      <c r="G100" s="128"/>
      <c r="H100" s="128"/>
      <c r="I100" s="128"/>
      <c r="J100" s="128"/>
      <c r="K100" s="128"/>
      <c r="L100" s="128"/>
      <c r="M100" s="128"/>
      <c r="N100" s="128"/>
      <c r="O100" s="128"/>
      <c r="P100" s="128"/>
      <c r="Q100" s="128"/>
    </row>
    <row r="101" spans="1:17" s="59" customFormat="1">
      <c r="A101" s="128"/>
      <c r="B101" s="128"/>
      <c r="C101" s="128"/>
      <c r="D101" s="128"/>
      <c r="E101" s="128"/>
      <c r="F101" s="128"/>
      <c r="G101" s="128"/>
      <c r="H101" s="128"/>
      <c r="I101" s="128"/>
      <c r="J101" s="128"/>
      <c r="K101" s="128"/>
      <c r="L101" s="128"/>
      <c r="M101" s="128"/>
      <c r="N101" s="128"/>
      <c r="O101" s="128"/>
      <c r="P101" s="128"/>
      <c r="Q101" s="128"/>
    </row>
    <row r="102" spans="1:17" s="59" customFormat="1">
      <c r="A102" s="128"/>
      <c r="B102" s="128"/>
      <c r="C102" s="128"/>
      <c r="D102" s="128"/>
      <c r="E102" s="128"/>
      <c r="F102" s="128"/>
      <c r="G102" s="128"/>
      <c r="H102" s="128"/>
      <c r="I102" s="128"/>
      <c r="J102" s="128"/>
      <c r="K102" s="128"/>
      <c r="L102" s="128"/>
      <c r="M102" s="128"/>
      <c r="N102" s="128"/>
      <c r="O102" s="128"/>
      <c r="P102" s="128"/>
      <c r="Q102" s="128"/>
    </row>
    <row r="103" spans="1:17" s="59" customFormat="1">
      <c r="A103" s="128"/>
      <c r="B103" s="128"/>
      <c r="C103" s="128"/>
      <c r="D103" s="128"/>
      <c r="E103" s="128"/>
      <c r="F103" s="128"/>
      <c r="G103" s="128"/>
      <c r="H103" s="128"/>
      <c r="I103" s="128"/>
      <c r="J103" s="128"/>
      <c r="K103" s="128"/>
      <c r="L103" s="128"/>
      <c r="M103" s="128"/>
      <c r="N103" s="128"/>
      <c r="O103" s="128"/>
      <c r="P103" s="128"/>
      <c r="Q103" s="128"/>
    </row>
    <row r="104" spans="1:17" s="59" customFormat="1">
      <c r="A104" s="128"/>
      <c r="B104" s="128"/>
      <c r="C104" s="128"/>
      <c r="D104" s="128"/>
      <c r="E104" s="128"/>
      <c r="F104" s="128"/>
      <c r="G104" s="128"/>
      <c r="H104" s="128"/>
      <c r="I104" s="128"/>
      <c r="J104" s="128"/>
      <c r="K104" s="128"/>
      <c r="L104" s="128"/>
      <c r="M104" s="128"/>
      <c r="N104" s="128"/>
      <c r="O104" s="128"/>
      <c r="P104" s="128"/>
      <c r="Q104" s="128"/>
    </row>
    <row r="105" spans="1:17" s="59" customFormat="1">
      <c r="A105" s="128"/>
      <c r="B105" s="128"/>
      <c r="C105" s="128"/>
      <c r="D105" s="128"/>
      <c r="E105" s="128"/>
      <c r="F105" s="128"/>
      <c r="G105" s="128"/>
      <c r="H105" s="128"/>
      <c r="I105" s="128"/>
      <c r="J105" s="128"/>
      <c r="K105" s="128"/>
      <c r="L105" s="128"/>
      <c r="M105" s="128"/>
      <c r="N105" s="128"/>
      <c r="O105" s="128"/>
      <c r="P105" s="128"/>
      <c r="Q105" s="128"/>
    </row>
    <row r="106" spans="1:17" s="59" customFormat="1">
      <c r="A106" s="128"/>
      <c r="B106" s="128"/>
      <c r="C106" s="128"/>
      <c r="D106" s="128"/>
      <c r="E106" s="128"/>
      <c r="F106" s="128"/>
      <c r="G106" s="128"/>
      <c r="H106" s="128"/>
      <c r="I106" s="128"/>
      <c r="J106" s="128"/>
      <c r="K106" s="128"/>
      <c r="L106" s="128"/>
      <c r="M106" s="128"/>
      <c r="N106" s="128"/>
      <c r="O106" s="128"/>
      <c r="P106" s="128"/>
      <c r="Q106" s="128"/>
    </row>
    <row r="107" spans="1:17" s="59" customFormat="1">
      <c r="A107" s="128"/>
      <c r="B107" s="128"/>
      <c r="C107" s="128"/>
      <c r="D107" s="128"/>
      <c r="E107" s="128"/>
      <c r="F107" s="128"/>
      <c r="G107" s="128"/>
      <c r="H107" s="128"/>
      <c r="I107" s="128"/>
      <c r="J107" s="128"/>
      <c r="K107" s="128"/>
      <c r="L107" s="128"/>
      <c r="M107" s="128"/>
      <c r="N107" s="128"/>
      <c r="O107" s="128"/>
      <c r="P107" s="128"/>
      <c r="Q107" s="128"/>
    </row>
    <row r="108" spans="1:17" s="59" customFormat="1"/>
    <row r="109" spans="1:17" s="59" customFormat="1"/>
    <row r="110" spans="1:17" s="59" customFormat="1"/>
    <row r="111" spans="1:17" s="5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53"/>
  <sheetViews>
    <sheetView showGridLines="0" view="pageBreakPreview" zoomScale="55" zoomScaleNormal="100" zoomScaleSheetLayoutView="55" workbookViewId="0">
      <selection activeCell="D15" sqref="D15"/>
    </sheetView>
  </sheetViews>
  <sheetFormatPr baseColWidth="10" defaultColWidth="11.42578125" defaultRowHeight="20.25" customHeight="1"/>
  <cols>
    <col min="1" max="1" width="20.7109375" style="128" customWidth="1"/>
    <col min="2" max="2" width="28.42578125" style="128" customWidth="1"/>
    <col min="3" max="3" width="23.140625" style="128" customWidth="1"/>
    <col min="4" max="4" width="18.42578125" style="128" customWidth="1"/>
    <col min="5" max="5" width="23" style="128" customWidth="1"/>
    <col min="6" max="6" width="27.7109375" style="128" customWidth="1"/>
    <col min="7" max="7" width="44.140625" style="128" customWidth="1"/>
    <col min="8" max="8" width="41.85546875" style="128" customWidth="1"/>
    <col min="9" max="10" width="17.140625" style="128" customWidth="1"/>
    <col min="11" max="11" width="24.7109375" style="128" customWidth="1"/>
    <col min="12" max="12" width="9" style="128" customWidth="1"/>
    <col min="13" max="13" width="29.85546875" style="128" customWidth="1"/>
    <col min="14" max="14" width="16.28515625" style="128" bestFit="1" customWidth="1"/>
    <col min="15" max="16384" width="11.42578125" style="128"/>
  </cols>
  <sheetData>
    <row r="1" spans="1:15" ht="98.25" customHeight="1">
      <c r="A1" s="2221" t="s">
        <v>1925</v>
      </c>
      <c r="B1" s="2221"/>
      <c r="C1" s="2221"/>
      <c r="D1" s="2221"/>
      <c r="E1" s="2221"/>
      <c r="F1" s="2221"/>
      <c r="G1" s="2221"/>
      <c r="H1" s="2221"/>
      <c r="I1" s="2221"/>
      <c r="J1" s="2221"/>
      <c r="K1" s="2221"/>
      <c r="L1" s="198"/>
    </row>
    <row r="2" spans="1:15" ht="255.75" customHeight="1">
      <c r="A2" s="2220" t="s">
        <v>1447</v>
      </c>
      <c r="B2" s="2220"/>
      <c r="C2" s="2220"/>
      <c r="D2" s="2220"/>
      <c r="E2" s="2220"/>
      <c r="F2" s="2220"/>
      <c r="G2" s="2220"/>
      <c r="H2" s="2220"/>
      <c r="I2" s="2220"/>
      <c r="J2" s="2220"/>
      <c r="K2" s="2220"/>
      <c r="L2" s="198"/>
    </row>
    <row r="3" spans="1:15" ht="42">
      <c r="A3" s="633" t="s">
        <v>495</v>
      </c>
      <c r="B3" s="632" t="s">
        <v>1439</v>
      </c>
      <c r="C3" s="632" t="s">
        <v>476</v>
      </c>
      <c r="D3" s="633" t="s">
        <v>460</v>
      </c>
      <c r="E3" s="633" t="s">
        <v>38</v>
      </c>
      <c r="F3" s="2120" t="s">
        <v>732</v>
      </c>
      <c r="G3" s="133"/>
      <c r="H3" s="133"/>
      <c r="I3" s="337"/>
      <c r="J3" s="1975"/>
      <c r="K3" s="74"/>
      <c r="L3" s="151"/>
      <c r="N3" s="240"/>
    </row>
    <row r="4" spans="1:15" ht="20.25" hidden="1" customHeight="1">
      <c r="A4" s="637" t="s">
        <v>28</v>
      </c>
      <c r="B4" s="797">
        <v>1039738</v>
      </c>
      <c r="C4" s="438"/>
      <c r="D4" s="439">
        <f t="shared" ref="D4:D13" si="0">B4/E4</f>
        <v>0.11893161516201996</v>
      </c>
      <c r="E4" s="797">
        <f>+'I.1.1 Cobertura SDSS '!E4</f>
        <v>8742318</v>
      </c>
      <c r="F4" s="438"/>
      <c r="G4" s="133"/>
      <c r="H4" s="133"/>
      <c r="I4" s="337"/>
      <c r="J4" s="1975"/>
      <c r="K4" s="74"/>
      <c r="L4" s="151"/>
    </row>
    <row r="5" spans="1:15" ht="20.25" hidden="1" customHeight="1">
      <c r="A5" s="637" t="s">
        <v>29</v>
      </c>
      <c r="B5" s="797">
        <v>1254915</v>
      </c>
      <c r="C5" s="439">
        <f t="shared" ref="C5:C14" si="1">B5/B4-1</f>
        <v>0.20695309779963789</v>
      </c>
      <c r="D5" s="439">
        <f t="shared" si="0"/>
        <v>0.14171782217240242</v>
      </c>
      <c r="E5" s="797">
        <f>+'I.1.1 Cobertura SDSS '!E5</f>
        <v>8855026</v>
      </c>
      <c r="F5" s="440">
        <f t="shared" ref="F5:F13" si="2">(E5-E4)/E4*100</f>
        <v>1.2892232929527385</v>
      </c>
      <c r="G5" s="133"/>
      <c r="H5" s="133"/>
      <c r="I5" s="337"/>
      <c r="J5" s="1975"/>
      <c r="K5" s="74"/>
      <c r="L5" s="151"/>
      <c r="N5" s="241"/>
    </row>
    <row r="6" spans="1:15" ht="20.25" customHeight="1">
      <c r="A6" s="637" t="s">
        <v>30</v>
      </c>
      <c r="B6" s="797">
        <v>1687712</v>
      </c>
      <c r="C6" s="439">
        <f t="shared" si="1"/>
        <v>0.34488152584039566</v>
      </c>
      <c r="D6" s="439">
        <f t="shared" si="0"/>
        <v>0.18818966332387169</v>
      </c>
      <c r="E6" s="797">
        <f>+'I.1.1 Cobertura SDSS '!E6</f>
        <v>8968144</v>
      </c>
      <c r="F6" s="440">
        <f t="shared" si="2"/>
        <v>1.2774440187979119</v>
      </c>
      <c r="G6" s="2126"/>
      <c r="H6" s="2126"/>
      <c r="I6" s="2126"/>
      <c r="J6" s="1975"/>
      <c r="K6" s="74"/>
      <c r="L6" s="151"/>
      <c r="M6" s="149"/>
      <c r="N6" s="151"/>
      <c r="O6" s="151"/>
    </row>
    <row r="7" spans="1:15" ht="20.25" customHeight="1">
      <c r="A7" s="637" t="s">
        <v>31</v>
      </c>
      <c r="B7" s="797">
        <v>2102527</v>
      </c>
      <c r="C7" s="439">
        <f t="shared" si="1"/>
        <v>0.24578541836521861</v>
      </c>
      <c r="D7" s="439">
        <f t="shared" si="0"/>
        <v>0.23175216273521579</v>
      </c>
      <c r="E7" s="797">
        <f>+'I.1.1 Cobertura SDSS '!E7</f>
        <v>9072308</v>
      </c>
      <c r="F7" s="440">
        <f t="shared" si="2"/>
        <v>1.1614889323811037</v>
      </c>
      <c r="G7" s="2126"/>
      <c r="H7" s="2126"/>
      <c r="I7" s="2126"/>
      <c r="J7" s="1975"/>
      <c r="K7" s="74"/>
      <c r="L7" s="151"/>
      <c r="M7" s="149"/>
      <c r="N7" s="151"/>
      <c r="O7" s="151"/>
    </row>
    <row r="8" spans="1:15" ht="20.25" customHeight="1">
      <c r="A8" s="637" t="s">
        <v>32</v>
      </c>
      <c r="B8" s="797">
        <v>2449608</v>
      </c>
      <c r="C8" s="439">
        <f t="shared" si="1"/>
        <v>0.16507802277925565</v>
      </c>
      <c r="D8" s="439">
        <f t="shared" si="0"/>
        <v>0.26697953683081632</v>
      </c>
      <c r="E8" s="797">
        <f>+'I.1.1 Cobertura SDSS '!E8</f>
        <v>9175265</v>
      </c>
      <c r="F8" s="440">
        <f t="shared" si="2"/>
        <v>1.1348490373122253</v>
      </c>
      <c r="G8" s="2126"/>
      <c r="H8" s="2126"/>
      <c r="I8" s="2126"/>
      <c r="J8" s="1975"/>
      <c r="K8" s="74"/>
      <c r="L8" s="151"/>
      <c r="M8" s="149"/>
      <c r="N8" s="151"/>
      <c r="O8" s="151"/>
    </row>
    <row r="9" spans="1:15" ht="20.25" customHeight="1">
      <c r="A9" s="637" t="s">
        <v>33</v>
      </c>
      <c r="B9" s="797">
        <v>2934940</v>
      </c>
      <c r="C9" s="439">
        <f t="shared" si="1"/>
        <v>0.19812639410060706</v>
      </c>
      <c r="D9" s="439">
        <f t="shared" si="0"/>
        <v>0.31636118773580035</v>
      </c>
      <c r="E9" s="797">
        <f>+'I.1.1 Cobertura SDSS '!E9</f>
        <v>9277181</v>
      </c>
      <c r="F9" s="440">
        <f t="shared" si="2"/>
        <v>1.1107690077616286</v>
      </c>
      <c r="G9" s="2126"/>
      <c r="H9" s="2126"/>
      <c r="I9" s="2126"/>
      <c r="J9" s="1975"/>
      <c r="K9" s="74"/>
      <c r="L9" s="151"/>
      <c r="M9" s="149"/>
      <c r="N9" s="151"/>
      <c r="O9" s="151"/>
    </row>
    <row r="10" spans="1:15" ht="20.25" customHeight="1">
      <c r="A10" s="637" t="s">
        <v>34</v>
      </c>
      <c r="B10" s="1166">
        <v>3521433</v>
      </c>
      <c r="C10" s="496">
        <f t="shared" si="1"/>
        <v>0.19983134237837907</v>
      </c>
      <c r="D10" s="496">
        <f t="shared" si="0"/>
        <v>0.3754811426828833</v>
      </c>
      <c r="E10" s="797">
        <f>+'I.1.1 Cobertura SDSS '!E10</f>
        <v>9378455</v>
      </c>
      <c r="F10" s="497">
        <f t="shared" si="2"/>
        <v>1.0916462662526474</v>
      </c>
      <c r="G10" s="2126"/>
      <c r="H10" s="2126"/>
      <c r="I10" s="2126"/>
      <c r="J10" s="1975"/>
      <c r="K10" s="74"/>
      <c r="L10" s="151"/>
      <c r="M10" s="149"/>
      <c r="N10" s="151"/>
      <c r="O10" s="151"/>
    </row>
    <row r="11" spans="1:15" ht="20.25" customHeight="1">
      <c r="A11" s="637" t="s">
        <v>359</v>
      </c>
      <c r="B11" s="1167">
        <v>4414548</v>
      </c>
      <c r="C11" s="496">
        <f t="shared" si="1"/>
        <v>0.25362260193506447</v>
      </c>
      <c r="D11" s="496">
        <f t="shared" si="0"/>
        <v>0.46573781055707314</v>
      </c>
      <c r="E11" s="797">
        <f>+'I.1.1 Cobertura SDSS '!E11</f>
        <v>9478612</v>
      </c>
      <c r="F11" s="497">
        <f t="shared" si="2"/>
        <v>1.0679477589858883</v>
      </c>
      <c r="G11" s="2126"/>
      <c r="H11" s="2126"/>
      <c r="I11" s="2126"/>
      <c r="J11" s="1975"/>
      <c r="K11" s="74"/>
      <c r="L11" s="151"/>
      <c r="M11" s="149"/>
      <c r="N11" s="228"/>
      <c r="O11" s="78"/>
    </row>
    <row r="12" spans="1:15" ht="20.25" customHeight="1">
      <c r="A12" s="637" t="s">
        <v>477</v>
      </c>
      <c r="B12" s="1167">
        <v>4564572</v>
      </c>
      <c r="C12" s="496">
        <f t="shared" si="1"/>
        <v>3.3984000173970186E-2</v>
      </c>
      <c r="D12" s="496">
        <f t="shared" si="0"/>
        <v>0.47646973903815903</v>
      </c>
      <c r="E12" s="797">
        <f>+'I.1.1 Cobertura SDSS '!E12</f>
        <v>9579983</v>
      </c>
      <c r="F12" s="497">
        <f t="shared" si="2"/>
        <v>1.0694709309759698</v>
      </c>
      <c r="G12" s="133"/>
      <c r="H12" s="133"/>
      <c r="I12" s="337"/>
      <c r="J12" s="1975"/>
      <c r="K12" s="74"/>
      <c r="L12" s="151"/>
      <c r="M12" s="149"/>
      <c r="N12" s="151"/>
      <c r="O12" s="151"/>
    </row>
    <row r="13" spans="1:15" ht="21.75" customHeight="1">
      <c r="A13" s="668" t="s">
        <v>1057</v>
      </c>
      <c r="B13" s="1153">
        <v>5054406</v>
      </c>
      <c r="C13" s="802">
        <f t="shared" si="1"/>
        <v>0.10731214229943142</v>
      </c>
      <c r="D13" s="802">
        <f t="shared" si="0"/>
        <v>0.52212057723261962</v>
      </c>
      <c r="E13" s="797">
        <f>+'I.1.1 Cobertura SDSS '!E13</f>
        <v>9680534</v>
      </c>
      <c r="F13" s="1261">
        <f t="shared" si="2"/>
        <v>1.0495947644165966</v>
      </c>
      <c r="G13" s="74"/>
      <c r="H13" s="74"/>
      <c r="I13" s="337"/>
      <c r="J13" s="1975"/>
      <c r="K13" s="1975"/>
      <c r="L13" s="151"/>
      <c r="M13" s="149"/>
      <c r="N13" s="151"/>
      <c r="O13" s="151"/>
    </row>
    <row r="14" spans="1:15" ht="21.75" customHeight="1">
      <c r="A14" s="668" t="s">
        <v>1640</v>
      </c>
      <c r="B14" s="1153">
        <f>+'I.1.4 Afil. SDSS Anual'!E14</f>
        <v>5638332</v>
      </c>
      <c r="C14" s="802">
        <f t="shared" si="1"/>
        <v>0.11552811546994834</v>
      </c>
      <c r="D14" s="802">
        <f>B14/E14</f>
        <v>0.57647276899106747</v>
      </c>
      <c r="E14" s="797">
        <f>+'I.1.1 Cobertura SDSS '!E14</f>
        <v>9780743</v>
      </c>
      <c r="F14" s="1261">
        <f>(E14-E13)/E13*100</f>
        <v>1.0351598372569115</v>
      </c>
      <c r="G14" s="74"/>
      <c r="H14" s="74"/>
      <c r="I14" s="337"/>
      <c r="J14" s="1976"/>
      <c r="K14" s="1975"/>
      <c r="L14" s="151"/>
      <c r="M14" s="149"/>
      <c r="N14" s="151"/>
      <c r="O14" s="151"/>
    </row>
    <row r="15" spans="1:15" ht="21.75" customHeight="1">
      <c r="A15" s="668" t="str">
        <f>+'I.1.1 Cobertura SDSS '!A15</f>
        <v>Dic. 2014</v>
      </c>
      <c r="B15" s="1153">
        <f>+'I.1.4 Afil. SDSS Anual'!E15</f>
        <v>6187615</v>
      </c>
      <c r="C15" s="802"/>
      <c r="D15" s="802">
        <f>B15/E15</f>
        <v>0.6262448123856017</v>
      </c>
      <c r="E15" s="797">
        <f>+'I.1.1 Cobertura SDSS '!E15</f>
        <v>9880505</v>
      </c>
      <c r="F15" s="1261"/>
      <c r="H15" s="534"/>
      <c r="I15" s="149"/>
      <c r="J15" s="1359"/>
      <c r="K15" s="151"/>
      <c r="L15" s="151"/>
      <c r="M15" s="149"/>
      <c r="N15" s="151"/>
      <c r="O15" s="151"/>
    </row>
    <row r="16" spans="1:15" ht="24" customHeight="1">
      <c r="A16" s="2219" t="s">
        <v>35</v>
      </c>
      <c r="B16" s="2219"/>
      <c r="C16" s="634">
        <f>AVERAGE(C4:C14)</f>
        <v>0.18711026611419085</v>
      </c>
      <c r="D16" s="636"/>
      <c r="E16" s="635"/>
      <c r="F16" s="867">
        <f>AVERAGE(F4:F15)</f>
        <v>1.128759384709362</v>
      </c>
      <c r="H16" s="534"/>
      <c r="I16" s="149"/>
      <c r="J16" s="151"/>
      <c r="K16" s="151"/>
      <c r="L16" s="151"/>
      <c r="M16" s="149"/>
      <c r="N16" s="151"/>
      <c r="O16" s="151"/>
    </row>
    <row r="17" spans="1:14" ht="19.5" customHeight="1">
      <c r="B17" s="229"/>
      <c r="C17" s="149"/>
      <c r="D17" s="149"/>
      <c r="E17" s="149"/>
      <c r="F17" s="230"/>
      <c r="G17" s="78"/>
      <c r="H17" s="151"/>
      <c r="I17" s="151"/>
      <c r="J17" s="151"/>
      <c r="K17" s="151"/>
      <c r="L17" s="151"/>
      <c r="M17" s="151"/>
      <c r="N17" s="151"/>
    </row>
    <row r="18" spans="1:14" ht="16.5" customHeight="1">
      <c r="A18" s="39"/>
      <c r="B18" s="151"/>
      <c r="C18" s="151"/>
      <c r="D18" s="151"/>
      <c r="E18" s="151"/>
      <c r="F18" s="151"/>
      <c r="G18" s="151"/>
      <c r="H18" s="151"/>
      <c r="I18" s="151"/>
      <c r="J18" s="1009"/>
      <c r="K18" s="151"/>
      <c r="L18" s="151"/>
      <c r="M18" s="151"/>
      <c r="N18" s="151"/>
    </row>
    <row r="19" spans="1:14" ht="20.25" customHeight="1">
      <c r="A19" s="20"/>
      <c r="B19" s="151"/>
      <c r="C19" s="151"/>
      <c r="D19" s="151"/>
      <c r="E19" s="151"/>
      <c r="F19" s="151"/>
      <c r="G19" s="151"/>
      <c r="H19" s="151"/>
      <c r="I19" s="151"/>
      <c r="J19" s="151"/>
      <c r="K19" s="151"/>
      <c r="L19" s="151"/>
      <c r="M19" s="151"/>
      <c r="N19" s="151"/>
    </row>
    <row r="45" spans="13:23" ht="20.25" customHeight="1" thickBot="1">
      <c r="M45" s="78"/>
    </row>
    <row r="46" spans="13:23" ht="27.75" customHeight="1">
      <c r="M46" s="2217"/>
      <c r="N46" s="2217"/>
      <c r="O46" s="2217"/>
      <c r="P46" s="2217"/>
      <c r="Q46" s="2217"/>
      <c r="R46" s="2217"/>
      <c r="S46" s="2217"/>
      <c r="T46" s="2217"/>
      <c r="U46" s="2217"/>
      <c r="V46" s="2217"/>
      <c r="W46" s="2217"/>
    </row>
    <row r="47" spans="13:23" ht="24" customHeight="1">
      <c r="M47" s="2218"/>
      <c r="N47" s="2218"/>
      <c r="O47" s="2218"/>
      <c r="P47" s="2218"/>
      <c r="Q47" s="2218"/>
      <c r="R47" s="2218"/>
      <c r="S47" s="2218"/>
      <c r="T47" s="2218"/>
      <c r="U47" s="2218"/>
      <c r="V47" s="2218"/>
      <c r="W47" s="2218"/>
    </row>
    <row r="48" spans="13:23" ht="36.75" customHeight="1"/>
    <row r="49" ht="25.5" customHeight="1"/>
    <row r="50" ht="27.75" customHeight="1"/>
    <row r="51" ht="24" customHeight="1"/>
    <row r="52" ht="24" customHeight="1"/>
    <row r="53" ht="26.25" customHeight="1"/>
  </sheetData>
  <mergeCells count="4">
    <mergeCell ref="M46:W47"/>
    <mergeCell ref="A16:B16"/>
    <mergeCell ref="A2:K2"/>
    <mergeCell ref="A1:K1"/>
  </mergeCells>
  <printOptions horizontalCentered="1" verticalCentered="1"/>
  <pageMargins left="0.39370078740157483" right="0.39370078740157483" top="0.39370078740157483" bottom="0.23622047244094491" header="0.23622047244094491" footer="0.31496062992125984"/>
  <pageSetup scale="43"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70" zoomScaleNormal="78" zoomScaleSheetLayoutView="70" workbookViewId="0">
      <selection sqref="A1:Q1"/>
    </sheetView>
  </sheetViews>
  <sheetFormatPr baseColWidth="10" defaultColWidth="11.42578125" defaultRowHeight="15"/>
  <cols>
    <col min="1" max="1" width="14" style="128" customWidth="1"/>
    <col min="2" max="2" width="8.5703125" style="128" customWidth="1"/>
    <col min="3" max="3" width="10.28515625" style="128" customWidth="1"/>
    <col min="4" max="4" width="8" style="128" customWidth="1"/>
    <col min="5" max="5" width="8.85546875" style="128" customWidth="1"/>
    <col min="6" max="6" width="9.42578125" style="128" customWidth="1"/>
    <col min="7" max="7" width="10.7109375" style="128" customWidth="1"/>
    <col min="8" max="8" width="9.42578125" style="128" customWidth="1"/>
    <col min="9" max="9" width="14.85546875" style="128" customWidth="1"/>
    <col min="10" max="10" width="10.5703125" style="128" customWidth="1"/>
    <col min="11" max="11" width="11" style="128" customWidth="1"/>
    <col min="12" max="12" width="9.140625" style="128" customWidth="1"/>
    <col min="13" max="13" width="10.7109375" style="128" customWidth="1"/>
    <col min="14" max="14" width="12" style="128" customWidth="1"/>
    <col min="15" max="15" width="14.5703125" style="128" customWidth="1"/>
    <col min="16" max="16" width="11.140625" style="128" customWidth="1"/>
    <col min="17" max="17" width="14.7109375" style="128" customWidth="1"/>
    <col min="18" max="18" width="12.140625" style="128" customWidth="1"/>
    <col min="19" max="19" width="20.28515625" style="128" customWidth="1"/>
    <col min="20" max="16384" width="11.42578125" style="128"/>
  </cols>
  <sheetData>
    <row r="1" spans="1:20" ht="85.5" customHeight="1">
      <c r="A1" s="2466" t="s">
        <v>1977</v>
      </c>
      <c r="B1" s="2467"/>
      <c r="C1" s="2467"/>
      <c r="D1" s="2467"/>
      <c r="E1" s="2467"/>
      <c r="F1" s="2467"/>
      <c r="G1" s="2467"/>
      <c r="H1" s="2467"/>
      <c r="I1" s="2467"/>
      <c r="J1" s="2467"/>
      <c r="K1" s="2467"/>
      <c r="L1" s="2467"/>
      <c r="M1" s="2467"/>
      <c r="N1" s="2467"/>
      <c r="O1" s="2467"/>
      <c r="P1" s="2467"/>
      <c r="Q1" s="2468"/>
    </row>
    <row r="2" spans="1:20" s="58" customFormat="1" ht="42.75" customHeight="1">
      <c r="A2" s="2469" t="s">
        <v>1978</v>
      </c>
      <c r="B2" s="2469"/>
      <c r="C2" s="2469"/>
      <c r="D2" s="2469"/>
      <c r="E2" s="2469"/>
      <c r="F2" s="2469"/>
      <c r="G2" s="2469"/>
      <c r="H2" s="2469"/>
      <c r="I2" s="2469"/>
      <c r="J2" s="2469"/>
      <c r="K2" s="2469"/>
      <c r="L2" s="2469"/>
      <c r="M2" s="2469"/>
      <c r="N2" s="2469"/>
      <c r="O2" s="2469"/>
      <c r="P2" s="2469"/>
      <c r="Q2" s="2469"/>
    </row>
    <row r="3" spans="1:20" s="59" customFormat="1" ht="23.25" customHeight="1">
      <c r="A3" s="2470" t="s">
        <v>436</v>
      </c>
      <c r="B3" s="2470"/>
      <c r="C3" s="2470"/>
      <c r="D3" s="2470"/>
      <c r="E3" s="2470"/>
      <c r="F3" s="2470"/>
      <c r="G3" s="2470"/>
      <c r="H3" s="2470"/>
      <c r="I3" s="2470"/>
      <c r="J3" s="2470"/>
      <c r="K3" s="2470"/>
      <c r="L3" s="2470"/>
      <c r="M3" s="2470"/>
      <c r="N3" s="2470"/>
      <c r="O3" s="2470"/>
      <c r="P3" s="2470"/>
      <c r="Q3" s="2470"/>
    </row>
    <row r="4" spans="1:20" s="524" customFormat="1" ht="33" customHeight="1">
      <c r="A4" s="525" t="s">
        <v>51</v>
      </c>
      <c r="B4" s="525" t="s">
        <v>97</v>
      </c>
      <c r="C4" s="525" t="s">
        <v>98</v>
      </c>
      <c r="D4" s="525" t="s">
        <v>99</v>
      </c>
      <c r="E4" s="525" t="s">
        <v>100</v>
      </c>
      <c r="F4" s="525" t="s">
        <v>101</v>
      </c>
      <c r="G4" s="525" t="s">
        <v>102</v>
      </c>
      <c r="H4" s="525" t="s">
        <v>103</v>
      </c>
      <c r="I4" s="190" t="s">
        <v>104</v>
      </c>
      <c r="J4" s="525" t="s">
        <v>105</v>
      </c>
      <c r="K4" s="525" t="s">
        <v>106</v>
      </c>
      <c r="L4" s="525" t="s">
        <v>107</v>
      </c>
      <c r="M4" s="190" t="s">
        <v>971</v>
      </c>
      <c r="N4" s="525" t="s">
        <v>96</v>
      </c>
      <c r="O4" s="190" t="s">
        <v>366</v>
      </c>
      <c r="P4" s="190" t="s">
        <v>110</v>
      </c>
      <c r="Q4" s="190" t="s">
        <v>111</v>
      </c>
    </row>
    <row r="5" spans="1:20" s="59" customFormat="1" ht="17.25" hidden="1" customHeight="1">
      <c r="A5" s="221">
        <v>2004</v>
      </c>
      <c r="B5" s="740">
        <v>0</v>
      </c>
      <c r="C5" s="740">
        <v>2</v>
      </c>
      <c r="D5" s="740">
        <v>177</v>
      </c>
      <c r="E5" s="740">
        <v>290</v>
      </c>
      <c r="F5" s="740">
        <v>105</v>
      </c>
      <c r="G5" s="740">
        <v>565</v>
      </c>
      <c r="H5" s="740">
        <v>1</v>
      </c>
      <c r="I5" s="740">
        <v>116</v>
      </c>
      <c r="J5" s="740">
        <v>92</v>
      </c>
      <c r="K5" s="771">
        <f t="shared" ref="K5:K15" si="0">SUM(B5:J5)</f>
        <v>1348</v>
      </c>
      <c r="L5" s="740">
        <v>0</v>
      </c>
      <c r="M5" s="740">
        <v>0</v>
      </c>
      <c r="N5" s="740">
        <v>0</v>
      </c>
      <c r="O5" s="740">
        <v>0</v>
      </c>
      <c r="P5" s="741">
        <f t="shared" ref="P5:P15" si="1">SUM(L5:O5)</f>
        <v>0</v>
      </c>
      <c r="Q5" s="741">
        <f t="shared" ref="Q5:Q10" si="2">K5+P5</f>
        <v>1348</v>
      </c>
      <c r="S5" s="690"/>
      <c r="T5" s="690"/>
    </row>
    <row r="6" spans="1:20" s="59" customFormat="1" ht="15.75">
      <c r="A6" s="221">
        <v>2005</v>
      </c>
      <c r="B6" s="740">
        <v>0</v>
      </c>
      <c r="C6" s="740">
        <v>4</v>
      </c>
      <c r="D6" s="740">
        <v>279</v>
      </c>
      <c r="E6" s="740">
        <v>115</v>
      </c>
      <c r="F6" s="740">
        <v>0</v>
      </c>
      <c r="G6" s="740">
        <v>128</v>
      </c>
      <c r="H6" s="740">
        <v>3</v>
      </c>
      <c r="I6" s="740">
        <v>68</v>
      </c>
      <c r="J6" s="740">
        <v>136</v>
      </c>
      <c r="K6" s="771">
        <f t="shared" si="0"/>
        <v>733</v>
      </c>
      <c r="L6" s="740">
        <v>0</v>
      </c>
      <c r="M6" s="740">
        <v>0</v>
      </c>
      <c r="N6" s="740">
        <v>0</v>
      </c>
      <c r="O6" s="740">
        <v>0</v>
      </c>
      <c r="P6" s="741">
        <f t="shared" si="1"/>
        <v>0</v>
      </c>
      <c r="Q6" s="741">
        <f t="shared" si="2"/>
        <v>733</v>
      </c>
      <c r="S6" s="690"/>
      <c r="T6" s="690"/>
    </row>
    <row r="7" spans="1:20" s="59" customFormat="1" ht="15.75">
      <c r="A7" s="221">
        <v>2006</v>
      </c>
      <c r="B7" s="740">
        <v>0</v>
      </c>
      <c r="C7" s="740">
        <v>19</v>
      </c>
      <c r="D7" s="740">
        <v>349</v>
      </c>
      <c r="E7" s="740">
        <v>176</v>
      </c>
      <c r="F7" s="740">
        <v>0</v>
      </c>
      <c r="G7" s="740">
        <v>1070</v>
      </c>
      <c r="H7" s="740">
        <v>19</v>
      </c>
      <c r="I7" s="740">
        <v>94</v>
      </c>
      <c r="J7" s="740">
        <v>112</v>
      </c>
      <c r="K7" s="771">
        <f t="shared" si="0"/>
        <v>1839</v>
      </c>
      <c r="L7" s="740">
        <v>0</v>
      </c>
      <c r="M7" s="740">
        <v>0</v>
      </c>
      <c r="N7" s="740">
        <v>0</v>
      </c>
      <c r="O7" s="740">
        <v>20</v>
      </c>
      <c r="P7" s="741">
        <f t="shared" si="1"/>
        <v>20</v>
      </c>
      <c r="Q7" s="741">
        <f t="shared" si="2"/>
        <v>1859</v>
      </c>
      <c r="S7" s="690"/>
      <c r="T7" s="690"/>
    </row>
    <row r="8" spans="1:20" s="59" customFormat="1" ht="15.75">
      <c r="A8" s="221">
        <v>2007</v>
      </c>
      <c r="B8" s="740">
        <v>0</v>
      </c>
      <c r="C8" s="740">
        <v>0</v>
      </c>
      <c r="D8" s="740">
        <v>57</v>
      </c>
      <c r="E8" s="740">
        <v>136</v>
      </c>
      <c r="F8" s="740">
        <v>0</v>
      </c>
      <c r="G8" s="740">
        <v>585</v>
      </c>
      <c r="H8" s="740">
        <v>8</v>
      </c>
      <c r="I8" s="740">
        <v>27</v>
      </c>
      <c r="J8" s="740">
        <v>434</v>
      </c>
      <c r="K8" s="771">
        <f t="shared" si="0"/>
        <v>1247</v>
      </c>
      <c r="L8" s="740">
        <v>0</v>
      </c>
      <c r="M8" s="740">
        <v>0</v>
      </c>
      <c r="N8" s="740">
        <v>0</v>
      </c>
      <c r="O8" s="740">
        <v>0</v>
      </c>
      <c r="P8" s="741">
        <f t="shared" si="1"/>
        <v>0</v>
      </c>
      <c r="Q8" s="741">
        <f t="shared" si="2"/>
        <v>1247</v>
      </c>
      <c r="S8" s="690"/>
      <c r="T8" s="690"/>
    </row>
    <row r="9" spans="1:20" s="59" customFormat="1" ht="15.75">
      <c r="A9" s="221">
        <v>2008</v>
      </c>
      <c r="B9" s="495">
        <v>0</v>
      </c>
      <c r="C9" s="495">
        <v>0</v>
      </c>
      <c r="D9" s="495">
        <v>0</v>
      </c>
      <c r="E9" s="495">
        <v>217</v>
      </c>
      <c r="F9" s="495">
        <v>0</v>
      </c>
      <c r="G9" s="495">
        <v>497</v>
      </c>
      <c r="H9" s="495">
        <v>3</v>
      </c>
      <c r="I9" s="495">
        <v>131</v>
      </c>
      <c r="J9" s="495">
        <v>180</v>
      </c>
      <c r="K9" s="771">
        <f t="shared" si="0"/>
        <v>1028</v>
      </c>
      <c r="L9" s="740">
        <v>0</v>
      </c>
      <c r="M9" s="740">
        <v>0</v>
      </c>
      <c r="N9" s="740">
        <v>0</v>
      </c>
      <c r="O9" s="740">
        <v>0</v>
      </c>
      <c r="P9" s="741">
        <f t="shared" si="1"/>
        <v>0</v>
      </c>
      <c r="Q9" s="741">
        <f t="shared" si="2"/>
        <v>1028</v>
      </c>
      <c r="S9" s="690"/>
      <c r="T9" s="690"/>
    </row>
    <row r="10" spans="1:20" s="59" customFormat="1" ht="15.75">
      <c r="A10" s="221">
        <v>2009</v>
      </c>
      <c r="B10" s="495">
        <v>0</v>
      </c>
      <c r="C10" s="495">
        <v>0</v>
      </c>
      <c r="D10" s="495">
        <v>0</v>
      </c>
      <c r="E10" s="495">
        <v>174</v>
      </c>
      <c r="F10" s="495">
        <v>0</v>
      </c>
      <c r="G10" s="495">
        <v>1232</v>
      </c>
      <c r="H10" s="495">
        <v>3</v>
      </c>
      <c r="I10" s="495">
        <v>52</v>
      </c>
      <c r="J10" s="495">
        <v>105</v>
      </c>
      <c r="K10" s="771">
        <f t="shared" si="0"/>
        <v>1566</v>
      </c>
      <c r="L10" s="495">
        <v>0</v>
      </c>
      <c r="M10" s="495">
        <v>0</v>
      </c>
      <c r="N10" s="495">
        <v>21139</v>
      </c>
      <c r="O10" s="495">
        <v>2582</v>
      </c>
      <c r="P10" s="741">
        <f t="shared" si="1"/>
        <v>23721</v>
      </c>
      <c r="Q10" s="741">
        <f t="shared" si="2"/>
        <v>25287</v>
      </c>
      <c r="S10" s="690"/>
      <c r="T10" s="690"/>
    </row>
    <row r="11" spans="1:20" s="59" customFormat="1" ht="15.75">
      <c r="A11" s="221">
        <v>2010</v>
      </c>
      <c r="B11" s="495">
        <v>0</v>
      </c>
      <c r="C11" s="495">
        <v>0</v>
      </c>
      <c r="D11" s="495">
        <v>0</v>
      </c>
      <c r="E11" s="495">
        <v>505</v>
      </c>
      <c r="F11" s="495">
        <v>0</v>
      </c>
      <c r="G11" s="495">
        <v>2471</v>
      </c>
      <c r="H11" s="495">
        <v>2</v>
      </c>
      <c r="I11" s="495">
        <v>116</v>
      </c>
      <c r="J11" s="495">
        <v>125</v>
      </c>
      <c r="K11" s="771">
        <f t="shared" si="0"/>
        <v>3219</v>
      </c>
      <c r="L11" s="495">
        <v>0</v>
      </c>
      <c r="M11" s="495">
        <v>1</v>
      </c>
      <c r="N11" s="495">
        <v>3310</v>
      </c>
      <c r="O11" s="495">
        <v>4114</v>
      </c>
      <c r="P11" s="741">
        <f t="shared" si="1"/>
        <v>7425</v>
      </c>
      <c r="Q11" s="741">
        <f>K11+P11</f>
        <v>10644</v>
      </c>
      <c r="S11" s="690"/>
      <c r="T11" s="690"/>
    </row>
    <row r="12" spans="1:20" s="59" customFormat="1" ht="15.75">
      <c r="A12" s="221">
        <v>2011</v>
      </c>
      <c r="B12" s="495">
        <v>0</v>
      </c>
      <c r="C12" s="495">
        <v>0</v>
      </c>
      <c r="D12" s="495">
        <v>0</v>
      </c>
      <c r="E12" s="495">
        <v>572</v>
      </c>
      <c r="F12" s="495">
        <v>0</v>
      </c>
      <c r="G12" s="495">
        <v>3158</v>
      </c>
      <c r="H12" s="495">
        <v>8</v>
      </c>
      <c r="I12" s="495">
        <v>306</v>
      </c>
      <c r="J12" s="495">
        <v>247</v>
      </c>
      <c r="K12" s="771">
        <f t="shared" si="0"/>
        <v>4291</v>
      </c>
      <c r="L12" s="495">
        <v>0</v>
      </c>
      <c r="M12" s="495">
        <v>0</v>
      </c>
      <c r="N12" s="495">
        <v>1778</v>
      </c>
      <c r="O12" s="495">
        <v>199</v>
      </c>
      <c r="P12" s="741">
        <f t="shared" si="1"/>
        <v>1977</v>
      </c>
      <c r="Q12" s="741">
        <f>K12+P12</f>
        <v>6268</v>
      </c>
      <c r="S12" s="690"/>
      <c r="T12" s="690"/>
    </row>
    <row r="13" spans="1:20" s="59" customFormat="1" ht="15.75">
      <c r="A13" s="221" t="s">
        <v>1058</v>
      </c>
      <c r="B13" s="495">
        <v>0</v>
      </c>
      <c r="C13" s="495">
        <v>0</v>
      </c>
      <c r="D13" s="495">
        <v>0</v>
      </c>
      <c r="E13" s="495">
        <v>1014</v>
      </c>
      <c r="F13" s="495">
        <v>0</v>
      </c>
      <c r="G13" s="495">
        <v>3741</v>
      </c>
      <c r="H13" s="495">
        <v>11</v>
      </c>
      <c r="I13" s="495">
        <v>1022</v>
      </c>
      <c r="J13" s="495">
        <v>783</v>
      </c>
      <c r="K13" s="771">
        <f t="shared" si="0"/>
        <v>6571</v>
      </c>
      <c r="L13" s="495">
        <v>0</v>
      </c>
      <c r="M13" s="495">
        <v>513</v>
      </c>
      <c r="N13" s="495">
        <v>2945</v>
      </c>
      <c r="O13" s="495">
        <v>17</v>
      </c>
      <c r="P13" s="741">
        <f t="shared" si="1"/>
        <v>3475</v>
      </c>
      <c r="Q13" s="741">
        <f>K13+P13</f>
        <v>10046</v>
      </c>
      <c r="S13" s="690"/>
      <c r="T13" s="690"/>
    </row>
    <row r="14" spans="1:20" s="59" customFormat="1" ht="15.75">
      <c r="A14" s="221" t="s">
        <v>1643</v>
      </c>
      <c r="B14" s="339">
        <v>0</v>
      </c>
      <c r="C14" s="339">
        <v>0</v>
      </c>
      <c r="D14" s="339">
        <v>0</v>
      </c>
      <c r="E14" s="339">
        <v>1482</v>
      </c>
      <c r="F14" s="339">
        <v>0</v>
      </c>
      <c r="G14" s="339">
        <v>7614</v>
      </c>
      <c r="H14" s="339">
        <v>7</v>
      </c>
      <c r="I14" s="339">
        <v>1578</v>
      </c>
      <c r="J14" s="339">
        <v>1278</v>
      </c>
      <c r="K14" s="771">
        <f t="shared" si="0"/>
        <v>11959</v>
      </c>
      <c r="L14" s="339">
        <v>0</v>
      </c>
      <c r="M14" s="339">
        <v>0</v>
      </c>
      <c r="N14" s="339">
        <v>2249</v>
      </c>
      <c r="O14" s="339">
        <v>1532</v>
      </c>
      <c r="P14" s="741">
        <f t="shared" si="1"/>
        <v>3781</v>
      </c>
      <c r="Q14" s="741">
        <f>K14+P14</f>
        <v>15740</v>
      </c>
      <c r="S14" s="690"/>
      <c r="T14" s="690"/>
    </row>
    <row r="15" spans="1:20" s="59" customFormat="1" ht="15.75">
      <c r="A15" s="221" t="s">
        <v>1907</v>
      </c>
      <c r="B15" s="339">
        <v>0</v>
      </c>
      <c r="C15" s="339">
        <v>0</v>
      </c>
      <c r="D15" s="339">
        <v>0</v>
      </c>
      <c r="E15" s="339">
        <f>233+2235</f>
        <v>2468</v>
      </c>
      <c r="F15" s="339">
        <v>0</v>
      </c>
      <c r="G15" s="339">
        <f>1369+13437</f>
        <v>14806</v>
      </c>
      <c r="H15" s="339">
        <f>127+641</f>
        <v>768</v>
      </c>
      <c r="I15" s="339">
        <f>298+4015</f>
        <v>4313</v>
      </c>
      <c r="J15" s="339">
        <f>232+2281</f>
        <v>2513</v>
      </c>
      <c r="K15" s="771">
        <f t="shared" si="0"/>
        <v>24868</v>
      </c>
      <c r="L15" s="339">
        <v>0</v>
      </c>
      <c r="M15" s="339">
        <v>0</v>
      </c>
      <c r="N15" s="339">
        <f>1036+5999</f>
        <v>7035</v>
      </c>
      <c r="O15" s="339">
        <f>0+324</f>
        <v>324</v>
      </c>
      <c r="P15" s="741">
        <f t="shared" si="1"/>
        <v>7359</v>
      </c>
      <c r="Q15" s="741">
        <f>K15+P15</f>
        <v>32227</v>
      </c>
      <c r="S15" s="690"/>
      <c r="T15" s="690"/>
    </row>
    <row r="16" spans="1:20" s="59" customFormat="1" ht="15.75">
      <c r="A16" s="525" t="s">
        <v>23</v>
      </c>
      <c r="B16" s="741">
        <f t="shared" ref="B16:J16" si="3">SUM(B6:B15)</f>
        <v>0</v>
      </c>
      <c r="C16" s="741">
        <f t="shared" si="3"/>
        <v>23</v>
      </c>
      <c r="D16" s="741">
        <f t="shared" si="3"/>
        <v>685</v>
      </c>
      <c r="E16" s="741">
        <f t="shared" si="3"/>
        <v>6859</v>
      </c>
      <c r="F16" s="741">
        <f t="shared" si="3"/>
        <v>0</v>
      </c>
      <c r="G16" s="741">
        <f t="shared" si="3"/>
        <v>35302</v>
      </c>
      <c r="H16" s="741">
        <f t="shared" si="3"/>
        <v>832</v>
      </c>
      <c r="I16" s="741">
        <f t="shared" si="3"/>
        <v>7707</v>
      </c>
      <c r="J16" s="741">
        <f t="shared" si="3"/>
        <v>5913</v>
      </c>
      <c r="K16" s="741">
        <f>SUM(K6:K15)</f>
        <v>57321</v>
      </c>
      <c r="L16" s="741">
        <f t="shared" ref="L16:Q16" si="4">SUM(L6:L15)</f>
        <v>0</v>
      </c>
      <c r="M16" s="741">
        <f t="shared" si="4"/>
        <v>514</v>
      </c>
      <c r="N16" s="741">
        <f t="shared" si="4"/>
        <v>38456</v>
      </c>
      <c r="O16" s="741">
        <f t="shared" si="4"/>
        <v>8788</v>
      </c>
      <c r="P16" s="741">
        <f t="shared" si="4"/>
        <v>47758</v>
      </c>
      <c r="Q16" s="741">
        <f t="shared" si="4"/>
        <v>105079</v>
      </c>
      <c r="S16" s="690"/>
      <c r="T16" s="690"/>
    </row>
    <row r="17" spans="1:20" s="59" customFormat="1">
      <c r="A17" s="151"/>
      <c r="B17" s="151"/>
      <c r="C17" s="151"/>
      <c r="D17" s="151"/>
      <c r="E17" s="128"/>
      <c r="F17" s="128"/>
      <c r="G17" s="128"/>
      <c r="H17" s="151"/>
      <c r="I17" s="151"/>
      <c r="J17" s="151"/>
      <c r="K17" s="151"/>
      <c r="L17" s="151" t="s">
        <v>407</v>
      </c>
      <c r="M17" s="151"/>
      <c r="N17" s="151"/>
      <c r="O17" s="151"/>
      <c r="P17" s="151"/>
      <c r="Q17" s="151"/>
      <c r="S17" s="690"/>
      <c r="T17" s="690"/>
    </row>
    <row r="18" spans="1:20" s="59" customFormat="1">
      <c r="A18" s="151"/>
      <c r="B18" s="151"/>
      <c r="C18" s="70"/>
      <c r="D18" s="70"/>
      <c r="E18" s="70"/>
      <c r="F18" s="70"/>
      <c r="G18" s="90"/>
      <c r="H18" s="70"/>
      <c r="I18" s="90"/>
      <c r="J18" s="70"/>
      <c r="K18" s="70"/>
      <c r="L18" s="70"/>
      <c r="M18" s="70"/>
      <c r="N18" s="70"/>
      <c r="O18" s="70"/>
      <c r="P18" s="90"/>
      <c r="Q18" s="31"/>
    </row>
    <row r="19" spans="1:20" s="59" customFormat="1">
      <c r="A19" s="151"/>
      <c r="B19" s="151"/>
      <c r="C19" s="70"/>
      <c r="D19" s="70"/>
      <c r="E19" s="70"/>
      <c r="F19" s="70"/>
      <c r="G19" s="90"/>
      <c r="H19" s="70"/>
      <c r="I19" s="90"/>
      <c r="J19" s="70"/>
      <c r="K19" s="70"/>
      <c r="L19" s="70"/>
      <c r="M19" s="90"/>
      <c r="N19" s="70"/>
      <c r="O19" s="70"/>
      <c r="P19" s="70"/>
      <c r="Q19" s="70"/>
    </row>
    <row r="20" spans="1:20" s="59" customFormat="1">
      <c r="A20" s="151"/>
      <c r="B20" s="151"/>
      <c r="C20" s="70"/>
      <c r="D20" s="70"/>
      <c r="E20" s="70"/>
      <c r="F20" s="70"/>
      <c r="G20" s="90"/>
      <c r="H20" s="70"/>
      <c r="I20" s="90"/>
      <c r="J20" s="70"/>
      <c r="K20" s="70"/>
      <c r="L20" s="70"/>
      <c r="M20" s="90"/>
      <c r="N20" s="70"/>
      <c r="O20" s="70"/>
      <c r="P20" s="70"/>
      <c r="Q20" s="70"/>
    </row>
    <row r="21" spans="1:20" s="59" customFormat="1">
      <c r="A21" s="151"/>
      <c r="B21" s="151"/>
      <c r="C21" s="70"/>
      <c r="D21" s="70"/>
      <c r="E21" s="70"/>
      <c r="F21" s="70"/>
      <c r="G21" s="90"/>
      <c r="H21" s="70"/>
      <c r="I21" s="90"/>
      <c r="J21" s="70"/>
      <c r="K21" s="70"/>
      <c r="L21" s="70"/>
      <c r="M21" s="70"/>
      <c r="N21" s="70"/>
      <c r="O21" s="70"/>
      <c r="P21" s="90"/>
      <c r="Q21" s="70"/>
    </row>
    <row r="22" spans="1:20" s="59" customFormat="1">
      <c r="A22" s="151"/>
      <c r="B22" s="151"/>
      <c r="C22" s="70"/>
      <c r="D22" s="70"/>
      <c r="E22" s="70"/>
      <c r="F22" s="70"/>
      <c r="G22" s="90"/>
      <c r="H22" s="70"/>
      <c r="I22" s="90"/>
      <c r="J22" s="70"/>
      <c r="K22" s="70"/>
      <c r="L22" s="70"/>
      <c r="M22" s="90"/>
      <c r="N22" s="70"/>
      <c r="O22" s="70"/>
      <c r="P22" s="90"/>
      <c r="Q22" s="90"/>
    </row>
    <row r="23" spans="1:20" s="59" customFormat="1">
      <c r="A23" s="151"/>
      <c r="B23" s="151"/>
      <c r="C23" s="70"/>
      <c r="D23" s="70"/>
      <c r="E23" s="70"/>
      <c r="F23" s="70"/>
      <c r="G23" s="70"/>
      <c r="H23" s="70"/>
      <c r="I23" s="90"/>
      <c r="J23" s="70"/>
      <c r="K23" s="90"/>
      <c r="L23" s="90"/>
      <c r="M23" s="70"/>
      <c r="N23" s="70"/>
      <c r="O23" s="70"/>
      <c r="P23" s="70"/>
      <c r="Q23" s="70"/>
    </row>
    <row r="24" spans="1:20" s="59" customFormat="1">
      <c r="A24" s="151"/>
      <c r="B24" s="151"/>
      <c r="C24" s="70"/>
      <c r="D24" s="70"/>
      <c r="E24" s="70"/>
      <c r="F24" s="70"/>
      <c r="G24" s="70"/>
      <c r="H24" s="70"/>
      <c r="I24" s="90"/>
      <c r="J24" s="70"/>
      <c r="K24" s="70"/>
      <c r="L24" s="70"/>
      <c r="M24" s="90"/>
      <c r="N24" s="70"/>
      <c r="O24" s="70"/>
      <c r="P24" s="70"/>
      <c r="Q24" s="90"/>
    </row>
    <row r="25" spans="1:20" s="59" customFormat="1">
      <c r="A25" s="151"/>
      <c r="B25" s="151"/>
      <c r="C25" s="70"/>
      <c r="D25" s="70"/>
      <c r="E25" s="70"/>
      <c r="F25" s="70"/>
      <c r="G25" s="90"/>
      <c r="H25" s="70"/>
      <c r="I25" s="90"/>
      <c r="J25" s="70"/>
      <c r="K25" s="70"/>
      <c r="L25" s="70"/>
      <c r="M25" s="90"/>
      <c r="N25" s="70"/>
      <c r="O25" s="70"/>
      <c r="P25" s="70"/>
      <c r="Q25" s="90"/>
    </row>
    <row r="26" spans="1:20" s="59" customFormat="1">
      <c r="A26" s="151"/>
      <c r="B26" s="151"/>
      <c r="C26" s="151"/>
      <c r="D26" s="32"/>
      <c r="E26" s="32"/>
      <c r="F26" s="32"/>
      <c r="G26" s="33"/>
      <c r="H26" s="32"/>
      <c r="I26" s="33"/>
      <c r="J26" s="32"/>
      <c r="K26" s="33"/>
      <c r="L26" s="33"/>
      <c r="M26" s="33"/>
      <c r="N26" s="32"/>
      <c r="O26" s="32"/>
      <c r="P26" s="32"/>
      <c r="Q26" s="34"/>
    </row>
    <row r="27" spans="1:20" s="59" customFormat="1">
      <c r="A27" s="151"/>
      <c r="B27" s="151"/>
      <c r="C27" s="70"/>
      <c r="D27" s="70"/>
      <c r="E27" s="70"/>
      <c r="F27" s="70"/>
      <c r="G27" s="90"/>
      <c r="H27" s="70"/>
      <c r="I27" s="90"/>
      <c r="J27" s="70"/>
      <c r="K27" s="70"/>
      <c r="L27" s="70"/>
      <c r="M27" s="90"/>
      <c r="N27" s="70"/>
      <c r="O27" s="70"/>
      <c r="P27" s="90"/>
      <c r="Q27" s="90"/>
    </row>
    <row r="28" spans="1:20" s="59" customFormat="1">
      <c r="A28" s="151"/>
      <c r="B28" s="151"/>
      <c r="C28" s="151"/>
      <c r="D28" s="151"/>
      <c r="E28" s="151"/>
      <c r="F28" s="151"/>
      <c r="G28" s="151"/>
      <c r="H28" s="151"/>
      <c r="I28" s="151"/>
      <c r="J28" s="151"/>
      <c r="K28" s="151"/>
      <c r="L28" s="151"/>
      <c r="M28" s="151"/>
      <c r="N28" s="151"/>
      <c r="O28" s="151"/>
      <c r="P28" s="151"/>
      <c r="Q28" s="151"/>
    </row>
    <row r="29" spans="1:20" s="59" customFormat="1">
      <c r="A29" s="151"/>
      <c r="B29" s="151"/>
      <c r="C29" s="151"/>
      <c r="D29" s="151"/>
      <c r="E29" s="151"/>
      <c r="F29" s="151"/>
      <c r="G29" s="151"/>
      <c r="H29" s="151"/>
      <c r="I29" s="151"/>
      <c r="J29" s="151"/>
      <c r="K29" s="151"/>
      <c r="L29" s="151"/>
      <c r="M29" s="151"/>
      <c r="N29" s="151"/>
      <c r="O29" s="151"/>
      <c r="P29" s="151"/>
      <c r="Q29" s="151"/>
    </row>
    <row r="30" spans="1:20" s="59" customFormat="1">
      <c r="A30" s="151"/>
      <c r="B30" s="151"/>
      <c r="C30" s="151"/>
      <c r="D30" s="151"/>
      <c r="E30" s="151"/>
      <c r="F30" s="151"/>
      <c r="G30" s="151"/>
      <c r="H30" s="151"/>
      <c r="I30" s="151"/>
      <c r="J30" s="151"/>
      <c r="K30" s="151"/>
      <c r="L30" s="151"/>
      <c r="M30" s="151"/>
      <c r="N30" s="151"/>
      <c r="O30" s="151"/>
      <c r="P30" s="151"/>
      <c r="Q30" s="151"/>
    </row>
    <row r="31" spans="1:20" s="59" customFormat="1">
      <c r="A31" s="151"/>
      <c r="B31" s="151"/>
      <c r="C31" s="151"/>
      <c r="D31" s="151"/>
      <c r="E31" s="151"/>
      <c r="F31" s="151"/>
      <c r="G31" s="151"/>
      <c r="H31" s="151"/>
      <c r="I31" s="151"/>
      <c r="J31" s="151"/>
      <c r="K31" s="151"/>
      <c r="L31" s="151"/>
      <c r="M31" s="151"/>
      <c r="N31" s="151"/>
      <c r="O31" s="151"/>
      <c r="P31" s="151"/>
      <c r="Q31" s="151"/>
    </row>
    <row r="32" spans="1:20" s="59" customFormat="1">
      <c r="A32" s="151"/>
      <c r="B32" s="151"/>
      <c r="C32" s="151"/>
      <c r="D32" s="151"/>
      <c r="E32" s="151"/>
      <c r="F32" s="151"/>
      <c r="G32" s="151"/>
      <c r="H32" s="151"/>
      <c r="I32" s="151"/>
      <c r="J32" s="151"/>
      <c r="K32" s="151"/>
      <c r="L32" s="151"/>
      <c r="M32" s="151"/>
      <c r="N32" s="151"/>
      <c r="O32" s="151"/>
      <c r="P32" s="151"/>
      <c r="Q32" s="151"/>
    </row>
    <row r="33" spans="1:17" s="59" customFormat="1">
      <c r="A33" s="151"/>
      <c r="B33" s="151"/>
      <c r="C33" s="151"/>
      <c r="D33" s="151"/>
      <c r="E33" s="151"/>
      <c r="F33" s="151"/>
      <c r="G33" s="151"/>
      <c r="H33" s="151"/>
      <c r="I33" s="151"/>
      <c r="J33" s="151"/>
      <c r="K33" s="151"/>
      <c r="L33" s="151"/>
      <c r="M33" s="151"/>
      <c r="N33" s="151"/>
      <c r="O33" s="151"/>
      <c r="P33" s="151"/>
      <c r="Q33" s="151"/>
    </row>
    <row r="34" spans="1:17" s="59" customFormat="1">
      <c r="A34" s="151"/>
      <c r="B34" s="151"/>
      <c r="C34" s="151"/>
      <c r="D34" s="151"/>
      <c r="E34" s="151"/>
      <c r="F34" s="151"/>
      <c r="G34" s="151"/>
      <c r="H34" s="151"/>
      <c r="I34" s="151"/>
      <c r="J34" s="151"/>
      <c r="K34" s="151"/>
      <c r="L34" s="151"/>
      <c r="M34" s="151"/>
      <c r="N34" s="151"/>
      <c r="O34" s="151"/>
      <c r="P34" s="151"/>
      <c r="Q34" s="151"/>
    </row>
    <row r="35" spans="1:17" s="59" customFormat="1">
      <c r="A35" s="151"/>
      <c r="B35" s="151"/>
      <c r="C35" s="151"/>
      <c r="D35" s="151"/>
      <c r="E35" s="151"/>
      <c r="F35" s="151"/>
      <c r="G35" s="151"/>
      <c r="H35" s="151"/>
      <c r="I35" s="151"/>
      <c r="J35" s="151"/>
      <c r="K35" s="151"/>
      <c r="L35" s="151"/>
      <c r="M35" s="151"/>
      <c r="N35" s="151"/>
      <c r="O35" s="151"/>
      <c r="P35" s="151"/>
      <c r="Q35" s="151"/>
    </row>
    <row r="36" spans="1:17" s="59" customFormat="1">
      <c r="A36" s="151"/>
      <c r="B36" s="151"/>
      <c r="C36" s="151"/>
      <c r="D36" s="151"/>
      <c r="E36" s="151"/>
      <c r="F36" s="151"/>
      <c r="G36" s="151"/>
      <c r="H36" s="151"/>
      <c r="I36" s="151"/>
      <c r="J36" s="151"/>
      <c r="K36" s="151"/>
      <c r="L36" s="151"/>
      <c r="M36" s="151"/>
      <c r="N36" s="151"/>
      <c r="O36" s="151"/>
      <c r="P36" s="151"/>
      <c r="Q36" s="151"/>
    </row>
    <row r="37" spans="1:17" s="59" customFormat="1">
      <c r="A37" s="128"/>
      <c r="B37" s="128"/>
      <c r="C37" s="128"/>
      <c r="D37" s="128"/>
      <c r="E37" s="128"/>
      <c r="F37" s="128"/>
      <c r="G37" s="128"/>
      <c r="H37" s="128"/>
      <c r="I37" s="128"/>
      <c r="J37" s="128"/>
      <c r="K37" s="128"/>
      <c r="L37" s="128"/>
      <c r="M37" s="128"/>
      <c r="N37" s="128"/>
      <c r="O37" s="128"/>
      <c r="P37" s="128"/>
      <c r="Q37" s="128"/>
    </row>
    <row r="38" spans="1:17" s="59" customFormat="1">
      <c r="A38" s="128"/>
      <c r="B38" s="128"/>
      <c r="C38" s="128"/>
      <c r="D38" s="128"/>
      <c r="E38" s="128"/>
      <c r="F38" s="128"/>
      <c r="G38" s="128"/>
      <c r="H38" s="128"/>
      <c r="I38" s="128"/>
      <c r="J38" s="128"/>
      <c r="K38" s="128"/>
      <c r="L38" s="128"/>
      <c r="M38" s="128"/>
      <c r="N38" s="128"/>
      <c r="O38" s="128"/>
      <c r="P38" s="128"/>
      <c r="Q38" s="128"/>
    </row>
    <row r="39" spans="1:17" s="59" customFormat="1">
      <c r="A39" s="128"/>
      <c r="B39" s="128"/>
      <c r="C39" s="128"/>
      <c r="D39" s="128"/>
      <c r="E39" s="128"/>
      <c r="F39" s="128"/>
      <c r="G39" s="128"/>
      <c r="H39" s="128"/>
      <c r="I39" s="128"/>
      <c r="J39" s="128"/>
      <c r="K39" s="128"/>
      <c r="L39" s="128"/>
      <c r="M39" s="128"/>
      <c r="N39" s="128"/>
      <c r="O39" s="128"/>
      <c r="P39" s="128"/>
      <c r="Q39" s="128"/>
    </row>
    <row r="40" spans="1:17" s="59" customFormat="1">
      <c r="A40" s="128"/>
      <c r="B40" s="128"/>
      <c r="C40" s="128"/>
      <c r="D40" s="128"/>
      <c r="E40" s="128"/>
      <c r="F40" s="128"/>
      <c r="G40" s="128"/>
      <c r="H40" s="128"/>
      <c r="I40" s="128"/>
      <c r="J40" s="128"/>
      <c r="K40" s="128"/>
      <c r="L40" s="128"/>
      <c r="M40" s="128"/>
      <c r="N40" s="128"/>
      <c r="O40" s="128"/>
      <c r="P40" s="128"/>
      <c r="Q40" s="128"/>
    </row>
    <row r="41" spans="1:17" s="59" customFormat="1">
      <c r="A41" s="128"/>
      <c r="B41" s="128"/>
      <c r="C41" s="128"/>
      <c r="D41" s="128"/>
      <c r="E41" s="128"/>
      <c r="F41" s="128"/>
      <c r="G41" s="128"/>
      <c r="H41" s="128"/>
      <c r="I41" s="128"/>
      <c r="J41" s="128"/>
      <c r="K41" s="128"/>
      <c r="L41" s="128"/>
      <c r="M41" s="128"/>
      <c r="N41" s="128"/>
      <c r="O41" s="128"/>
      <c r="P41" s="128"/>
      <c r="Q41" s="128"/>
    </row>
    <row r="42" spans="1:17" s="59" customFormat="1">
      <c r="A42" s="128"/>
      <c r="B42" s="128"/>
      <c r="C42" s="128"/>
      <c r="D42" s="128"/>
      <c r="E42" s="128"/>
      <c r="F42" s="128"/>
      <c r="G42" s="128"/>
      <c r="H42" s="128"/>
      <c r="I42" s="128"/>
      <c r="J42" s="128"/>
      <c r="K42" s="128"/>
      <c r="L42" s="128"/>
      <c r="M42" s="128"/>
      <c r="N42" s="128"/>
      <c r="O42" s="128"/>
      <c r="P42" s="128"/>
      <c r="Q42" s="128"/>
    </row>
    <row r="43" spans="1:17" s="59" customFormat="1">
      <c r="A43" s="128"/>
      <c r="B43" s="128"/>
      <c r="C43" s="128"/>
      <c r="D43" s="128"/>
      <c r="E43" s="128"/>
      <c r="F43" s="128"/>
      <c r="G43" s="128"/>
      <c r="H43" s="128"/>
      <c r="I43" s="128"/>
      <c r="J43" s="128"/>
      <c r="K43" s="128"/>
      <c r="L43" s="128"/>
      <c r="M43" s="128"/>
      <c r="N43" s="128"/>
      <c r="O43" s="128"/>
      <c r="P43" s="128"/>
      <c r="Q43" s="128"/>
    </row>
    <row r="44" spans="1:17" s="59" customFormat="1">
      <c r="A44" s="128"/>
      <c r="B44" s="128"/>
      <c r="C44" s="128"/>
      <c r="D44" s="128"/>
      <c r="E44" s="128"/>
      <c r="F44" s="128"/>
      <c r="G44" s="128"/>
      <c r="H44" s="128"/>
      <c r="I44" s="128"/>
      <c r="J44" s="128"/>
      <c r="K44" s="128"/>
      <c r="L44" s="128"/>
      <c r="M44" s="128"/>
      <c r="N44" s="128"/>
      <c r="O44" s="128"/>
      <c r="P44" s="128"/>
      <c r="Q44" s="128"/>
    </row>
    <row r="45" spans="1:17" s="59" customFormat="1">
      <c r="A45" s="128"/>
      <c r="B45" s="128"/>
      <c r="C45" s="128"/>
      <c r="D45" s="128"/>
      <c r="E45" s="128"/>
      <c r="F45" s="128"/>
      <c r="G45" s="128"/>
      <c r="H45" s="128"/>
      <c r="I45" s="128"/>
      <c r="J45" s="128"/>
      <c r="K45" s="128"/>
      <c r="L45" s="128"/>
      <c r="M45" s="128"/>
      <c r="N45" s="128"/>
      <c r="O45" s="128"/>
      <c r="P45" s="128"/>
      <c r="Q45" s="128"/>
    </row>
    <row r="46" spans="1:17" s="59" customFormat="1">
      <c r="A46" s="128"/>
      <c r="B46" s="128"/>
      <c r="C46" s="128"/>
      <c r="D46" s="128"/>
      <c r="E46" s="128"/>
      <c r="F46" s="128"/>
      <c r="G46" s="128"/>
      <c r="H46" s="128"/>
      <c r="I46" s="128"/>
      <c r="J46" s="128"/>
      <c r="K46" s="128"/>
      <c r="L46" s="128"/>
      <c r="M46" s="128"/>
      <c r="N46" s="128"/>
      <c r="O46" s="128"/>
      <c r="P46" s="128"/>
      <c r="Q46" s="128"/>
    </row>
    <row r="47" spans="1:17" s="59" customFormat="1">
      <c r="A47" s="128"/>
      <c r="B47" s="128"/>
      <c r="C47" s="128"/>
      <c r="D47" s="128"/>
      <c r="E47" s="128"/>
      <c r="F47" s="128"/>
      <c r="G47" s="128"/>
      <c r="H47" s="128"/>
      <c r="I47" s="128"/>
      <c r="J47" s="128"/>
      <c r="K47" s="128"/>
      <c r="L47" s="128"/>
      <c r="M47" s="128"/>
      <c r="N47" s="128"/>
      <c r="O47" s="128"/>
      <c r="P47" s="128"/>
      <c r="Q47" s="128"/>
    </row>
    <row r="48" spans="1:17" s="59" customFormat="1">
      <c r="A48" s="128"/>
      <c r="B48" s="128"/>
      <c r="C48" s="128"/>
      <c r="D48" s="128"/>
      <c r="E48" s="128"/>
      <c r="F48" s="128"/>
      <c r="G48" s="128"/>
      <c r="H48" s="128"/>
      <c r="I48" s="128"/>
      <c r="J48" s="128"/>
      <c r="K48" s="128"/>
      <c r="L48" s="128"/>
      <c r="M48" s="128"/>
      <c r="N48" s="128"/>
      <c r="O48" s="128"/>
      <c r="P48" s="128"/>
      <c r="Q48" s="128"/>
    </row>
    <row r="49" spans="1:17" s="59" customFormat="1">
      <c r="A49" s="128"/>
      <c r="B49" s="128"/>
      <c r="C49" s="128"/>
      <c r="D49" s="128"/>
      <c r="E49" s="128"/>
      <c r="F49" s="128"/>
      <c r="G49" s="128"/>
      <c r="H49" s="128"/>
      <c r="I49" s="128"/>
      <c r="J49" s="128"/>
      <c r="K49" s="128"/>
      <c r="L49" s="128"/>
      <c r="M49" s="128"/>
      <c r="N49" s="128"/>
      <c r="O49" s="128"/>
      <c r="P49" s="128"/>
      <c r="Q49" s="128"/>
    </row>
    <row r="50" spans="1:17" s="59" customFormat="1">
      <c r="A50" s="128"/>
      <c r="B50" s="128"/>
      <c r="C50" s="128"/>
      <c r="D50" s="128"/>
      <c r="E50" s="128"/>
      <c r="F50" s="128"/>
      <c r="G50" s="128"/>
      <c r="H50" s="128"/>
      <c r="I50" s="128"/>
      <c r="J50" s="128"/>
      <c r="K50" s="128"/>
      <c r="L50" s="128"/>
      <c r="M50" s="128"/>
      <c r="N50" s="128"/>
      <c r="O50" s="128"/>
      <c r="P50" s="128"/>
      <c r="Q50" s="128"/>
    </row>
    <row r="51" spans="1:17" s="59" customFormat="1">
      <c r="A51" s="128"/>
      <c r="B51" s="128"/>
      <c r="C51" s="128"/>
      <c r="D51" s="128"/>
      <c r="E51" s="128"/>
      <c r="F51" s="128"/>
      <c r="G51" s="128"/>
      <c r="H51" s="128"/>
      <c r="I51" s="128"/>
      <c r="J51" s="128"/>
      <c r="K51" s="128"/>
      <c r="L51" s="128"/>
      <c r="M51" s="128"/>
      <c r="N51" s="128"/>
      <c r="O51" s="128"/>
      <c r="P51" s="128"/>
      <c r="Q51" s="128"/>
    </row>
    <row r="52" spans="1:17" s="59" customFormat="1">
      <c r="A52" s="128"/>
      <c r="B52" s="128"/>
      <c r="C52" s="128"/>
      <c r="D52" s="128"/>
      <c r="E52" s="128"/>
      <c r="F52" s="128"/>
      <c r="G52" s="128"/>
      <c r="H52" s="128"/>
      <c r="I52" s="128"/>
      <c r="J52" s="128"/>
      <c r="K52" s="128"/>
      <c r="L52" s="128"/>
      <c r="M52" s="128"/>
      <c r="N52" s="128"/>
      <c r="O52" s="128"/>
      <c r="P52" s="128"/>
      <c r="Q52" s="128"/>
    </row>
    <row r="53" spans="1:17" s="59" customFormat="1">
      <c r="A53" s="128"/>
      <c r="B53" s="128"/>
      <c r="C53" s="128"/>
      <c r="D53" s="128"/>
      <c r="E53" s="128"/>
      <c r="F53" s="128"/>
      <c r="G53" s="128"/>
      <c r="H53" s="128"/>
      <c r="I53" s="128"/>
      <c r="J53" s="128"/>
      <c r="K53" s="128"/>
      <c r="L53" s="128"/>
      <c r="M53" s="128"/>
      <c r="N53" s="128"/>
      <c r="O53" s="128"/>
      <c r="P53" s="128"/>
      <c r="Q53" s="128"/>
    </row>
    <row r="54" spans="1:17" s="59" customFormat="1">
      <c r="A54" s="128"/>
      <c r="B54" s="128"/>
      <c r="C54" s="128"/>
      <c r="D54" s="128"/>
      <c r="E54" s="128"/>
      <c r="F54" s="128"/>
      <c r="G54" s="128"/>
      <c r="H54" s="128"/>
      <c r="I54" s="128"/>
      <c r="J54" s="128"/>
      <c r="K54" s="128"/>
      <c r="L54" s="128"/>
      <c r="M54" s="128"/>
      <c r="N54" s="128"/>
      <c r="O54" s="128"/>
      <c r="P54" s="128"/>
      <c r="Q54" s="128"/>
    </row>
    <row r="55" spans="1:17" s="59" customFormat="1">
      <c r="A55" s="128"/>
      <c r="B55" s="128"/>
      <c r="C55" s="128"/>
      <c r="D55" s="128"/>
      <c r="E55" s="128"/>
      <c r="F55" s="128"/>
      <c r="G55" s="128"/>
      <c r="H55" s="128"/>
      <c r="I55" s="128"/>
      <c r="J55" s="128"/>
      <c r="K55" s="128"/>
      <c r="L55" s="128"/>
      <c r="M55" s="128"/>
      <c r="N55" s="128"/>
      <c r="O55" s="128"/>
      <c r="P55" s="128"/>
      <c r="Q55" s="128"/>
    </row>
    <row r="56" spans="1:17" s="59" customFormat="1">
      <c r="A56" s="128"/>
      <c r="B56" s="128"/>
      <c r="C56" s="128"/>
      <c r="D56" s="128"/>
      <c r="E56" s="128"/>
      <c r="F56" s="128"/>
      <c r="G56" s="128"/>
      <c r="H56" s="128"/>
      <c r="I56" s="128"/>
      <c r="J56" s="128"/>
      <c r="K56" s="128"/>
      <c r="L56" s="128"/>
      <c r="M56" s="128"/>
      <c r="N56" s="128"/>
      <c r="O56" s="128"/>
      <c r="P56" s="128"/>
      <c r="Q56" s="128"/>
    </row>
    <row r="57" spans="1:17" s="59" customFormat="1">
      <c r="A57" s="128"/>
      <c r="B57" s="128"/>
      <c r="C57" s="128"/>
      <c r="D57" s="128"/>
      <c r="E57" s="128"/>
      <c r="F57" s="128"/>
      <c r="G57" s="128"/>
      <c r="H57" s="128"/>
      <c r="I57" s="128"/>
      <c r="J57" s="128"/>
      <c r="K57" s="128"/>
      <c r="L57" s="128"/>
      <c r="M57" s="128"/>
      <c r="N57" s="128"/>
      <c r="O57" s="128"/>
      <c r="P57" s="128"/>
      <c r="Q57" s="128"/>
    </row>
    <row r="58" spans="1:17" s="59" customFormat="1">
      <c r="A58" s="128"/>
      <c r="B58" s="128"/>
      <c r="C58" s="128"/>
      <c r="D58" s="128"/>
      <c r="E58" s="128"/>
      <c r="F58" s="128"/>
      <c r="G58" s="128"/>
      <c r="H58" s="128"/>
      <c r="I58" s="128"/>
      <c r="J58" s="128"/>
      <c r="K58" s="128"/>
      <c r="L58" s="128"/>
      <c r="M58" s="128"/>
      <c r="N58" s="128"/>
      <c r="O58" s="128"/>
      <c r="P58" s="128"/>
      <c r="Q58" s="128"/>
    </row>
    <row r="59" spans="1:17" s="59" customFormat="1">
      <c r="A59" s="128"/>
      <c r="B59" s="128"/>
      <c r="C59" s="128"/>
      <c r="D59" s="128"/>
      <c r="E59" s="128"/>
      <c r="F59" s="128"/>
      <c r="G59" s="128"/>
      <c r="H59" s="128"/>
      <c r="I59" s="128"/>
      <c r="J59" s="128"/>
      <c r="K59" s="128"/>
      <c r="L59" s="128"/>
      <c r="M59" s="128"/>
      <c r="N59" s="128"/>
      <c r="O59" s="128"/>
      <c r="P59" s="128"/>
      <c r="Q59" s="128"/>
    </row>
    <row r="60" spans="1:17" s="59" customFormat="1">
      <c r="A60" s="128"/>
      <c r="B60" s="128"/>
      <c r="C60" s="128"/>
      <c r="D60" s="128"/>
      <c r="E60" s="128"/>
      <c r="F60" s="128"/>
      <c r="G60" s="128"/>
      <c r="H60" s="128"/>
      <c r="I60" s="128"/>
      <c r="J60" s="128"/>
      <c r="K60" s="128"/>
      <c r="L60" s="128"/>
      <c r="M60" s="128"/>
      <c r="N60" s="128"/>
      <c r="O60" s="128"/>
      <c r="P60" s="128"/>
      <c r="Q60" s="128"/>
    </row>
    <row r="61" spans="1:17" s="59" customFormat="1">
      <c r="A61" s="128"/>
      <c r="B61" s="128"/>
      <c r="C61" s="128"/>
      <c r="D61" s="128"/>
      <c r="E61" s="128"/>
      <c r="F61" s="128"/>
      <c r="G61" s="128"/>
      <c r="H61" s="128"/>
      <c r="I61" s="128"/>
      <c r="J61" s="128"/>
      <c r="K61" s="128"/>
      <c r="L61" s="128"/>
      <c r="M61" s="128"/>
      <c r="N61" s="128"/>
      <c r="O61" s="128"/>
      <c r="P61" s="128"/>
      <c r="Q61" s="128"/>
    </row>
    <row r="62" spans="1:17" s="59" customFormat="1">
      <c r="A62" s="128"/>
      <c r="B62" s="128"/>
      <c r="C62" s="128"/>
      <c r="D62" s="128"/>
      <c r="E62" s="128"/>
      <c r="F62" s="128"/>
      <c r="G62" s="128"/>
      <c r="H62" s="128"/>
      <c r="I62" s="128"/>
      <c r="J62" s="128"/>
      <c r="K62" s="128"/>
      <c r="L62" s="128"/>
      <c r="M62" s="128"/>
      <c r="N62" s="128"/>
      <c r="O62" s="128"/>
      <c r="P62" s="128"/>
      <c r="Q62" s="128"/>
    </row>
    <row r="63" spans="1:17" s="59" customFormat="1">
      <c r="A63" s="128"/>
      <c r="B63" s="128"/>
      <c r="C63" s="128"/>
      <c r="D63" s="128"/>
      <c r="E63" s="128"/>
      <c r="F63" s="128"/>
      <c r="G63" s="128"/>
      <c r="H63" s="128"/>
      <c r="I63" s="128"/>
      <c r="J63" s="128"/>
      <c r="K63" s="128"/>
      <c r="L63" s="128"/>
      <c r="M63" s="128"/>
      <c r="N63" s="128"/>
      <c r="O63" s="128"/>
      <c r="P63" s="128"/>
      <c r="Q63" s="128"/>
    </row>
    <row r="64" spans="1:17" s="59" customFormat="1">
      <c r="A64" s="128"/>
      <c r="B64" s="128"/>
      <c r="C64" s="128"/>
      <c r="D64" s="128"/>
      <c r="E64" s="128"/>
      <c r="F64" s="128"/>
      <c r="G64" s="128"/>
      <c r="H64" s="128"/>
      <c r="I64" s="128"/>
      <c r="J64" s="128"/>
      <c r="K64" s="128"/>
      <c r="L64" s="128"/>
      <c r="M64" s="128"/>
      <c r="N64" s="128"/>
      <c r="O64" s="128"/>
      <c r="P64" s="128"/>
      <c r="Q64" s="128"/>
    </row>
    <row r="65" spans="1:17" s="59" customFormat="1">
      <c r="A65" s="128"/>
      <c r="B65" s="128"/>
      <c r="C65" s="128"/>
      <c r="D65" s="128"/>
      <c r="E65" s="128"/>
      <c r="F65" s="128"/>
      <c r="G65" s="128"/>
      <c r="H65" s="128"/>
      <c r="I65" s="128"/>
      <c r="J65" s="128"/>
      <c r="K65" s="128"/>
      <c r="L65" s="128"/>
      <c r="M65" s="128"/>
      <c r="N65" s="128"/>
      <c r="O65" s="128"/>
      <c r="P65" s="128"/>
      <c r="Q65" s="128"/>
    </row>
    <row r="66" spans="1:17" s="59" customFormat="1">
      <c r="A66" s="128"/>
      <c r="B66" s="128"/>
      <c r="C66" s="128"/>
      <c r="D66" s="128"/>
      <c r="E66" s="128"/>
      <c r="F66" s="128"/>
      <c r="G66" s="128"/>
      <c r="H66" s="128"/>
      <c r="I66" s="128"/>
      <c r="J66" s="128"/>
      <c r="K66" s="128"/>
      <c r="L66" s="128"/>
      <c r="M66" s="128"/>
      <c r="N66" s="128"/>
      <c r="O66" s="128"/>
      <c r="P66" s="128"/>
      <c r="Q66" s="128"/>
    </row>
    <row r="67" spans="1:17" s="59" customFormat="1">
      <c r="A67" s="128"/>
      <c r="B67" s="128"/>
      <c r="C67" s="128"/>
      <c r="D67" s="128"/>
      <c r="E67" s="128"/>
      <c r="F67" s="128"/>
      <c r="G67" s="128"/>
      <c r="H67" s="128"/>
      <c r="I67" s="128"/>
      <c r="J67" s="128"/>
      <c r="K67" s="128"/>
      <c r="L67" s="128"/>
      <c r="M67" s="128"/>
      <c r="N67" s="128"/>
      <c r="O67" s="128"/>
      <c r="P67" s="128"/>
      <c r="Q67" s="128"/>
    </row>
    <row r="68" spans="1:17" s="59" customFormat="1">
      <c r="A68" s="128"/>
      <c r="B68" s="128"/>
      <c r="C68" s="128"/>
      <c r="D68" s="128"/>
      <c r="E68" s="128"/>
      <c r="F68" s="128"/>
      <c r="G68" s="128"/>
      <c r="H68" s="128"/>
      <c r="I68" s="128"/>
      <c r="J68" s="128"/>
      <c r="K68" s="128"/>
      <c r="L68" s="128"/>
      <c r="M68" s="128"/>
      <c r="N68" s="128"/>
      <c r="O68" s="128"/>
      <c r="P68" s="128"/>
      <c r="Q68" s="128"/>
    </row>
    <row r="69" spans="1:17" s="59" customFormat="1">
      <c r="A69" s="128"/>
      <c r="B69" s="128"/>
      <c r="C69" s="128"/>
      <c r="D69" s="128"/>
      <c r="E69" s="128"/>
      <c r="F69" s="128"/>
      <c r="G69" s="128"/>
      <c r="H69" s="128"/>
      <c r="I69" s="128"/>
      <c r="J69" s="128"/>
      <c r="K69" s="128"/>
      <c r="L69" s="128"/>
      <c r="M69" s="128"/>
      <c r="N69" s="128"/>
      <c r="O69" s="128"/>
      <c r="P69" s="128"/>
      <c r="Q69" s="128"/>
    </row>
    <row r="70" spans="1:17" s="59" customFormat="1">
      <c r="A70" s="128"/>
      <c r="B70" s="128"/>
      <c r="C70" s="128"/>
      <c r="D70" s="128"/>
      <c r="E70" s="128"/>
      <c r="F70" s="128"/>
      <c r="G70" s="128"/>
      <c r="H70" s="128"/>
      <c r="I70" s="128"/>
      <c r="J70" s="128"/>
      <c r="K70" s="128"/>
      <c r="L70" s="128"/>
      <c r="M70" s="128"/>
      <c r="N70" s="128"/>
      <c r="O70" s="128"/>
      <c r="P70" s="128"/>
      <c r="Q70" s="128"/>
    </row>
    <row r="71" spans="1:17" s="59" customFormat="1">
      <c r="A71" s="128"/>
      <c r="B71" s="128"/>
      <c r="C71" s="128"/>
      <c r="D71" s="128"/>
      <c r="E71" s="128"/>
      <c r="F71" s="128"/>
      <c r="G71" s="128"/>
      <c r="H71" s="128"/>
      <c r="I71" s="128"/>
      <c r="J71" s="128"/>
      <c r="K71" s="128"/>
      <c r="L71" s="128"/>
      <c r="M71" s="128"/>
      <c r="N71" s="128"/>
      <c r="O71" s="128"/>
      <c r="P71" s="128"/>
      <c r="Q71" s="128"/>
    </row>
    <row r="72" spans="1:17" s="59" customFormat="1">
      <c r="A72" s="128"/>
      <c r="B72" s="128"/>
      <c r="C72" s="128"/>
      <c r="D72" s="128"/>
      <c r="E72" s="128"/>
      <c r="F72" s="128"/>
      <c r="G72" s="128"/>
      <c r="H72" s="128"/>
      <c r="I72" s="128"/>
      <c r="J72" s="128"/>
      <c r="K72" s="128"/>
      <c r="L72" s="128"/>
      <c r="M72" s="128"/>
      <c r="N72" s="128"/>
      <c r="O72" s="128"/>
      <c r="P72" s="128"/>
      <c r="Q72" s="128"/>
    </row>
    <row r="73" spans="1:17" s="59" customFormat="1">
      <c r="A73" s="128"/>
      <c r="B73" s="128"/>
      <c r="C73" s="128"/>
      <c r="D73" s="128"/>
      <c r="E73" s="128"/>
      <c r="F73" s="128"/>
      <c r="G73" s="128"/>
      <c r="H73" s="128"/>
      <c r="I73" s="128"/>
      <c r="J73" s="128"/>
      <c r="K73" s="128"/>
      <c r="L73" s="128"/>
      <c r="M73" s="128"/>
      <c r="N73" s="128"/>
      <c r="O73" s="128"/>
      <c r="P73" s="128"/>
      <c r="Q73" s="128"/>
    </row>
    <row r="74" spans="1:17" s="59" customFormat="1">
      <c r="A74" s="128"/>
      <c r="B74" s="128"/>
      <c r="C74" s="128"/>
      <c r="D74" s="128"/>
      <c r="E74" s="128"/>
      <c r="F74" s="128"/>
      <c r="G74" s="128"/>
      <c r="H74" s="128"/>
      <c r="I74" s="128"/>
      <c r="J74" s="128"/>
      <c r="K74" s="128"/>
      <c r="L74" s="128"/>
      <c r="M74" s="128"/>
      <c r="N74" s="128"/>
      <c r="O74" s="128"/>
      <c r="P74" s="128"/>
      <c r="Q74" s="128"/>
    </row>
    <row r="75" spans="1:17" s="59" customFormat="1">
      <c r="A75" s="128"/>
      <c r="B75" s="128"/>
      <c r="C75" s="128"/>
      <c r="D75" s="128"/>
      <c r="E75" s="128"/>
      <c r="F75" s="128"/>
      <c r="G75" s="128"/>
      <c r="H75" s="128"/>
      <c r="I75" s="128"/>
      <c r="J75" s="128"/>
      <c r="K75" s="128"/>
      <c r="L75" s="128"/>
      <c r="M75" s="128"/>
      <c r="N75" s="128"/>
      <c r="O75" s="128"/>
      <c r="P75" s="128"/>
      <c r="Q75" s="128"/>
    </row>
    <row r="76" spans="1:17" s="59" customFormat="1">
      <c r="A76" s="128"/>
      <c r="B76" s="128"/>
      <c r="C76" s="128"/>
      <c r="D76" s="128"/>
      <c r="E76" s="128"/>
      <c r="F76" s="128"/>
      <c r="G76" s="128"/>
      <c r="H76" s="128"/>
      <c r="I76" s="128"/>
      <c r="J76" s="128"/>
      <c r="K76" s="128"/>
      <c r="L76" s="128"/>
      <c r="M76" s="128"/>
      <c r="N76" s="128"/>
      <c r="O76" s="128"/>
      <c r="P76" s="128"/>
      <c r="Q76" s="128"/>
    </row>
    <row r="77" spans="1:17" s="59" customFormat="1">
      <c r="A77" s="128"/>
      <c r="B77" s="128"/>
      <c r="C77" s="128"/>
      <c r="D77" s="128"/>
      <c r="E77" s="128"/>
      <c r="F77" s="128"/>
      <c r="G77" s="128"/>
      <c r="H77" s="128"/>
      <c r="I77" s="128"/>
      <c r="J77" s="128"/>
      <c r="K77" s="128"/>
      <c r="L77" s="128"/>
      <c r="M77" s="128"/>
      <c r="N77" s="128"/>
      <c r="O77" s="128"/>
      <c r="P77" s="128"/>
      <c r="Q77" s="128"/>
    </row>
    <row r="78" spans="1:17" s="59" customFormat="1">
      <c r="A78" s="128"/>
      <c r="B78" s="128"/>
      <c r="C78" s="128"/>
      <c r="D78" s="128"/>
      <c r="E78" s="128"/>
      <c r="F78" s="128"/>
      <c r="G78" s="128"/>
      <c r="H78" s="128"/>
      <c r="I78" s="128"/>
      <c r="J78" s="128"/>
      <c r="K78" s="128"/>
      <c r="L78" s="128"/>
      <c r="M78" s="128"/>
      <c r="N78" s="128"/>
      <c r="O78" s="128"/>
      <c r="P78" s="128"/>
      <c r="Q78" s="128"/>
    </row>
    <row r="79" spans="1:17" s="59" customFormat="1">
      <c r="A79" s="128"/>
      <c r="B79" s="128"/>
      <c r="C79" s="128"/>
      <c r="D79" s="128"/>
      <c r="E79" s="128"/>
      <c r="F79" s="128"/>
      <c r="G79" s="128"/>
      <c r="H79" s="128"/>
      <c r="I79" s="128"/>
      <c r="J79" s="128"/>
      <c r="K79" s="128"/>
      <c r="L79" s="128"/>
      <c r="M79" s="128"/>
      <c r="N79" s="128"/>
      <c r="O79" s="128"/>
      <c r="P79" s="128"/>
      <c r="Q79" s="128"/>
    </row>
    <row r="80" spans="1:17" s="59" customFormat="1">
      <c r="A80" s="128"/>
      <c r="B80" s="128"/>
      <c r="C80" s="128"/>
      <c r="D80" s="128"/>
      <c r="E80" s="128"/>
      <c r="F80" s="128"/>
      <c r="G80" s="128"/>
      <c r="H80" s="128"/>
      <c r="I80" s="128"/>
      <c r="J80" s="128"/>
      <c r="K80" s="128"/>
      <c r="L80" s="128"/>
      <c r="M80" s="128"/>
      <c r="N80" s="128"/>
      <c r="O80" s="128"/>
      <c r="P80" s="128"/>
      <c r="Q80" s="128"/>
    </row>
    <row r="81" spans="1:17" s="59" customFormat="1">
      <c r="A81" s="128"/>
      <c r="B81" s="128"/>
      <c r="C81" s="128"/>
      <c r="D81" s="128"/>
      <c r="E81" s="128"/>
      <c r="F81" s="128"/>
      <c r="G81" s="128"/>
      <c r="H81" s="128"/>
      <c r="I81" s="128"/>
      <c r="J81" s="128"/>
      <c r="K81" s="128"/>
      <c r="L81" s="128"/>
      <c r="M81" s="128"/>
      <c r="N81" s="128"/>
      <c r="O81" s="128"/>
      <c r="P81" s="128"/>
      <c r="Q81" s="128"/>
    </row>
    <row r="82" spans="1:17" s="59" customFormat="1">
      <c r="A82" s="128"/>
      <c r="B82" s="128"/>
      <c r="C82" s="128"/>
      <c r="D82" s="128"/>
      <c r="E82" s="128"/>
      <c r="F82" s="128"/>
      <c r="G82" s="128"/>
      <c r="H82" s="128"/>
      <c r="I82" s="128"/>
      <c r="J82" s="128"/>
      <c r="K82" s="128"/>
      <c r="L82" s="128"/>
      <c r="M82" s="128"/>
      <c r="N82" s="128"/>
      <c r="O82" s="128"/>
      <c r="P82" s="128"/>
      <c r="Q82" s="128"/>
    </row>
    <row r="83" spans="1:17" s="59" customFormat="1">
      <c r="A83" s="128"/>
      <c r="B83" s="128"/>
      <c r="C83" s="128"/>
      <c r="D83" s="128"/>
      <c r="E83" s="128"/>
      <c r="F83" s="128"/>
      <c r="G83" s="128"/>
      <c r="H83" s="128"/>
      <c r="I83" s="128"/>
      <c r="J83" s="128"/>
      <c r="K83" s="128"/>
      <c r="L83" s="128"/>
      <c r="M83" s="128"/>
      <c r="N83" s="128"/>
      <c r="O83" s="128"/>
      <c r="P83" s="128"/>
      <c r="Q83" s="128"/>
    </row>
    <row r="84" spans="1:17" s="59" customFormat="1">
      <c r="A84" s="128"/>
      <c r="B84" s="128"/>
      <c r="C84" s="128"/>
      <c r="D84" s="128"/>
      <c r="E84" s="128"/>
      <c r="F84" s="128"/>
      <c r="G84" s="128"/>
      <c r="H84" s="128"/>
      <c r="I84" s="128"/>
      <c r="J84" s="128"/>
      <c r="K84" s="128"/>
      <c r="L84" s="128"/>
      <c r="M84" s="128"/>
      <c r="N84" s="128"/>
      <c r="O84" s="128"/>
      <c r="P84" s="128"/>
      <c r="Q84" s="128"/>
    </row>
    <row r="85" spans="1:17" s="59" customFormat="1">
      <c r="A85" s="128"/>
      <c r="B85" s="128"/>
      <c r="C85" s="128"/>
      <c r="D85" s="128"/>
      <c r="E85" s="128"/>
      <c r="F85" s="128"/>
      <c r="G85" s="128"/>
      <c r="H85" s="128"/>
      <c r="I85" s="128"/>
      <c r="J85" s="128"/>
      <c r="K85" s="128"/>
      <c r="L85" s="128"/>
      <c r="M85" s="128"/>
      <c r="N85" s="128"/>
      <c r="O85" s="128"/>
      <c r="P85" s="128"/>
      <c r="Q85" s="128"/>
    </row>
    <row r="86" spans="1:17" s="59" customFormat="1">
      <c r="A86" s="128"/>
      <c r="B86" s="128"/>
      <c r="C86" s="128"/>
      <c r="D86" s="128"/>
      <c r="E86" s="128"/>
      <c r="F86" s="128"/>
      <c r="G86" s="128"/>
      <c r="H86" s="128"/>
      <c r="I86" s="128"/>
      <c r="J86" s="128"/>
      <c r="K86" s="128"/>
      <c r="L86" s="128"/>
      <c r="M86" s="128"/>
      <c r="N86" s="128"/>
      <c r="O86" s="128"/>
      <c r="P86" s="128"/>
      <c r="Q86" s="128"/>
    </row>
    <row r="87" spans="1:17" s="59" customFormat="1">
      <c r="A87" s="128"/>
      <c r="B87" s="128"/>
      <c r="C87" s="128"/>
      <c r="D87" s="128"/>
      <c r="E87" s="128"/>
      <c r="F87" s="128"/>
      <c r="G87" s="128"/>
      <c r="H87" s="128"/>
      <c r="I87" s="128"/>
      <c r="J87" s="128"/>
      <c r="K87" s="128"/>
      <c r="L87" s="128"/>
      <c r="M87" s="128"/>
      <c r="N87" s="128"/>
      <c r="O87" s="128"/>
      <c r="P87" s="128"/>
      <c r="Q87" s="128"/>
    </row>
    <row r="88" spans="1:17" s="59" customFormat="1">
      <c r="A88" s="128"/>
      <c r="B88" s="128"/>
      <c r="C88" s="128"/>
      <c r="D88" s="128"/>
      <c r="E88" s="128"/>
      <c r="F88" s="128"/>
      <c r="G88" s="128"/>
      <c r="H88" s="128"/>
      <c r="I88" s="128"/>
      <c r="J88" s="128"/>
      <c r="K88" s="128"/>
      <c r="L88" s="128"/>
      <c r="M88" s="128"/>
      <c r="N88" s="128"/>
      <c r="O88" s="128"/>
      <c r="P88" s="128"/>
      <c r="Q88" s="128"/>
    </row>
    <row r="89" spans="1:17" s="59" customFormat="1">
      <c r="A89" s="128"/>
      <c r="B89" s="128"/>
      <c r="C89" s="128"/>
      <c r="D89" s="128"/>
      <c r="E89" s="128"/>
      <c r="F89" s="128"/>
      <c r="G89" s="128"/>
      <c r="H89" s="128"/>
      <c r="I89" s="128"/>
      <c r="J89" s="128"/>
      <c r="K89" s="128"/>
      <c r="L89" s="128"/>
      <c r="M89" s="128"/>
      <c r="N89" s="128"/>
      <c r="O89" s="128"/>
      <c r="P89" s="128"/>
      <c r="Q89" s="128"/>
    </row>
    <row r="90" spans="1:17" s="59" customFormat="1">
      <c r="A90" s="128"/>
      <c r="B90" s="128"/>
      <c r="C90" s="128"/>
      <c r="D90" s="128"/>
      <c r="E90" s="128"/>
      <c r="F90" s="128"/>
      <c r="G90" s="128"/>
      <c r="H90" s="128"/>
      <c r="I90" s="128"/>
      <c r="J90" s="128"/>
      <c r="K90" s="128"/>
      <c r="L90" s="128"/>
      <c r="M90" s="128"/>
      <c r="N90" s="128"/>
      <c r="O90" s="128"/>
      <c r="P90" s="128"/>
      <c r="Q90" s="128"/>
    </row>
    <row r="91" spans="1:17" s="59" customFormat="1">
      <c r="A91" s="128"/>
      <c r="B91" s="128"/>
      <c r="C91" s="128"/>
      <c r="D91" s="128"/>
      <c r="E91" s="128"/>
      <c r="F91" s="128"/>
      <c r="G91" s="128"/>
      <c r="H91" s="128"/>
      <c r="I91" s="128"/>
      <c r="J91" s="128"/>
      <c r="K91" s="128"/>
      <c r="L91" s="128"/>
      <c r="M91" s="128"/>
      <c r="N91" s="128"/>
      <c r="O91" s="128"/>
      <c r="P91" s="128"/>
      <c r="Q91" s="128"/>
    </row>
    <row r="92" spans="1:17" s="59" customFormat="1">
      <c r="A92" s="128"/>
      <c r="B92" s="128"/>
      <c r="C92" s="128"/>
      <c r="D92" s="128"/>
      <c r="E92" s="128"/>
      <c r="F92" s="128"/>
      <c r="G92" s="128"/>
      <c r="H92" s="128"/>
      <c r="I92" s="128"/>
      <c r="J92" s="128"/>
      <c r="K92" s="128"/>
      <c r="L92" s="128"/>
      <c r="M92" s="128"/>
      <c r="N92" s="128"/>
      <c r="O92" s="128"/>
      <c r="P92" s="128"/>
      <c r="Q92" s="128"/>
    </row>
    <row r="93" spans="1:17" s="59" customFormat="1">
      <c r="A93" s="128"/>
      <c r="B93" s="128"/>
      <c r="C93" s="128"/>
      <c r="D93" s="128"/>
      <c r="E93" s="128"/>
      <c r="F93" s="128"/>
      <c r="G93" s="128"/>
      <c r="H93" s="128"/>
      <c r="I93" s="128"/>
      <c r="J93" s="128"/>
      <c r="K93" s="128"/>
      <c r="L93" s="128"/>
      <c r="M93" s="128"/>
      <c r="N93" s="128"/>
      <c r="O93" s="128"/>
      <c r="P93" s="128"/>
      <c r="Q93" s="128"/>
    </row>
    <row r="94" spans="1:17" s="59" customFormat="1">
      <c r="A94" s="128"/>
      <c r="B94" s="128"/>
      <c r="C94" s="128"/>
      <c r="D94" s="128"/>
      <c r="E94" s="128"/>
      <c r="F94" s="128"/>
      <c r="G94" s="128"/>
      <c r="H94" s="128"/>
      <c r="I94" s="128"/>
      <c r="J94" s="128"/>
      <c r="K94" s="128"/>
      <c r="L94" s="128"/>
      <c r="M94" s="128"/>
      <c r="N94" s="128"/>
      <c r="O94" s="128"/>
      <c r="P94" s="128"/>
      <c r="Q94" s="128"/>
    </row>
    <row r="95" spans="1:17" s="59" customFormat="1">
      <c r="A95" s="128"/>
      <c r="B95" s="128"/>
      <c r="C95" s="128"/>
      <c r="D95" s="128"/>
      <c r="E95" s="128"/>
      <c r="F95" s="128"/>
      <c r="G95" s="128"/>
      <c r="H95" s="128"/>
      <c r="I95" s="128"/>
      <c r="J95" s="128"/>
      <c r="K95" s="128"/>
      <c r="L95" s="128"/>
      <c r="M95" s="128"/>
      <c r="N95" s="128"/>
      <c r="O95" s="128"/>
      <c r="P95" s="128"/>
      <c r="Q95" s="128"/>
    </row>
    <row r="96" spans="1:17" s="59" customFormat="1">
      <c r="A96" s="128"/>
      <c r="B96" s="128"/>
      <c r="C96" s="128"/>
      <c r="D96" s="128"/>
      <c r="E96" s="128"/>
      <c r="F96" s="128"/>
      <c r="G96" s="128"/>
      <c r="H96" s="128"/>
      <c r="I96" s="128"/>
      <c r="J96" s="128"/>
      <c r="K96" s="128"/>
      <c r="L96" s="128"/>
      <c r="M96" s="128"/>
      <c r="N96" s="128"/>
      <c r="O96" s="128"/>
      <c r="P96" s="128"/>
      <c r="Q96" s="128"/>
    </row>
    <row r="97" spans="1:17" s="59" customFormat="1">
      <c r="A97" s="128"/>
      <c r="B97" s="128"/>
      <c r="C97" s="128"/>
      <c r="D97" s="128"/>
      <c r="E97" s="128"/>
      <c r="F97" s="128"/>
      <c r="G97" s="128"/>
      <c r="H97" s="128"/>
      <c r="I97" s="128"/>
      <c r="J97" s="128"/>
      <c r="K97" s="128"/>
      <c r="L97" s="128"/>
      <c r="M97" s="128"/>
      <c r="N97" s="128"/>
      <c r="O97" s="128"/>
      <c r="P97" s="128"/>
      <c r="Q97" s="128"/>
    </row>
    <row r="98" spans="1:17" s="59" customFormat="1">
      <c r="A98" s="128"/>
      <c r="B98" s="128"/>
      <c r="C98" s="128"/>
      <c r="D98" s="128"/>
      <c r="E98" s="128"/>
      <c r="F98" s="128"/>
      <c r="G98" s="128"/>
      <c r="H98" s="128"/>
      <c r="I98" s="128"/>
      <c r="J98" s="128"/>
      <c r="K98" s="128"/>
      <c r="L98" s="128"/>
      <c r="M98" s="128"/>
      <c r="N98" s="128"/>
      <c r="O98" s="128"/>
      <c r="P98" s="128"/>
      <c r="Q98" s="128"/>
    </row>
    <row r="99" spans="1:17" s="59" customFormat="1">
      <c r="A99" s="128"/>
      <c r="B99" s="128"/>
      <c r="C99" s="128"/>
      <c r="D99" s="128"/>
      <c r="E99" s="128"/>
      <c r="F99" s="128"/>
      <c r="G99" s="128"/>
      <c r="H99" s="128"/>
      <c r="I99" s="128"/>
      <c r="J99" s="128"/>
      <c r="K99" s="128"/>
      <c r="L99" s="128"/>
      <c r="M99" s="128"/>
      <c r="N99" s="128"/>
      <c r="O99" s="128"/>
      <c r="P99" s="128"/>
      <c r="Q99" s="128"/>
    </row>
    <row r="100" spans="1:17" s="59" customFormat="1">
      <c r="A100" s="128"/>
      <c r="B100" s="128"/>
      <c r="C100" s="128"/>
      <c r="D100" s="128"/>
      <c r="E100" s="128"/>
      <c r="F100" s="128"/>
      <c r="G100" s="128"/>
      <c r="H100" s="128"/>
      <c r="I100" s="128"/>
      <c r="J100" s="128"/>
      <c r="K100" s="128"/>
      <c r="L100" s="128"/>
      <c r="M100" s="128"/>
      <c r="N100" s="128"/>
      <c r="O100" s="128"/>
      <c r="P100" s="128"/>
      <c r="Q100" s="128"/>
    </row>
    <row r="101" spans="1:17" s="59" customFormat="1">
      <c r="A101" s="128"/>
      <c r="B101" s="128"/>
      <c r="C101" s="128"/>
      <c r="D101" s="128"/>
      <c r="E101" s="128"/>
      <c r="F101" s="128"/>
      <c r="G101" s="128"/>
      <c r="H101" s="128"/>
      <c r="I101" s="128"/>
      <c r="J101" s="128"/>
      <c r="K101" s="128"/>
      <c r="L101" s="128"/>
      <c r="M101" s="128"/>
      <c r="N101" s="128"/>
      <c r="O101" s="128"/>
      <c r="P101" s="128"/>
      <c r="Q101" s="128"/>
    </row>
    <row r="102" spans="1:17" s="59" customFormat="1">
      <c r="A102" s="128"/>
      <c r="B102" s="128"/>
      <c r="C102" s="128"/>
      <c r="D102" s="128"/>
      <c r="E102" s="128"/>
      <c r="F102" s="128"/>
      <c r="G102" s="128"/>
      <c r="H102" s="128"/>
      <c r="I102" s="128"/>
      <c r="J102" s="128"/>
      <c r="K102" s="128"/>
      <c r="L102" s="128"/>
      <c r="M102" s="128"/>
      <c r="N102" s="128"/>
      <c r="O102" s="128"/>
      <c r="P102" s="128"/>
      <c r="Q102" s="128"/>
    </row>
    <row r="103" spans="1:17" s="59" customFormat="1">
      <c r="A103" s="128"/>
      <c r="B103" s="128"/>
      <c r="C103" s="128"/>
      <c r="D103" s="128"/>
      <c r="E103" s="128"/>
      <c r="F103" s="128"/>
      <c r="G103" s="128"/>
      <c r="H103" s="128"/>
      <c r="I103" s="128"/>
      <c r="J103" s="128"/>
      <c r="K103" s="128"/>
      <c r="L103" s="128"/>
      <c r="M103" s="128"/>
      <c r="N103" s="128"/>
      <c r="O103" s="128"/>
      <c r="P103" s="128"/>
      <c r="Q103" s="128"/>
    </row>
    <row r="104" spans="1:17" s="59" customFormat="1">
      <c r="A104" s="128"/>
      <c r="B104" s="128"/>
      <c r="C104" s="128"/>
      <c r="D104" s="128"/>
      <c r="E104" s="128"/>
      <c r="F104" s="128"/>
      <c r="G104" s="128"/>
      <c r="H104" s="128"/>
      <c r="I104" s="128"/>
      <c r="J104" s="128"/>
      <c r="K104" s="128"/>
      <c r="L104" s="128"/>
      <c r="M104" s="128"/>
      <c r="N104" s="128"/>
      <c r="O104" s="128"/>
      <c r="P104" s="128"/>
      <c r="Q104" s="128"/>
    </row>
    <row r="105" spans="1:17" s="59" customFormat="1">
      <c r="A105" s="128"/>
      <c r="B105" s="128"/>
      <c r="C105" s="128"/>
      <c r="D105" s="128"/>
      <c r="E105" s="128"/>
      <c r="F105" s="128"/>
      <c r="G105" s="128"/>
      <c r="H105" s="128"/>
      <c r="I105" s="128"/>
      <c r="J105" s="128"/>
      <c r="K105" s="128"/>
      <c r="L105" s="128"/>
      <c r="M105" s="128"/>
      <c r="N105" s="128"/>
      <c r="O105" s="128"/>
      <c r="P105" s="128"/>
      <c r="Q105" s="128"/>
    </row>
    <row r="106" spans="1:17" s="59" customFormat="1">
      <c r="A106" s="128"/>
      <c r="B106" s="128"/>
      <c r="C106" s="128"/>
      <c r="D106" s="128"/>
      <c r="E106" s="128"/>
      <c r="F106" s="128"/>
      <c r="G106" s="128"/>
      <c r="H106" s="128"/>
      <c r="I106" s="128"/>
      <c r="J106" s="128"/>
      <c r="K106" s="128"/>
      <c r="L106" s="128"/>
      <c r="M106" s="128"/>
      <c r="N106" s="128"/>
      <c r="O106" s="128"/>
      <c r="P106" s="128"/>
      <c r="Q106" s="128"/>
    </row>
    <row r="107" spans="1:17" s="59" customFormat="1">
      <c r="A107" s="128"/>
      <c r="B107" s="128"/>
      <c r="C107" s="128"/>
      <c r="D107" s="128"/>
      <c r="E107" s="128"/>
      <c r="F107" s="128"/>
      <c r="G107" s="128"/>
      <c r="H107" s="128"/>
      <c r="I107" s="128"/>
      <c r="J107" s="128"/>
      <c r="K107" s="128"/>
      <c r="L107" s="128"/>
      <c r="M107" s="128"/>
      <c r="N107" s="128"/>
      <c r="O107" s="128"/>
      <c r="P107" s="128"/>
      <c r="Q107" s="128"/>
    </row>
    <row r="108" spans="1:17" s="59" customFormat="1"/>
    <row r="109" spans="1:17" s="59" customFormat="1"/>
    <row r="110" spans="1:17" s="59" customFormat="1"/>
    <row r="111" spans="1:17">
      <c r="A111" s="59"/>
      <c r="B111" s="59"/>
      <c r="C111" s="59"/>
      <c r="D111" s="59"/>
      <c r="E111" s="59"/>
      <c r="F111" s="59"/>
      <c r="G111" s="59"/>
      <c r="H111" s="59"/>
      <c r="I111" s="59"/>
      <c r="J111" s="59"/>
      <c r="K111" s="59"/>
      <c r="L111" s="59"/>
      <c r="M111" s="59"/>
      <c r="N111" s="59"/>
      <c r="O111" s="59"/>
      <c r="P111" s="59"/>
      <c r="Q111" s="5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zoomScale="70" zoomScaleNormal="40" zoomScaleSheetLayoutView="70" workbookViewId="0">
      <selection activeCell="T42" sqref="T42"/>
    </sheetView>
  </sheetViews>
  <sheetFormatPr baseColWidth="10" defaultColWidth="11.42578125" defaultRowHeight="15"/>
  <cols>
    <col min="1" max="1" width="12.7109375" style="128" customWidth="1"/>
    <col min="2" max="2" width="9.85546875" style="128" customWidth="1"/>
    <col min="3" max="3" width="13" style="128" customWidth="1"/>
    <col min="4" max="4" width="9.140625" style="128" customWidth="1"/>
    <col min="5" max="5" width="11.42578125" style="128" customWidth="1"/>
    <col min="6" max="6" width="11.140625" style="128" customWidth="1"/>
    <col min="7" max="7" width="12.140625" style="128" customWidth="1"/>
    <col min="8" max="10" width="10.5703125" style="128" customWidth="1"/>
    <col min="11" max="11" width="11.42578125" style="128" customWidth="1"/>
    <col min="12" max="12" width="9.140625" style="128" customWidth="1"/>
    <col min="13" max="13" width="17" style="128" customWidth="1"/>
    <col min="14" max="14" width="13.85546875" style="128" customWidth="1"/>
    <col min="15" max="15" width="9.5703125" style="128" customWidth="1"/>
    <col min="16" max="16" width="10.42578125" style="128" customWidth="1"/>
    <col min="17" max="17" width="13.7109375" style="128" customWidth="1"/>
    <col min="18" max="18" width="5.140625" style="128" customWidth="1"/>
    <col min="19" max="16384" width="11.42578125" style="128"/>
  </cols>
  <sheetData>
    <row r="1" spans="1:19" ht="66.75" customHeight="1">
      <c r="A1" s="2379" t="s">
        <v>1979</v>
      </c>
      <c r="B1" s="2379"/>
      <c r="C1" s="2379"/>
      <c r="D1" s="2379"/>
      <c r="E1" s="2379"/>
      <c r="F1" s="2379"/>
      <c r="G1" s="2379"/>
      <c r="H1" s="2379"/>
      <c r="I1" s="2379"/>
      <c r="J1" s="2379"/>
      <c r="K1" s="2379"/>
      <c r="L1" s="2379"/>
      <c r="M1" s="2379"/>
      <c r="N1" s="2379"/>
      <c r="O1" s="2379"/>
      <c r="P1" s="2379"/>
      <c r="Q1" s="2379"/>
    </row>
    <row r="2" spans="1:19" ht="4.5" customHeight="1">
      <c r="A2" s="590"/>
      <c r="B2" s="590"/>
      <c r="C2" s="590"/>
      <c r="D2" s="590"/>
      <c r="E2" s="590"/>
      <c r="F2" s="590"/>
      <c r="G2" s="590"/>
      <c r="H2" s="590"/>
      <c r="I2" s="590"/>
      <c r="J2" s="590"/>
      <c r="K2" s="590"/>
      <c r="L2" s="590"/>
      <c r="M2" s="590"/>
      <c r="N2" s="590"/>
      <c r="O2" s="590"/>
      <c r="P2" s="590"/>
      <c r="Q2" s="590"/>
    </row>
    <row r="3" spans="1:19" s="59" customFormat="1" ht="25.5" customHeight="1">
      <c r="A3" s="2471" t="s">
        <v>243</v>
      </c>
      <c r="B3" s="2471"/>
      <c r="C3" s="2471"/>
      <c r="D3" s="2471"/>
      <c r="E3" s="2471"/>
      <c r="F3" s="2471"/>
      <c r="G3" s="2471"/>
      <c r="H3" s="2471"/>
      <c r="I3" s="2471"/>
      <c r="J3" s="2471"/>
      <c r="K3" s="2471"/>
      <c r="L3" s="2471"/>
      <c r="M3" s="2471"/>
      <c r="N3" s="2471"/>
      <c r="O3" s="2471"/>
      <c r="P3" s="2471"/>
      <c r="Q3" s="2471"/>
    </row>
    <row r="4" spans="1:19" s="59" customFormat="1" ht="33" customHeight="1">
      <c r="A4" s="1011" t="s">
        <v>0</v>
      </c>
      <c r="B4" s="1079" t="s">
        <v>97</v>
      </c>
      <c r="C4" s="1079" t="s">
        <v>98</v>
      </c>
      <c r="D4" s="1079" t="s">
        <v>99</v>
      </c>
      <c r="E4" s="1079" t="s">
        <v>100</v>
      </c>
      <c r="F4" s="1079" t="s">
        <v>101</v>
      </c>
      <c r="G4" s="1079" t="s">
        <v>102</v>
      </c>
      <c r="H4" s="1079" t="s">
        <v>103</v>
      </c>
      <c r="I4" s="1089" t="s">
        <v>104</v>
      </c>
      <c r="J4" s="1079" t="s">
        <v>105</v>
      </c>
      <c r="K4" s="1079" t="s">
        <v>106</v>
      </c>
      <c r="L4" s="1079" t="s">
        <v>107</v>
      </c>
      <c r="M4" s="1079" t="s">
        <v>108</v>
      </c>
      <c r="N4" s="1079" t="s">
        <v>96</v>
      </c>
      <c r="O4" s="1079" t="s">
        <v>109</v>
      </c>
      <c r="P4" s="1089" t="s">
        <v>110</v>
      </c>
      <c r="Q4" s="1089" t="s">
        <v>111</v>
      </c>
    </row>
    <row r="5" spans="1:19" s="59" customFormat="1" ht="15.75" hidden="1" customHeight="1">
      <c r="A5" s="1011">
        <v>2004</v>
      </c>
      <c r="B5" s="833">
        <v>41</v>
      </c>
      <c r="C5" s="833">
        <v>66</v>
      </c>
      <c r="D5" s="833">
        <v>11</v>
      </c>
      <c r="E5" s="834">
        <v>257</v>
      </c>
      <c r="F5" s="833">
        <v>132</v>
      </c>
      <c r="G5" s="834">
        <v>447</v>
      </c>
      <c r="H5" s="833">
        <v>0</v>
      </c>
      <c r="I5" s="834">
        <v>107</v>
      </c>
      <c r="J5" s="834">
        <v>287</v>
      </c>
      <c r="K5" s="1127">
        <f t="shared" ref="K5:K10" si="0">SUM(B5:J5)</f>
        <v>1348</v>
      </c>
      <c r="L5" s="833">
        <v>0</v>
      </c>
      <c r="M5" s="833">
        <v>0</v>
      </c>
      <c r="N5" s="833">
        <v>0</v>
      </c>
      <c r="O5" s="833">
        <v>0</v>
      </c>
      <c r="P5" s="1534">
        <f t="shared" ref="P5:P10" si="1">SUM(L5:N5)</f>
        <v>0</v>
      </c>
      <c r="Q5" s="1538">
        <f t="shared" ref="Q5:Q10" si="2">K5+P5</f>
        <v>1348</v>
      </c>
    </row>
    <row r="6" spans="1:19" s="59" customFormat="1" ht="15.75">
      <c r="A6" s="1011">
        <v>2005</v>
      </c>
      <c r="B6" s="833">
        <v>0</v>
      </c>
      <c r="C6" s="833">
        <v>57</v>
      </c>
      <c r="D6" s="833">
        <v>14</v>
      </c>
      <c r="E6" s="834">
        <v>135</v>
      </c>
      <c r="F6" s="833">
        <v>0</v>
      </c>
      <c r="G6" s="834">
        <v>76</v>
      </c>
      <c r="H6" s="833">
        <v>8</v>
      </c>
      <c r="I6" s="834">
        <v>133</v>
      </c>
      <c r="J6" s="834">
        <v>310</v>
      </c>
      <c r="K6" s="1127">
        <f t="shared" si="0"/>
        <v>733</v>
      </c>
      <c r="L6" s="833">
        <v>0</v>
      </c>
      <c r="M6" s="833">
        <v>0</v>
      </c>
      <c r="N6" s="833">
        <v>0</v>
      </c>
      <c r="O6" s="833">
        <v>0</v>
      </c>
      <c r="P6" s="1534">
        <f t="shared" si="1"/>
        <v>0</v>
      </c>
      <c r="Q6" s="1538">
        <f t="shared" si="2"/>
        <v>733</v>
      </c>
      <c r="R6" s="82"/>
    </row>
    <row r="7" spans="1:19" s="59" customFormat="1" ht="15.75">
      <c r="A7" s="1011">
        <v>2006</v>
      </c>
      <c r="B7" s="833">
        <v>0</v>
      </c>
      <c r="C7" s="833">
        <v>81</v>
      </c>
      <c r="D7" s="833">
        <v>13</v>
      </c>
      <c r="E7" s="834">
        <v>181</v>
      </c>
      <c r="F7" s="833">
        <v>0</v>
      </c>
      <c r="G7" s="834">
        <v>81</v>
      </c>
      <c r="H7" s="833">
        <v>5</v>
      </c>
      <c r="I7" s="834">
        <v>230</v>
      </c>
      <c r="J7" s="834">
        <v>290</v>
      </c>
      <c r="K7" s="1127">
        <f t="shared" si="0"/>
        <v>881</v>
      </c>
      <c r="L7" s="833">
        <v>259</v>
      </c>
      <c r="M7" s="833">
        <v>719</v>
      </c>
      <c r="N7" s="833">
        <v>0</v>
      </c>
      <c r="O7" s="833">
        <v>0</v>
      </c>
      <c r="P7" s="1534">
        <f t="shared" si="1"/>
        <v>978</v>
      </c>
      <c r="Q7" s="1538">
        <f t="shared" si="2"/>
        <v>1859</v>
      </c>
    </row>
    <row r="8" spans="1:19" s="59" customFormat="1" ht="15.75">
      <c r="A8" s="1011">
        <v>2007</v>
      </c>
      <c r="B8" s="833">
        <v>0</v>
      </c>
      <c r="C8" s="833">
        <v>363</v>
      </c>
      <c r="D8" s="833">
        <v>10</v>
      </c>
      <c r="E8" s="834">
        <v>208</v>
      </c>
      <c r="F8" s="833">
        <v>0</v>
      </c>
      <c r="G8" s="834">
        <v>55</v>
      </c>
      <c r="H8" s="833">
        <v>8</v>
      </c>
      <c r="I8" s="834">
        <v>288</v>
      </c>
      <c r="J8" s="834">
        <v>213</v>
      </c>
      <c r="K8" s="1127">
        <f t="shared" si="0"/>
        <v>1145</v>
      </c>
      <c r="L8" s="833">
        <v>25</v>
      </c>
      <c r="M8" s="833">
        <v>77</v>
      </c>
      <c r="N8" s="833">
        <v>0</v>
      </c>
      <c r="O8" s="833">
        <v>0</v>
      </c>
      <c r="P8" s="1534">
        <f t="shared" si="1"/>
        <v>102</v>
      </c>
      <c r="Q8" s="1538">
        <f t="shared" si="2"/>
        <v>1247</v>
      </c>
    </row>
    <row r="9" spans="1:19" s="59" customFormat="1" ht="15.75">
      <c r="A9" s="1011">
        <v>2008</v>
      </c>
      <c r="B9" s="833">
        <v>0</v>
      </c>
      <c r="C9" s="833">
        <v>0</v>
      </c>
      <c r="D9" s="833">
        <v>0</v>
      </c>
      <c r="E9" s="834">
        <v>288</v>
      </c>
      <c r="F9" s="833">
        <v>0</v>
      </c>
      <c r="G9" s="834">
        <v>65</v>
      </c>
      <c r="H9" s="833">
        <v>19</v>
      </c>
      <c r="I9" s="834">
        <v>362</v>
      </c>
      <c r="J9" s="834">
        <v>228</v>
      </c>
      <c r="K9" s="1127">
        <f t="shared" si="0"/>
        <v>962</v>
      </c>
      <c r="L9" s="833">
        <v>7</v>
      </c>
      <c r="M9" s="833">
        <v>59</v>
      </c>
      <c r="N9" s="833">
        <v>0</v>
      </c>
      <c r="O9" s="833">
        <v>0</v>
      </c>
      <c r="P9" s="1534">
        <f t="shared" si="1"/>
        <v>66</v>
      </c>
      <c r="Q9" s="1538">
        <f t="shared" si="2"/>
        <v>1028</v>
      </c>
    </row>
    <row r="10" spans="1:19" s="59" customFormat="1" ht="15.75">
      <c r="A10" s="1011">
        <v>2009</v>
      </c>
      <c r="B10" s="833">
        <v>0</v>
      </c>
      <c r="C10" s="833">
        <v>0</v>
      </c>
      <c r="D10" s="833">
        <v>0</v>
      </c>
      <c r="E10" s="834">
        <v>5982</v>
      </c>
      <c r="F10" s="833">
        <v>0</v>
      </c>
      <c r="G10" s="834">
        <v>5612</v>
      </c>
      <c r="H10" s="833">
        <v>59</v>
      </c>
      <c r="I10" s="834">
        <v>9295</v>
      </c>
      <c r="J10" s="834">
        <v>4268</v>
      </c>
      <c r="K10" s="1127">
        <f t="shared" si="0"/>
        <v>25216</v>
      </c>
      <c r="L10" s="833">
        <v>7</v>
      </c>
      <c r="M10" s="833">
        <v>64</v>
      </c>
      <c r="N10" s="833">
        <v>0</v>
      </c>
      <c r="O10" s="833">
        <v>0</v>
      </c>
      <c r="P10" s="1534">
        <f t="shared" si="1"/>
        <v>71</v>
      </c>
      <c r="Q10" s="1538">
        <f t="shared" si="2"/>
        <v>25287</v>
      </c>
    </row>
    <row r="11" spans="1:19" s="59" customFormat="1" ht="15.75">
      <c r="A11" s="1011">
        <v>2010</v>
      </c>
      <c r="B11" s="833">
        <v>0</v>
      </c>
      <c r="C11" s="833">
        <v>0</v>
      </c>
      <c r="D11" s="833">
        <v>0</v>
      </c>
      <c r="E11" s="834">
        <v>2345</v>
      </c>
      <c r="F11" s="833">
        <v>0</v>
      </c>
      <c r="G11" s="834">
        <v>3608</v>
      </c>
      <c r="H11" s="833">
        <v>22</v>
      </c>
      <c r="I11" s="834">
        <v>2869</v>
      </c>
      <c r="J11" s="834">
        <v>1752</v>
      </c>
      <c r="K11" s="1127">
        <f>SUM(B11:J11)</f>
        <v>10596</v>
      </c>
      <c r="L11" s="835">
        <v>5</v>
      </c>
      <c r="M11" s="835">
        <v>43</v>
      </c>
      <c r="N11" s="835">
        <v>0</v>
      </c>
      <c r="O11" s="833">
        <v>0</v>
      </c>
      <c r="P11" s="1534">
        <f>SUM(L11:O11)</f>
        <v>48</v>
      </c>
      <c r="Q11" s="1538">
        <f>K11+P11</f>
        <v>10644</v>
      </c>
      <c r="R11" s="236"/>
    </row>
    <row r="12" spans="1:19" s="59" customFormat="1" ht="15.75">
      <c r="A12" s="1011">
        <v>2011</v>
      </c>
      <c r="B12" s="833">
        <v>0</v>
      </c>
      <c r="C12" s="833">
        <v>0</v>
      </c>
      <c r="D12" s="833">
        <v>0</v>
      </c>
      <c r="E12" s="836">
        <v>1603</v>
      </c>
      <c r="F12" s="835">
        <v>0</v>
      </c>
      <c r="G12" s="836">
        <v>1068</v>
      </c>
      <c r="H12" s="835">
        <v>23</v>
      </c>
      <c r="I12" s="836">
        <v>2173</v>
      </c>
      <c r="J12" s="836">
        <v>1337</v>
      </c>
      <c r="K12" s="1127">
        <f>SUM(B12:J12)</f>
        <v>6204</v>
      </c>
      <c r="L12" s="835">
        <v>23</v>
      </c>
      <c r="M12" s="835">
        <v>41</v>
      </c>
      <c r="N12" s="835">
        <v>0</v>
      </c>
      <c r="O12" s="833">
        <v>0</v>
      </c>
      <c r="P12" s="1534">
        <f>SUM(L12:O12)</f>
        <v>64</v>
      </c>
      <c r="Q12" s="1538">
        <f>K12+P12</f>
        <v>6268</v>
      </c>
      <c r="R12" s="236"/>
    </row>
    <row r="13" spans="1:19" s="59" customFormat="1" ht="15.75">
      <c r="A13" s="1011" t="s">
        <v>1058</v>
      </c>
      <c r="B13" s="833">
        <v>0</v>
      </c>
      <c r="C13" s="833">
        <v>0</v>
      </c>
      <c r="D13" s="833">
        <v>0</v>
      </c>
      <c r="E13" s="836">
        <v>2631</v>
      </c>
      <c r="F13" s="835">
        <v>0</v>
      </c>
      <c r="G13" s="836">
        <v>1755</v>
      </c>
      <c r="H13" s="835">
        <v>39</v>
      </c>
      <c r="I13" s="836">
        <v>3381</v>
      </c>
      <c r="J13" s="836">
        <v>2221</v>
      </c>
      <c r="K13" s="1127">
        <f>SUM(B13:J13)</f>
        <v>10027</v>
      </c>
      <c r="L13" s="835">
        <v>3</v>
      </c>
      <c r="M13" s="835">
        <v>16</v>
      </c>
      <c r="N13" s="835">
        <v>0</v>
      </c>
      <c r="O13" s="833">
        <v>0</v>
      </c>
      <c r="P13" s="1534">
        <f>SUM(L13:O13)</f>
        <v>19</v>
      </c>
      <c r="Q13" s="1538">
        <f>K13+P13</f>
        <v>10046</v>
      </c>
      <c r="R13" s="236"/>
    </row>
    <row r="14" spans="1:19" s="59" customFormat="1" ht="15.75">
      <c r="A14" s="1011" t="s">
        <v>1643</v>
      </c>
      <c r="B14" s="1578">
        <v>0</v>
      </c>
      <c r="C14" s="1578">
        <v>0</v>
      </c>
      <c r="D14" s="1578">
        <v>0</v>
      </c>
      <c r="E14" s="1579">
        <v>3642</v>
      </c>
      <c r="F14" s="1578">
        <v>0</v>
      </c>
      <c r="G14" s="1579">
        <v>3099</v>
      </c>
      <c r="H14" s="1578">
        <v>33</v>
      </c>
      <c r="I14" s="1579">
        <v>5417</v>
      </c>
      <c r="J14" s="1579">
        <v>3510</v>
      </c>
      <c r="K14" s="1127">
        <f>SUM(B14:J14)</f>
        <v>15701</v>
      </c>
      <c r="L14" s="1578">
        <v>7</v>
      </c>
      <c r="M14" s="1578">
        <v>32</v>
      </c>
      <c r="N14" s="1578">
        <v>0</v>
      </c>
      <c r="O14" s="1578">
        <v>0</v>
      </c>
      <c r="P14" s="1534">
        <f>SUM(L14:O14)</f>
        <v>39</v>
      </c>
      <c r="Q14" s="1538">
        <f>K14+P14</f>
        <v>15740</v>
      </c>
      <c r="R14" s="236"/>
    </row>
    <row r="15" spans="1:19" s="59" customFormat="1" ht="15.75">
      <c r="A15" s="1011" t="str">
        <f>+'V.3.2 Trasp. recibidos'!A15</f>
        <v>2014</v>
      </c>
      <c r="B15" s="1578">
        <v>0</v>
      </c>
      <c r="C15" s="1578">
        <v>0</v>
      </c>
      <c r="D15" s="1578">
        <v>0</v>
      </c>
      <c r="E15" s="1579">
        <f>823+6918</f>
        <v>7741</v>
      </c>
      <c r="F15" s="1578">
        <v>0</v>
      </c>
      <c r="G15" s="1579">
        <f>559+6838</f>
        <v>7397</v>
      </c>
      <c r="H15" s="1578">
        <f>14+93</f>
        <v>107</v>
      </c>
      <c r="I15" s="1579">
        <f>1152+9960</f>
        <v>11112</v>
      </c>
      <c r="J15" s="1579">
        <f>737+5089</f>
        <v>5826</v>
      </c>
      <c r="K15" s="1127">
        <f>SUM(B15:J15)</f>
        <v>32183</v>
      </c>
      <c r="L15" s="1578">
        <v>5</v>
      </c>
      <c r="M15" s="1578">
        <f>3+29</f>
        <v>32</v>
      </c>
      <c r="N15" s="1578">
        <v>0</v>
      </c>
      <c r="O15" s="1578">
        <v>7</v>
      </c>
      <c r="P15" s="1534">
        <f>SUM(L15:O15)</f>
        <v>44</v>
      </c>
      <c r="Q15" s="1538">
        <f>K15+P15</f>
        <v>32227</v>
      </c>
      <c r="R15" s="236"/>
    </row>
    <row r="16" spans="1:19" ht="15.75">
      <c r="A16" s="1079" t="s">
        <v>23</v>
      </c>
      <c r="B16" s="1539">
        <f>SUM(B6:B15)</f>
        <v>0</v>
      </c>
      <c r="C16" s="1539">
        <f t="shared" ref="C16:Q16" si="3">SUM(C6:C15)</f>
        <v>501</v>
      </c>
      <c r="D16" s="1539">
        <f t="shared" si="3"/>
        <v>37</v>
      </c>
      <c r="E16" s="1539">
        <f t="shared" si="3"/>
        <v>24756</v>
      </c>
      <c r="F16" s="1539">
        <f t="shared" si="3"/>
        <v>0</v>
      </c>
      <c r="G16" s="1539">
        <f t="shared" si="3"/>
        <v>22816</v>
      </c>
      <c r="H16" s="1539">
        <f t="shared" si="3"/>
        <v>323</v>
      </c>
      <c r="I16" s="1539">
        <f t="shared" si="3"/>
        <v>35260</v>
      </c>
      <c r="J16" s="1539">
        <f t="shared" si="3"/>
        <v>19955</v>
      </c>
      <c r="K16" s="1539">
        <f t="shared" si="3"/>
        <v>103648</v>
      </c>
      <c r="L16" s="1539">
        <f t="shared" si="3"/>
        <v>341</v>
      </c>
      <c r="M16" s="1539">
        <f t="shared" si="3"/>
        <v>1083</v>
      </c>
      <c r="N16" s="1539">
        <f t="shared" si="3"/>
        <v>0</v>
      </c>
      <c r="O16" s="1539">
        <f t="shared" si="3"/>
        <v>7</v>
      </c>
      <c r="P16" s="1539">
        <f t="shared" si="3"/>
        <v>1431</v>
      </c>
      <c r="Q16" s="1539">
        <f t="shared" si="3"/>
        <v>105079</v>
      </c>
      <c r="R16" s="236"/>
      <c r="S16" s="59"/>
    </row>
    <row r="17" spans="1:19" s="59" customFormat="1" ht="18" customHeight="1">
      <c r="A17" s="128"/>
      <c r="B17" s="128"/>
      <c r="C17" s="128"/>
      <c r="D17" s="128"/>
      <c r="E17" s="128"/>
      <c r="F17" s="128"/>
      <c r="G17" s="128"/>
      <c r="H17" s="128"/>
      <c r="I17" s="128"/>
      <c r="J17" s="128"/>
      <c r="K17" s="128"/>
      <c r="L17" s="128"/>
      <c r="M17" s="128"/>
      <c r="N17" s="128"/>
      <c r="O17" s="128"/>
      <c r="P17" s="128"/>
      <c r="Q17" s="128"/>
    </row>
    <row r="18" spans="1:19" s="59" customFormat="1">
      <c r="A18" s="151"/>
      <c r="B18" s="151"/>
      <c r="C18" s="151"/>
      <c r="D18" s="151"/>
      <c r="E18" s="151"/>
      <c r="F18" s="151"/>
      <c r="G18" s="151"/>
      <c r="H18" s="151"/>
      <c r="I18" s="151"/>
      <c r="J18" s="151"/>
      <c r="K18" s="151"/>
      <c r="L18" s="151"/>
      <c r="M18" s="151"/>
      <c r="N18" s="151"/>
      <c r="O18" s="151"/>
      <c r="P18" s="151"/>
      <c r="Q18" s="151"/>
    </row>
    <row r="19" spans="1:19" s="59" customFormat="1">
      <c r="A19" s="151"/>
      <c r="B19" s="151"/>
      <c r="C19" s="151"/>
      <c r="D19" s="151"/>
      <c r="E19" s="151"/>
      <c r="F19" s="151"/>
      <c r="G19" s="151"/>
      <c r="H19" s="151"/>
      <c r="I19" s="151"/>
      <c r="J19" s="151"/>
      <c r="K19" s="151"/>
      <c r="L19" s="151"/>
      <c r="M19" s="151"/>
      <c r="N19" s="151"/>
      <c r="O19" s="151"/>
      <c r="P19" s="151"/>
      <c r="Q19" s="151"/>
    </row>
    <row r="20" spans="1:19" s="59" customFormat="1">
      <c r="A20" s="151"/>
      <c r="B20" s="151"/>
      <c r="C20" s="151"/>
      <c r="D20" s="151"/>
      <c r="E20" s="151"/>
      <c r="F20" s="151"/>
      <c r="G20" s="151"/>
      <c r="H20" s="151"/>
      <c r="I20" s="151"/>
      <c r="J20" s="151"/>
      <c r="K20" s="151"/>
      <c r="L20" s="151"/>
      <c r="M20" s="151"/>
      <c r="N20" s="151"/>
      <c r="O20" s="151"/>
      <c r="P20" s="151"/>
      <c r="Q20" s="151"/>
    </row>
    <row r="21" spans="1:19" s="59" customFormat="1">
      <c r="A21" s="151"/>
      <c r="B21" s="151"/>
      <c r="C21" s="151"/>
      <c r="D21" s="151"/>
      <c r="E21" s="151"/>
      <c r="F21" s="151"/>
      <c r="G21" s="151"/>
      <c r="H21" s="151"/>
      <c r="I21" s="151"/>
      <c r="J21" s="151"/>
      <c r="K21" s="151"/>
      <c r="L21" s="151"/>
      <c r="M21" s="151"/>
      <c r="N21" s="151"/>
      <c r="O21" s="151"/>
      <c r="P21" s="151"/>
      <c r="Q21" s="151"/>
    </row>
    <row r="22" spans="1:19" s="59" customFormat="1">
      <c r="A22" s="151"/>
      <c r="B22" s="151"/>
      <c r="C22" s="151"/>
      <c r="D22" s="151"/>
      <c r="E22" s="151"/>
      <c r="F22" s="151"/>
      <c r="G22" s="151"/>
      <c r="H22" s="151"/>
      <c r="I22" s="151"/>
      <c r="J22" s="151"/>
      <c r="K22" s="151"/>
      <c r="L22" s="151"/>
      <c r="M22" s="151"/>
      <c r="N22" s="151"/>
      <c r="O22" s="151"/>
      <c r="P22" s="151"/>
      <c r="Q22" s="151"/>
    </row>
    <row r="23" spans="1:19" s="59" customFormat="1">
      <c r="A23" s="151"/>
      <c r="B23" s="151"/>
      <c r="C23" s="151"/>
      <c r="D23" s="151"/>
      <c r="E23" s="151"/>
      <c r="F23" s="151"/>
      <c r="G23" s="151"/>
      <c r="H23" s="151"/>
      <c r="I23" s="151"/>
      <c r="J23" s="151"/>
      <c r="K23" s="151"/>
      <c r="L23" s="151"/>
      <c r="M23" s="151"/>
      <c r="N23" s="151"/>
      <c r="O23" s="151"/>
      <c r="P23" s="151"/>
      <c r="Q23" s="151"/>
    </row>
    <row r="24" spans="1:19" s="59" customFormat="1">
      <c r="A24" s="151"/>
      <c r="B24" s="151"/>
      <c r="C24" s="151"/>
      <c r="D24" s="151"/>
      <c r="E24" s="151"/>
      <c r="F24" s="151"/>
      <c r="G24" s="151"/>
      <c r="H24" s="151"/>
      <c r="I24" s="151"/>
      <c r="J24" s="151"/>
      <c r="K24" s="151"/>
      <c r="L24" s="151"/>
      <c r="M24" s="151"/>
      <c r="N24" s="151"/>
      <c r="O24" s="151"/>
      <c r="P24" s="151"/>
      <c r="Q24" s="151"/>
    </row>
    <row r="25" spans="1:19" s="59" customFormat="1">
      <c r="A25" s="151"/>
      <c r="B25" s="151"/>
      <c r="C25" s="151"/>
      <c r="D25" s="151"/>
      <c r="E25" s="151"/>
      <c r="F25" s="151"/>
      <c r="G25" s="151"/>
      <c r="H25" s="151"/>
      <c r="I25" s="151"/>
      <c r="J25" s="151"/>
      <c r="K25" s="151"/>
      <c r="L25" s="151"/>
      <c r="M25" s="151"/>
      <c r="N25" s="151"/>
      <c r="O25" s="151"/>
      <c r="P25" s="151"/>
      <c r="Q25" s="151"/>
      <c r="S25" s="128"/>
    </row>
    <row r="26" spans="1:19" s="59" customFormat="1">
      <c r="A26" s="151"/>
      <c r="B26" s="151"/>
      <c r="C26" s="151"/>
      <c r="D26" s="151"/>
      <c r="E26" s="151"/>
      <c r="F26" s="151"/>
      <c r="G26" s="151"/>
      <c r="H26" s="151"/>
      <c r="I26" s="151"/>
      <c r="J26" s="151"/>
      <c r="K26" s="151"/>
      <c r="L26" s="151"/>
      <c r="M26" s="151"/>
      <c r="N26" s="151"/>
      <c r="O26" s="151"/>
      <c r="P26" s="151"/>
      <c r="Q26" s="151"/>
      <c r="S26" s="128"/>
    </row>
    <row r="27" spans="1:19" s="59" customFormat="1">
      <c r="A27" s="151"/>
      <c r="B27" s="151"/>
      <c r="C27" s="151"/>
      <c r="D27" s="151"/>
      <c r="E27" s="151"/>
      <c r="F27" s="151"/>
      <c r="G27" s="151"/>
      <c r="H27" s="151"/>
      <c r="I27" s="151"/>
      <c r="J27" s="151"/>
      <c r="K27" s="151"/>
      <c r="L27" s="151"/>
      <c r="M27" s="151"/>
      <c r="N27" s="151"/>
      <c r="O27" s="151"/>
      <c r="P27" s="151"/>
      <c r="Q27" s="151"/>
      <c r="S27" s="128"/>
    </row>
    <row r="28" spans="1:19" s="59" customFormat="1">
      <c r="A28" s="151"/>
      <c r="B28" s="151"/>
      <c r="C28" s="151"/>
      <c r="D28" s="151"/>
      <c r="E28" s="151"/>
      <c r="F28" s="151"/>
      <c r="G28" s="151"/>
      <c r="H28" s="151"/>
      <c r="I28" s="151"/>
      <c r="J28" s="151"/>
      <c r="K28" s="151"/>
      <c r="L28" s="151"/>
      <c r="M28" s="151"/>
      <c r="N28" s="151"/>
      <c r="O28" s="151"/>
      <c r="P28" s="151"/>
      <c r="Q28" s="151"/>
      <c r="S28" s="128"/>
    </row>
    <row r="29" spans="1:19" s="59" customFormat="1">
      <c r="A29" s="151"/>
      <c r="B29" s="151"/>
      <c r="C29" s="151"/>
      <c r="D29" s="151"/>
      <c r="E29" s="151"/>
      <c r="F29" s="151"/>
      <c r="G29" s="151"/>
      <c r="H29" s="151"/>
      <c r="I29" s="151"/>
      <c r="J29" s="151"/>
      <c r="K29" s="151"/>
      <c r="L29" s="151"/>
      <c r="M29" s="151"/>
      <c r="N29" s="151"/>
      <c r="O29" s="151"/>
      <c r="P29" s="151"/>
      <c r="Q29" s="151"/>
      <c r="S29" s="128"/>
    </row>
    <row r="30" spans="1:19" s="59" customFormat="1">
      <c r="A30" s="151"/>
      <c r="B30" s="151"/>
      <c r="C30" s="151"/>
      <c r="D30" s="151"/>
      <c r="E30" s="151"/>
      <c r="F30" s="151"/>
      <c r="G30" s="151"/>
      <c r="H30" s="151"/>
      <c r="I30" s="151"/>
      <c r="J30" s="151"/>
      <c r="K30" s="151"/>
      <c r="L30" s="151"/>
      <c r="M30" s="151"/>
      <c r="N30" s="151"/>
      <c r="O30" s="151"/>
      <c r="P30" s="151"/>
      <c r="Q30" s="151"/>
      <c r="S30" s="128"/>
    </row>
    <row r="31" spans="1:19" s="59" customFormat="1">
      <c r="A31" s="151"/>
      <c r="B31" s="12"/>
      <c r="C31" s="151"/>
      <c r="D31" s="151"/>
      <c r="E31" s="151"/>
      <c r="F31" s="151"/>
      <c r="G31" s="151"/>
      <c r="H31" s="151"/>
      <c r="I31" s="151"/>
      <c r="J31" s="151"/>
      <c r="K31" s="151"/>
      <c r="L31" s="151"/>
      <c r="M31" s="151"/>
      <c r="N31" s="151"/>
      <c r="O31" s="151"/>
      <c r="P31" s="151"/>
      <c r="Q31" s="151"/>
      <c r="S31" s="128"/>
    </row>
    <row r="32" spans="1:19" s="59" customFormat="1">
      <c r="A32" s="151"/>
      <c r="B32" s="11"/>
      <c r="C32" s="151"/>
      <c r="D32" s="151"/>
      <c r="E32" s="151"/>
      <c r="F32" s="151"/>
      <c r="G32" s="151"/>
      <c r="H32" s="151"/>
      <c r="I32" s="151"/>
      <c r="J32" s="151"/>
      <c r="K32" s="151"/>
      <c r="L32" s="151"/>
      <c r="M32" s="151"/>
      <c r="N32" s="151"/>
      <c r="O32" s="151"/>
      <c r="P32" s="151"/>
      <c r="Q32" s="151"/>
      <c r="S32" s="128"/>
    </row>
    <row r="33" spans="1:19" s="59" customFormat="1">
      <c r="A33" s="151"/>
      <c r="B33" s="35"/>
      <c r="C33" s="151"/>
      <c r="D33" s="151"/>
      <c r="E33" s="151"/>
      <c r="F33" s="151"/>
      <c r="G33" s="151"/>
      <c r="H33" s="151"/>
      <c r="I33" s="151"/>
      <c r="J33" s="151"/>
      <c r="K33" s="151"/>
      <c r="L33" s="151"/>
      <c r="M33" s="151"/>
      <c r="N33" s="151"/>
      <c r="O33" s="151"/>
      <c r="P33" s="151"/>
      <c r="Q33" s="151"/>
      <c r="S33" s="128"/>
    </row>
    <row r="34" spans="1:19" s="59" customFormat="1">
      <c r="A34" s="151"/>
      <c r="B34" s="151"/>
      <c r="C34" s="151"/>
      <c r="D34" s="151"/>
      <c r="E34" s="151"/>
      <c r="F34" s="151"/>
      <c r="G34" s="151"/>
      <c r="H34" s="151"/>
      <c r="I34" s="151"/>
      <c r="J34" s="151"/>
      <c r="K34" s="151"/>
      <c r="L34" s="151"/>
      <c r="M34" s="151"/>
      <c r="N34" s="151"/>
      <c r="O34" s="151"/>
      <c r="P34" s="151"/>
      <c r="Q34" s="151"/>
      <c r="S34" s="128"/>
    </row>
    <row r="35" spans="1:19" s="59" customFormat="1">
      <c r="A35" s="151"/>
      <c r="B35" s="151"/>
      <c r="C35" s="151"/>
      <c r="D35" s="151"/>
      <c r="E35" s="151"/>
      <c r="F35" s="151"/>
      <c r="G35" s="151"/>
      <c r="H35" s="151"/>
      <c r="I35" s="151"/>
      <c r="J35" s="151"/>
      <c r="K35" s="151"/>
      <c r="L35" s="151"/>
      <c r="M35" s="151"/>
      <c r="N35" s="151"/>
      <c r="O35" s="151"/>
      <c r="P35" s="151"/>
      <c r="Q35" s="151"/>
      <c r="S35" s="128"/>
    </row>
    <row r="36" spans="1:19" s="59" customFormat="1">
      <c r="A36" s="151"/>
      <c r="B36" s="151"/>
      <c r="C36" s="151"/>
      <c r="D36" s="151"/>
      <c r="E36" s="151"/>
      <c r="F36" s="151"/>
      <c r="G36" s="151"/>
      <c r="H36" s="151"/>
      <c r="I36" s="151"/>
      <c r="J36" s="151"/>
      <c r="K36" s="151"/>
      <c r="L36" s="151"/>
      <c r="M36" s="151"/>
      <c r="N36" s="151"/>
      <c r="O36" s="151"/>
      <c r="P36" s="151"/>
      <c r="Q36" s="151"/>
      <c r="S36" s="128"/>
    </row>
    <row r="37" spans="1:19" s="59" customFormat="1">
      <c r="A37" s="151"/>
      <c r="B37" s="151"/>
      <c r="C37" s="151"/>
      <c r="D37" s="151"/>
      <c r="E37" s="151"/>
      <c r="F37" s="151"/>
      <c r="G37" s="151"/>
      <c r="H37" s="151"/>
      <c r="I37" s="151"/>
      <c r="J37" s="151"/>
      <c r="K37" s="151"/>
      <c r="L37" s="151"/>
      <c r="M37" s="151"/>
      <c r="N37" s="151"/>
      <c r="O37" s="151"/>
      <c r="P37" s="151"/>
      <c r="Q37" s="151"/>
      <c r="S37" s="128"/>
    </row>
    <row r="38" spans="1:19" s="59" customFormat="1">
      <c r="A38" s="151"/>
      <c r="B38" s="151"/>
      <c r="C38" s="151"/>
      <c r="D38" s="151"/>
      <c r="E38" s="151"/>
      <c r="F38" s="151"/>
      <c r="G38" s="19"/>
      <c r="H38" s="151"/>
      <c r="I38" s="151"/>
      <c r="J38" s="151"/>
      <c r="K38" s="151"/>
      <c r="L38" s="151"/>
      <c r="M38" s="151"/>
      <c r="N38" s="151"/>
      <c r="O38" s="151"/>
      <c r="P38" s="151"/>
      <c r="Q38" s="151"/>
      <c r="S38" s="128"/>
    </row>
    <row r="39" spans="1:19" s="59" customFormat="1">
      <c r="A39" s="128"/>
      <c r="B39" s="128"/>
      <c r="C39" s="128"/>
      <c r="D39" s="128"/>
      <c r="E39" s="128"/>
      <c r="F39" s="128"/>
      <c r="G39" s="128"/>
      <c r="H39" s="128"/>
      <c r="I39" s="128"/>
      <c r="J39" s="128"/>
      <c r="K39" s="128"/>
      <c r="L39" s="128"/>
      <c r="M39" s="128"/>
      <c r="N39" s="128"/>
      <c r="O39" s="128"/>
      <c r="P39" s="128"/>
      <c r="Q39" s="128"/>
      <c r="S39" s="128"/>
    </row>
    <row r="40" spans="1:19" s="59" customFormat="1">
      <c r="A40" s="128"/>
      <c r="B40" s="128"/>
      <c r="C40" s="128"/>
      <c r="D40" s="128"/>
      <c r="E40" s="128"/>
      <c r="F40" s="128"/>
      <c r="G40" s="128"/>
      <c r="H40" s="128"/>
      <c r="I40" s="128"/>
      <c r="J40" s="128"/>
      <c r="K40" s="128"/>
      <c r="L40" s="128"/>
      <c r="M40" s="128"/>
      <c r="N40" s="128"/>
      <c r="O40" s="128"/>
      <c r="P40" s="128"/>
      <c r="Q40" s="128"/>
      <c r="S40" s="128"/>
    </row>
    <row r="41" spans="1:19" s="59" customFormat="1">
      <c r="A41" s="128"/>
      <c r="B41" s="128"/>
      <c r="C41" s="128"/>
      <c r="D41" s="128"/>
      <c r="E41" s="128"/>
      <c r="F41" s="128"/>
      <c r="G41" s="128"/>
      <c r="H41" s="128"/>
      <c r="I41" s="128"/>
      <c r="J41" s="128"/>
      <c r="K41" s="128"/>
      <c r="L41" s="128"/>
      <c r="M41" s="128"/>
      <c r="N41" s="128"/>
      <c r="O41" s="128"/>
      <c r="P41" s="128"/>
      <c r="Q41" s="128"/>
      <c r="S41" s="128"/>
    </row>
    <row r="42" spans="1:19" s="59" customFormat="1">
      <c r="A42" s="128"/>
      <c r="B42" s="128"/>
      <c r="C42" s="128"/>
      <c r="D42" s="128"/>
      <c r="E42" s="128"/>
      <c r="F42" s="128"/>
      <c r="G42" s="128"/>
      <c r="H42" s="128"/>
      <c r="I42" s="128"/>
      <c r="J42" s="128"/>
      <c r="K42" s="128"/>
      <c r="L42" s="128"/>
      <c r="M42" s="128"/>
      <c r="N42" s="128"/>
      <c r="O42" s="128"/>
      <c r="P42" s="128"/>
      <c r="Q42" s="128"/>
      <c r="S42" s="128"/>
    </row>
    <row r="43" spans="1:19" s="59" customFormat="1">
      <c r="A43" s="128"/>
      <c r="B43" s="128"/>
      <c r="C43" s="128"/>
      <c r="D43" s="128"/>
      <c r="E43" s="128"/>
      <c r="F43" s="128"/>
      <c r="G43" s="128"/>
      <c r="H43" s="128"/>
      <c r="I43" s="128"/>
      <c r="J43" s="128"/>
      <c r="K43" s="128"/>
      <c r="L43" s="128"/>
      <c r="M43" s="128"/>
      <c r="N43" s="128"/>
      <c r="O43" s="128"/>
      <c r="P43" s="128"/>
      <c r="Q43" s="128"/>
      <c r="S43" s="128"/>
    </row>
    <row r="44" spans="1:19" s="59" customFormat="1">
      <c r="A44" s="128"/>
      <c r="B44" s="128"/>
      <c r="C44" s="128"/>
      <c r="D44" s="128"/>
      <c r="E44" s="128"/>
      <c r="F44" s="128"/>
      <c r="G44" s="128"/>
      <c r="H44" s="128"/>
      <c r="I44" s="128"/>
      <c r="J44" s="128"/>
      <c r="K44" s="128"/>
      <c r="L44" s="128"/>
      <c r="M44" s="128"/>
      <c r="N44" s="128"/>
      <c r="O44" s="128"/>
      <c r="P44" s="128"/>
      <c r="Q44" s="128"/>
      <c r="S44" s="128"/>
    </row>
    <row r="45" spans="1:19" s="59" customFormat="1">
      <c r="A45" s="128"/>
      <c r="B45" s="128"/>
      <c r="C45" s="128"/>
      <c r="D45" s="128"/>
      <c r="E45" s="128"/>
      <c r="F45" s="128"/>
      <c r="G45" s="128"/>
      <c r="H45" s="128"/>
      <c r="I45" s="128"/>
      <c r="J45" s="128"/>
      <c r="K45" s="128"/>
      <c r="L45" s="128"/>
      <c r="M45" s="128"/>
      <c r="N45" s="128"/>
      <c r="O45" s="128"/>
      <c r="P45" s="128"/>
      <c r="Q45" s="128"/>
      <c r="S45" s="128"/>
    </row>
    <row r="46" spans="1:19" s="59" customFormat="1">
      <c r="A46" s="128"/>
      <c r="B46" s="128"/>
      <c r="C46" s="128"/>
      <c r="D46" s="128"/>
      <c r="E46" s="128"/>
      <c r="F46" s="128"/>
      <c r="G46" s="128"/>
      <c r="H46" s="128"/>
      <c r="I46" s="128"/>
      <c r="J46" s="128"/>
      <c r="K46" s="128"/>
      <c r="L46" s="128"/>
      <c r="M46" s="128"/>
      <c r="N46" s="128"/>
      <c r="O46" s="128"/>
      <c r="P46" s="128"/>
      <c r="Q46" s="128"/>
      <c r="S46" s="128"/>
    </row>
    <row r="47" spans="1:19" s="59" customFormat="1">
      <c r="A47" s="128"/>
      <c r="B47" s="128"/>
      <c r="C47" s="128"/>
      <c r="D47" s="128"/>
      <c r="E47" s="128"/>
      <c r="F47" s="128"/>
      <c r="G47" s="128"/>
      <c r="H47" s="128"/>
      <c r="I47" s="128"/>
      <c r="J47" s="128"/>
      <c r="K47" s="128"/>
      <c r="L47" s="128"/>
      <c r="M47" s="128"/>
      <c r="N47" s="128"/>
      <c r="O47" s="128"/>
      <c r="P47" s="128"/>
      <c r="Q47" s="128"/>
      <c r="S47" s="128"/>
    </row>
    <row r="48" spans="1:19" s="59" customFormat="1">
      <c r="A48" s="128"/>
      <c r="B48" s="128"/>
      <c r="C48" s="128"/>
      <c r="D48" s="128"/>
      <c r="E48" s="128"/>
      <c r="F48" s="128"/>
      <c r="G48" s="128"/>
      <c r="H48" s="128"/>
      <c r="I48" s="128"/>
      <c r="J48" s="128"/>
      <c r="K48" s="128"/>
      <c r="L48" s="128"/>
      <c r="M48" s="128"/>
      <c r="N48" s="128"/>
      <c r="O48" s="128"/>
      <c r="P48" s="128"/>
      <c r="Q48" s="128"/>
      <c r="S48" s="128"/>
    </row>
    <row r="49" spans="1:19" s="59" customFormat="1">
      <c r="A49" s="128"/>
      <c r="B49" s="128"/>
      <c r="C49" s="128"/>
      <c r="D49" s="128"/>
      <c r="E49" s="128"/>
      <c r="F49" s="128"/>
      <c r="G49" s="128"/>
      <c r="H49" s="128"/>
      <c r="I49" s="128"/>
      <c r="J49" s="128"/>
      <c r="K49" s="128"/>
      <c r="L49" s="128"/>
      <c r="M49" s="128"/>
      <c r="N49" s="128"/>
      <c r="O49" s="128"/>
      <c r="P49" s="128"/>
      <c r="Q49" s="128"/>
      <c r="S49" s="128"/>
    </row>
    <row r="50" spans="1:19" s="59" customFormat="1">
      <c r="A50" s="128"/>
      <c r="B50" s="128"/>
      <c r="C50" s="128"/>
      <c r="D50" s="128"/>
      <c r="E50" s="128"/>
      <c r="F50" s="128"/>
      <c r="G50" s="128"/>
      <c r="H50" s="128"/>
      <c r="I50" s="128"/>
      <c r="J50" s="128"/>
      <c r="K50" s="128"/>
      <c r="L50" s="128"/>
      <c r="M50" s="128"/>
      <c r="N50" s="128"/>
      <c r="O50" s="128"/>
      <c r="P50" s="128"/>
      <c r="Q50" s="128"/>
      <c r="S50" s="128"/>
    </row>
    <row r="51" spans="1:19" s="59" customFormat="1">
      <c r="A51" s="128"/>
      <c r="B51" s="128"/>
      <c r="C51" s="128"/>
      <c r="D51" s="128"/>
      <c r="E51" s="128"/>
      <c r="F51" s="128"/>
      <c r="G51" s="128"/>
      <c r="H51" s="128"/>
      <c r="I51" s="128"/>
      <c r="J51" s="128"/>
      <c r="K51" s="128"/>
      <c r="L51" s="128"/>
      <c r="M51" s="128"/>
      <c r="N51" s="128"/>
      <c r="O51" s="128"/>
      <c r="P51" s="128"/>
      <c r="Q51" s="128"/>
      <c r="S51" s="128"/>
    </row>
    <row r="52" spans="1:19" s="59" customFormat="1">
      <c r="A52" s="128"/>
      <c r="B52" s="128"/>
      <c r="C52" s="128"/>
      <c r="D52" s="128"/>
      <c r="E52" s="128"/>
      <c r="F52" s="128"/>
      <c r="G52" s="128"/>
      <c r="H52" s="128"/>
      <c r="I52" s="128"/>
      <c r="J52" s="128"/>
      <c r="K52" s="128"/>
      <c r="L52" s="128"/>
      <c r="M52" s="128"/>
      <c r="N52" s="128"/>
      <c r="O52" s="128"/>
      <c r="P52" s="128"/>
      <c r="Q52" s="128"/>
      <c r="S52" s="128"/>
    </row>
    <row r="53" spans="1:19" s="59" customFormat="1">
      <c r="A53" s="128"/>
      <c r="B53" s="128"/>
      <c r="C53" s="128"/>
      <c r="D53" s="128"/>
      <c r="E53" s="128"/>
      <c r="F53" s="128"/>
      <c r="G53" s="128"/>
      <c r="H53" s="128"/>
      <c r="I53" s="128"/>
      <c r="J53" s="128"/>
      <c r="K53" s="128"/>
      <c r="L53" s="128"/>
      <c r="M53" s="128"/>
      <c r="N53" s="128"/>
      <c r="O53" s="128"/>
      <c r="P53" s="128"/>
      <c r="Q53" s="128"/>
      <c r="S53" s="128"/>
    </row>
    <row r="54" spans="1:19" s="59" customFormat="1">
      <c r="A54" s="128"/>
      <c r="B54" s="128"/>
      <c r="C54" s="128"/>
      <c r="D54" s="128"/>
      <c r="E54" s="128"/>
      <c r="F54" s="128"/>
      <c r="G54" s="128"/>
      <c r="H54" s="128"/>
      <c r="I54" s="128"/>
      <c r="J54" s="128"/>
      <c r="K54" s="128"/>
      <c r="L54" s="128"/>
      <c r="M54" s="128"/>
      <c r="N54" s="128"/>
      <c r="O54" s="128"/>
      <c r="P54" s="128"/>
      <c r="Q54" s="128"/>
      <c r="S54" s="128"/>
    </row>
    <row r="55" spans="1:19" s="59" customFormat="1">
      <c r="A55" s="128"/>
      <c r="B55" s="128"/>
      <c r="C55" s="128"/>
      <c r="D55" s="128"/>
      <c r="E55" s="128"/>
      <c r="F55" s="128"/>
      <c r="G55" s="128"/>
      <c r="H55" s="128"/>
      <c r="I55" s="128"/>
      <c r="J55" s="128"/>
      <c r="K55" s="128"/>
      <c r="L55" s="128"/>
      <c r="M55" s="128"/>
      <c r="N55" s="128"/>
      <c r="O55" s="128"/>
      <c r="P55" s="128"/>
      <c r="Q55" s="128"/>
      <c r="S55" s="128"/>
    </row>
    <row r="56" spans="1:19" s="59" customFormat="1">
      <c r="A56" s="128"/>
      <c r="B56" s="128"/>
      <c r="C56" s="128"/>
      <c r="D56" s="128"/>
      <c r="E56" s="128"/>
      <c r="F56" s="128"/>
      <c r="G56" s="128"/>
      <c r="H56" s="128"/>
      <c r="I56" s="128"/>
      <c r="J56" s="128"/>
      <c r="K56" s="128"/>
      <c r="L56" s="128"/>
      <c r="M56" s="128"/>
      <c r="N56" s="128"/>
      <c r="O56" s="128"/>
      <c r="P56" s="128"/>
      <c r="Q56" s="128"/>
      <c r="S56" s="128"/>
    </row>
    <row r="57" spans="1:19" s="59" customFormat="1">
      <c r="A57" s="128"/>
      <c r="B57" s="128"/>
      <c r="C57" s="128"/>
      <c r="D57" s="128"/>
      <c r="E57" s="128"/>
      <c r="F57" s="128"/>
      <c r="G57" s="128"/>
      <c r="H57" s="128"/>
      <c r="I57" s="128"/>
      <c r="J57" s="128"/>
      <c r="K57" s="128"/>
      <c r="L57" s="128"/>
      <c r="M57" s="128"/>
      <c r="N57" s="128"/>
      <c r="O57" s="128"/>
      <c r="P57" s="128"/>
      <c r="Q57" s="128"/>
      <c r="S57" s="128"/>
    </row>
    <row r="58" spans="1:19" s="59" customFormat="1">
      <c r="A58" s="128"/>
      <c r="B58" s="128"/>
      <c r="C58" s="128"/>
      <c r="D58" s="128"/>
      <c r="E58" s="128"/>
      <c r="F58" s="128"/>
      <c r="G58" s="128"/>
      <c r="H58" s="128"/>
      <c r="I58" s="128"/>
      <c r="J58" s="128"/>
      <c r="K58" s="128"/>
      <c r="L58" s="128"/>
      <c r="M58" s="128"/>
      <c r="N58" s="128"/>
      <c r="O58" s="128"/>
      <c r="P58" s="128"/>
      <c r="Q58" s="128"/>
      <c r="S58" s="128"/>
    </row>
    <row r="59" spans="1:19" s="59" customFormat="1">
      <c r="A59" s="128"/>
      <c r="B59" s="128"/>
      <c r="C59" s="128"/>
      <c r="D59" s="128"/>
      <c r="E59" s="128"/>
      <c r="F59" s="128"/>
      <c r="G59" s="128"/>
      <c r="H59" s="128"/>
      <c r="I59" s="128"/>
      <c r="J59" s="128"/>
      <c r="K59" s="128"/>
      <c r="L59" s="128"/>
      <c r="M59" s="128"/>
      <c r="N59" s="128"/>
      <c r="O59" s="128"/>
      <c r="P59" s="128"/>
      <c r="Q59" s="128"/>
      <c r="S59" s="128"/>
    </row>
    <row r="60" spans="1:19" s="59" customFormat="1">
      <c r="A60" s="128"/>
      <c r="B60" s="128"/>
      <c r="C60" s="128"/>
      <c r="D60" s="128"/>
      <c r="E60" s="128"/>
      <c r="F60" s="128"/>
      <c r="G60" s="128"/>
      <c r="H60" s="128"/>
      <c r="I60" s="128"/>
      <c r="J60" s="128"/>
      <c r="K60" s="128"/>
      <c r="L60" s="128"/>
      <c r="M60" s="128"/>
      <c r="N60" s="128"/>
      <c r="O60" s="128"/>
      <c r="P60" s="128"/>
      <c r="Q60" s="128"/>
      <c r="S60" s="128"/>
    </row>
    <row r="61" spans="1:19" s="59" customFormat="1">
      <c r="A61" s="128"/>
      <c r="B61" s="128"/>
      <c r="C61" s="128"/>
      <c r="D61" s="128"/>
      <c r="E61" s="128"/>
      <c r="F61" s="128"/>
      <c r="G61" s="128"/>
      <c r="H61" s="128"/>
      <c r="I61" s="128"/>
      <c r="J61" s="128"/>
      <c r="K61" s="128"/>
      <c r="L61" s="128"/>
      <c r="M61" s="128"/>
      <c r="N61" s="128"/>
      <c r="O61" s="128"/>
      <c r="P61" s="128"/>
      <c r="Q61" s="128"/>
      <c r="S61" s="128"/>
    </row>
    <row r="62" spans="1:19" s="59" customFormat="1">
      <c r="A62" s="128"/>
      <c r="B62" s="128"/>
      <c r="C62" s="128"/>
      <c r="D62" s="128"/>
      <c r="E62" s="128"/>
      <c r="F62" s="128"/>
      <c r="G62" s="128"/>
      <c r="H62" s="128"/>
      <c r="I62" s="128"/>
      <c r="J62" s="128"/>
      <c r="K62" s="128"/>
      <c r="L62" s="128"/>
      <c r="M62" s="128"/>
      <c r="N62" s="128"/>
      <c r="O62" s="128"/>
      <c r="P62" s="128"/>
      <c r="Q62" s="128"/>
      <c r="S62" s="128"/>
    </row>
    <row r="63" spans="1:19" s="59" customFormat="1">
      <c r="A63" s="128"/>
      <c r="B63" s="128"/>
      <c r="C63" s="128"/>
      <c r="D63" s="128"/>
      <c r="E63" s="128"/>
      <c r="F63" s="128"/>
      <c r="G63" s="128"/>
      <c r="H63" s="128"/>
      <c r="I63" s="128"/>
      <c r="J63" s="128"/>
      <c r="K63" s="128"/>
      <c r="L63" s="128"/>
      <c r="M63" s="128"/>
      <c r="N63" s="128"/>
      <c r="O63" s="128"/>
      <c r="P63" s="128"/>
      <c r="Q63" s="128"/>
      <c r="S63" s="128"/>
    </row>
    <row r="64" spans="1:19" s="59" customFormat="1">
      <c r="A64" s="128"/>
      <c r="B64" s="128"/>
      <c r="C64" s="128"/>
      <c r="D64" s="128"/>
      <c r="E64" s="128"/>
      <c r="F64" s="128"/>
      <c r="G64" s="128"/>
      <c r="H64" s="128"/>
      <c r="I64" s="128"/>
      <c r="J64" s="128"/>
      <c r="K64" s="128"/>
      <c r="L64" s="128"/>
      <c r="M64" s="128"/>
      <c r="N64" s="128"/>
      <c r="O64" s="128"/>
      <c r="P64" s="128"/>
      <c r="Q64" s="128"/>
      <c r="S64" s="128"/>
    </row>
    <row r="65" spans="1:19" s="59" customFormat="1">
      <c r="A65" s="128"/>
      <c r="B65" s="128"/>
      <c r="C65" s="128"/>
      <c r="D65" s="128"/>
      <c r="E65" s="128"/>
      <c r="F65" s="128"/>
      <c r="G65" s="128"/>
      <c r="H65" s="128"/>
      <c r="I65" s="128"/>
      <c r="J65" s="128"/>
      <c r="K65" s="128"/>
      <c r="L65" s="128"/>
      <c r="M65" s="128"/>
      <c r="N65" s="128"/>
      <c r="O65" s="128"/>
      <c r="P65" s="128"/>
      <c r="Q65" s="128"/>
      <c r="S65" s="128"/>
    </row>
    <row r="66" spans="1:19" s="59" customFormat="1">
      <c r="A66" s="128"/>
      <c r="B66" s="128"/>
      <c r="C66" s="128"/>
      <c r="D66" s="128"/>
      <c r="E66" s="128"/>
      <c r="F66" s="128"/>
      <c r="G66" s="128"/>
      <c r="H66" s="128"/>
      <c r="I66" s="128"/>
      <c r="J66" s="128"/>
      <c r="K66" s="128"/>
      <c r="L66" s="128"/>
      <c r="M66" s="128"/>
      <c r="N66" s="128"/>
      <c r="O66" s="128"/>
      <c r="P66" s="128"/>
      <c r="Q66" s="128"/>
      <c r="S66" s="128"/>
    </row>
    <row r="67" spans="1:19" s="59" customFormat="1">
      <c r="A67" s="128"/>
      <c r="B67" s="128"/>
      <c r="C67" s="128"/>
      <c r="D67" s="128"/>
      <c r="E67" s="128"/>
      <c r="F67" s="128"/>
      <c r="G67" s="128"/>
      <c r="H67" s="128"/>
      <c r="I67" s="128"/>
      <c r="J67" s="128"/>
      <c r="K67" s="128"/>
      <c r="L67" s="128"/>
      <c r="M67" s="128"/>
      <c r="N67" s="128"/>
      <c r="O67" s="128"/>
      <c r="P67" s="128"/>
      <c r="Q67" s="128"/>
      <c r="S67" s="128"/>
    </row>
    <row r="68" spans="1:19" s="59" customFormat="1">
      <c r="A68" s="128"/>
      <c r="B68" s="128"/>
      <c r="C68" s="128"/>
      <c r="D68" s="128"/>
      <c r="E68" s="128"/>
      <c r="F68" s="128"/>
      <c r="G68" s="128"/>
      <c r="H68" s="128"/>
      <c r="I68" s="128"/>
      <c r="J68" s="128"/>
      <c r="K68" s="128"/>
      <c r="L68" s="128"/>
      <c r="M68" s="128"/>
      <c r="N68" s="128"/>
      <c r="O68" s="128"/>
      <c r="P68" s="128"/>
      <c r="Q68" s="128"/>
      <c r="S68" s="128"/>
    </row>
    <row r="69" spans="1:19" s="59" customFormat="1">
      <c r="A69" s="128"/>
      <c r="B69" s="128"/>
      <c r="C69" s="128"/>
      <c r="D69" s="128"/>
      <c r="E69" s="128"/>
      <c r="F69" s="128"/>
      <c r="G69" s="128"/>
      <c r="H69" s="128"/>
      <c r="I69" s="128"/>
      <c r="J69" s="128"/>
      <c r="K69" s="128"/>
      <c r="L69" s="128"/>
      <c r="M69" s="128"/>
      <c r="N69" s="128"/>
      <c r="O69" s="128"/>
      <c r="P69" s="128"/>
      <c r="Q69" s="128"/>
      <c r="S69" s="128"/>
    </row>
    <row r="70" spans="1:19" s="59" customFormat="1">
      <c r="A70" s="128"/>
      <c r="B70" s="128"/>
      <c r="C70" s="128"/>
      <c r="D70" s="128"/>
      <c r="E70" s="128"/>
      <c r="F70" s="128"/>
      <c r="G70" s="128"/>
      <c r="H70" s="128"/>
      <c r="I70" s="128"/>
      <c r="J70" s="128"/>
      <c r="K70" s="128"/>
      <c r="L70" s="128"/>
      <c r="M70" s="128"/>
      <c r="N70" s="128"/>
      <c r="O70" s="128"/>
      <c r="P70" s="128"/>
      <c r="Q70" s="128"/>
      <c r="S70" s="128"/>
    </row>
    <row r="71" spans="1:19" s="59" customFormat="1">
      <c r="A71" s="128"/>
      <c r="B71" s="128"/>
      <c r="C71" s="128"/>
      <c r="D71" s="128"/>
      <c r="E71" s="128"/>
      <c r="F71" s="128"/>
      <c r="G71" s="128"/>
      <c r="H71" s="128"/>
      <c r="I71" s="128"/>
      <c r="J71" s="128"/>
      <c r="K71" s="128"/>
      <c r="L71" s="128"/>
      <c r="M71" s="128"/>
      <c r="N71" s="128"/>
      <c r="O71" s="128"/>
      <c r="P71" s="128"/>
      <c r="Q71" s="128"/>
      <c r="S71" s="128"/>
    </row>
    <row r="72" spans="1:19" s="59" customFormat="1">
      <c r="A72" s="128"/>
      <c r="B72" s="128"/>
      <c r="C72" s="128"/>
      <c r="D72" s="128"/>
      <c r="E72" s="128"/>
      <c r="F72" s="128"/>
      <c r="G72" s="128"/>
      <c r="H72" s="128"/>
      <c r="I72" s="128"/>
      <c r="J72" s="128"/>
      <c r="K72" s="128"/>
      <c r="L72" s="128"/>
      <c r="M72" s="128"/>
      <c r="N72" s="128"/>
      <c r="O72" s="128"/>
      <c r="P72" s="128"/>
      <c r="Q72" s="128"/>
      <c r="S72" s="128"/>
    </row>
    <row r="73" spans="1:19" s="59" customFormat="1">
      <c r="A73" s="128"/>
      <c r="B73" s="128"/>
      <c r="C73" s="128"/>
      <c r="D73" s="128"/>
      <c r="E73" s="128"/>
      <c r="F73" s="128"/>
      <c r="G73" s="128"/>
      <c r="H73" s="128"/>
      <c r="I73" s="128"/>
      <c r="J73" s="128"/>
      <c r="K73" s="128"/>
      <c r="L73" s="128"/>
      <c r="M73" s="128"/>
      <c r="N73" s="128"/>
      <c r="O73" s="128"/>
      <c r="P73" s="128"/>
      <c r="Q73" s="128"/>
      <c r="S73" s="128"/>
    </row>
    <row r="74" spans="1:19" s="59" customFormat="1">
      <c r="A74" s="128"/>
      <c r="B74" s="128"/>
      <c r="C74" s="128"/>
      <c r="D74" s="128"/>
      <c r="E74" s="128"/>
      <c r="F74" s="128"/>
      <c r="G74" s="128"/>
      <c r="H74" s="128"/>
      <c r="I74" s="128"/>
      <c r="J74" s="128"/>
      <c r="K74" s="128"/>
      <c r="L74" s="128"/>
      <c r="M74" s="128"/>
      <c r="N74" s="128"/>
      <c r="O74" s="128"/>
      <c r="P74" s="128"/>
      <c r="Q74" s="128"/>
      <c r="S74" s="128"/>
    </row>
    <row r="75" spans="1:19" s="59" customFormat="1">
      <c r="A75" s="128"/>
      <c r="B75" s="128"/>
      <c r="C75" s="128"/>
      <c r="D75" s="128"/>
      <c r="E75" s="128"/>
      <c r="F75" s="128"/>
      <c r="G75" s="128"/>
      <c r="H75" s="128"/>
      <c r="I75" s="128"/>
      <c r="J75" s="128"/>
      <c r="K75" s="128"/>
      <c r="L75" s="128"/>
      <c r="M75" s="128"/>
      <c r="N75" s="128"/>
      <c r="O75" s="128"/>
      <c r="P75" s="128"/>
      <c r="Q75" s="128"/>
      <c r="S75" s="128"/>
    </row>
    <row r="76" spans="1:19" s="59" customFormat="1">
      <c r="A76" s="128"/>
      <c r="B76" s="128"/>
      <c r="C76" s="128"/>
      <c r="D76" s="128"/>
      <c r="E76" s="128"/>
      <c r="F76" s="128"/>
      <c r="G76" s="128"/>
      <c r="H76" s="128"/>
      <c r="I76" s="128"/>
      <c r="J76" s="128"/>
      <c r="K76" s="128"/>
      <c r="L76" s="128"/>
      <c r="M76" s="128"/>
      <c r="N76" s="128"/>
      <c r="O76" s="128"/>
      <c r="P76" s="128"/>
      <c r="Q76" s="128"/>
      <c r="S76" s="128"/>
    </row>
    <row r="77" spans="1:19" s="59" customFormat="1">
      <c r="A77" s="128"/>
      <c r="B77" s="128"/>
      <c r="C77" s="128"/>
      <c r="D77" s="128"/>
      <c r="E77" s="128"/>
      <c r="F77" s="128"/>
      <c r="G77" s="128"/>
      <c r="H77" s="128"/>
      <c r="I77" s="128"/>
      <c r="J77" s="128"/>
      <c r="K77" s="128"/>
      <c r="L77" s="128"/>
      <c r="M77" s="128"/>
      <c r="N77" s="128"/>
      <c r="O77" s="128"/>
      <c r="P77" s="128"/>
      <c r="Q77" s="128"/>
      <c r="S77" s="128"/>
    </row>
    <row r="78" spans="1:19" s="59" customFormat="1">
      <c r="A78" s="128"/>
      <c r="B78" s="128"/>
      <c r="C78" s="128"/>
      <c r="D78" s="128"/>
      <c r="E78" s="128"/>
      <c r="F78" s="128"/>
      <c r="G78" s="128"/>
      <c r="H78" s="128"/>
      <c r="I78" s="128"/>
      <c r="J78" s="128"/>
      <c r="K78" s="128"/>
      <c r="L78" s="128"/>
      <c r="M78" s="128"/>
      <c r="N78" s="128"/>
      <c r="O78" s="128"/>
      <c r="P78" s="128"/>
      <c r="Q78" s="128"/>
      <c r="S78" s="128"/>
    </row>
    <row r="79" spans="1:19" s="59" customFormat="1">
      <c r="A79" s="128"/>
      <c r="B79" s="128"/>
      <c r="C79" s="128"/>
      <c r="D79" s="128"/>
      <c r="E79" s="128"/>
      <c r="F79" s="128"/>
      <c r="G79" s="128"/>
      <c r="H79" s="128"/>
      <c r="I79" s="128"/>
      <c r="J79" s="128"/>
      <c r="K79" s="128"/>
      <c r="L79" s="128"/>
      <c r="M79" s="128"/>
      <c r="N79" s="128"/>
      <c r="O79" s="128"/>
      <c r="P79" s="128"/>
      <c r="Q79" s="128"/>
      <c r="S79" s="128"/>
    </row>
    <row r="80" spans="1:19" s="59" customFormat="1">
      <c r="A80" s="128"/>
      <c r="B80" s="128"/>
      <c r="C80" s="128"/>
      <c r="D80" s="128"/>
      <c r="E80" s="128"/>
      <c r="F80" s="128"/>
      <c r="G80" s="128"/>
      <c r="H80" s="128"/>
      <c r="I80" s="128"/>
      <c r="J80" s="128"/>
      <c r="K80" s="128"/>
      <c r="L80" s="128"/>
      <c r="M80" s="128"/>
      <c r="N80" s="128"/>
      <c r="O80" s="128"/>
      <c r="P80" s="128"/>
      <c r="Q80" s="128"/>
      <c r="S80" s="128"/>
    </row>
    <row r="81" spans="1:19" s="59" customFormat="1">
      <c r="A81" s="128"/>
      <c r="B81" s="128"/>
      <c r="C81" s="128"/>
      <c r="D81" s="128"/>
      <c r="E81" s="128"/>
      <c r="F81" s="128"/>
      <c r="G81" s="128"/>
      <c r="H81" s="128"/>
      <c r="I81" s="128"/>
      <c r="J81" s="128"/>
      <c r="K81" s="128"/>
      <c r="L81" s="128"/>
      <c r="M81" s="128"/>
      <c r="N81" s="128"/>
      <c r="O81" s="128"/>
      <c r="P81" s="128"/>
      <c r="Q81" s="128"/>
      <c r="S81" s="128"/>
    </row>
    <row r="82" spans="1:19" s="59" customFormat="1">
      <c r="A82" s="128"/>
      <c r="B82" s="128"/>
      <c r="C82" s="128"/>
      <c r="D82" s="128"/>
      <c r="E82" s="128"/>
      <c r="F82" s="128"/>
      <c r="G82" s="128"/>
      <c r="H82" s="128"/>
      <c r="I82" s="128"/>
      <c r="J82" s="128"/>
      <c r="K82" s="128"/>
      <c r="L82" s="128"/>
      <c r="M82" s="128"/>
      <c r="N82" s="128"/>
      <c r="O82" s="128"/>
      <c r="P82" s="128"/>
      <c r="Q82" s="128"/>
      <c r="S82" s="128"/>
    </row>
    <row r="83" spans="1:19" s="59" customFormat="1">
      <c r="A83" s="128"/>
      <c r="B83" s="128"/>
      <c r="C83" s="128"/>
      <c r="D83" s="128"/>
      <c r="E83" s="128"/>
      <c r="F83" s="128"/>
      <c r="G83" s="128"/>
      <c r="H83" s="128"/>
      <c r="I83" s="128"/>
      <c r="J83" s="128"/>
      <c r="K83" s="128"/>
      <c r="L83" s="128"/>
      <c r="M83" s="128"/>
      <c r="N83" s="128"/>
      <c r="O83" s="128"/>
      <c r="P83" s="128"/>
      <c r="Q83" s="128"/>
      <c r="S83" s="128"/>
    </row>
    <row r="84" spans="1:19" s="59" customFormat="1">
      <c r="A84" s="128"/>
      <c r="B84" s="128"/>
      <c r="C84" s="128"/>
      <c r="D84" s="128"/>
      <c r="E84" s="128"/>
      <c r="F84" s="128"/>
      <c r="G84" s="128"/>
      <c r="H84" s="128"/>
      <c r="I84" s="128"/>
      <c r="J84" s="128"/>
      <c r="K84" s="128"/>
      <c r="L84" s="128"/>
      <c r="M84" s="128"/>
      <c r="N84" s="128"/>
      <c r="O84" s="128"/>
      <c r="P84" s="128"/>
      <c r="Q84" s="128"/>
      <c r="S84" s="128"/>
    </row>
    <row r="85" spans="1:19" s="59" customFormat="1">
      <c r="A85" s="128"/>
      <c r="B85" s="128"/>
      <c r="C85" s="128"/>
      <c r="D85" s="128"/>
      <c r="E85" s="128"/>
      <c r="F85" s="128"/>
      <c r="G85" s="128"/>
      <c r="H85" s="128"/>
      <c r="I85" s="128"/>
      <c r="J85" s="128"/>
      <c r="K85" s="128"/>
      <c r="L85" s="128"/>
      <c r="M85" s="128"/>
      <c r="N85" s="128"/>
      <c r="O85" s="128"/>
      <c r="P85" s="128"/>
      <c r="Q85" s="128"/>
      <c r="S85" s="128"/>
    </row>
    <row r="86" spans="1:19" s="59" customFormat="1">
      <c r="A86" s="128"/>
      <c r="B86" s="128"/>
      <c r="C86" s="128"/>
      <c r="D86" s="128"/>
      <c r="E86" s="128"/>
      <c r="F86" s="128"/>
      <c r="G86" s="128"/>
      <c r="H86" s="128"/>
      <c r="I86" s="128"/>
      <c r="J86" s="128"/>
      <c r="K86" s="128"/>
      <c r="L86" s="128"/>
      <c r="M86" s="128"/>
      <c r="N86" s="128"/>
      <c r="O86" s="128"/>
      <c r="P86" s="128"/>
      <c r="Q86" s="128"/>
      <c r="S86" s="128"/>
    </row>
    <row r="87" spans="1:19" s="59" customFormat="1">
      <c r="A87" s="128"/>
      <c r="B87" s="128"/>
      <c r="C87" s="128"/>
      <c r="D87" s="128"/>
      <c r="E87" s="128"/>
      <c r="F87" s="128"/>
      <c r="G87" s="128"/>
      <c r="H87" s="128"/>
      <c r="I87" s="128"/>
      <c r="J87" s="128"/>
      <c r="K87" s="128"/>
      <c r="L87" s="128"/>
      <c r="M87" s="128"/>
      <c r="N87" s="128"/>
      <c r="O87" s="128"/>
      <c r="P87" s="128"/>
      <c r="Q87" s="128"/>
      <c r="S87" s="128"/>
    </row>
    <row r="88" spans="1:19" s="59" customFormat="1">
      <c r="A88" s="128"/>
      <c r="B88" s="128"/>
      <c r="C88" s="128"/>
      <c r="D88" s="128"/>
      <c r="E88" s="128"/>
      <c r="F88" s="128"/>
      <c r="G88" s="128"/>
      <c r="H88" s="128"/>
      <c r="I88" s="128"/>
      <c r="J88" s="128"/>
      <c r="K88" s="128"/>
      <c r="L88" s="128"/>
      <c r="M88" s="128"/>
      <c r="N88" s="128"/>
      <c r="O88" s="128"/>
      <c r="P88" s="128"/>
      <c r="Q88" s="128"/>
      <c r="S88" s="128"/>
    </row>
    <row r="89" spans="1:19" s="59" customFormat="1">
      <c r="A89" s="128"/>
      <c r="B89" s="128"/>
      <c r="C89" s="128"/>
      <c r="D89" s="128"/>
      <c r="E89" s="128"/>
      <c r="F89" s="128"/>
      <c r="G89" s="128"/>
      <c r="H89" s="128"/>
      <c r="I89" s="128"/>
      <c r="J89" s="128"/>
      <c r="K89" s="128"/>
      <c r="L89" s="128"/>
      <c r="M89" s="128"/>
      <c r="N89" s="128"/>
      <c r="O89" s="128"/>
      <c r="P89" s="128"/>
      <c r="Q89" s="128"/>
      <c r="S89" s="128"/>
    </row>
    <row r="90" spans="1:19" s="59" customFormat="1">
      <c r="A90" s="128"/>
      <c r="B90" s="128"/>
      <c r="C90" s="128"/>
      <c r="D90" s="128"/>
      <c r="E90" s="128"/>
      <c r="F90" s="128"/>
      <c r="G90" s="128"/>
      <c r="H90" s="128"/>
      <c r="I90" s="128"/>
      <c r="J90" s="128"/>
      <c r="K90" s="128"/>
      <c r="L90" s="128"/>
      <c r="M90" s="128"/>
      <c r="N90" s="128"/>
      <c r="O90" s="128"/>
      <c r="P90" s="128"/>
      <c r="Q90" s="128"/>
      <c r="S90" s="128"/>
    </row>
    <row r="91" spans="1:19" s="59" customFormat="1">
      <c r="A91" s="128"/>
      <c r="B91" s="128"/>
      <c r="C91" s="128"/>
      <c r="D91" s="128"/>
      <c r="E91" s="128"/>
      <c r="F91" s="128"/>
      <c r="G91" s="128"/>
      <c r="H91" s="128"/>
      <c r="I91" s="128"/>
      <c r="J91" s="128"/>
      <c r="K91" s="128"/>
      <c r="L91" s="128"/>
      <c r="M91" s="128"/>
      <c r="N91" s="128"/>
      <c r="O91" s="128"/>
      <c r="P91" s="128"/>
      <c r="Q91" s="128"/>
      <c r="S91" s="128"/>
    </row>
    <row r="92" spans="1:19" s="59" customFormat="1">
      <c r="A92" s="128"/>
      <c r="B92" s="128"/>
      <c r="C92" s="128"/>
      <c r="D92" s="128"/>
      <c r="E92" s="128"/>
      <c r="F92" s="128"/>
      <c r="G92" s="128"/>
      <c r="H92" s="128"/>
      <c r="I92" s="128"/>
      <c r="J92" s="128"/>
      <c r="K92" s="128"/>
      <c r="L92" s="128"/>
      <c r="M92" s="128"/>
      <c r="N92" s="128"/>
      <c r="O92" s="128"/>
      <c r="P92" s="128"/>
      <c r="Q92" s="128"/>
      <c r="S92" s="128"/>
    </row>
    <row r="93" spans="1:19" s="59" customFormat="1">
      <c r="A93" s="128"/>
      <c r="B93" s="128"/>
      <c r="C93" s="128"/>
      <c r="D93" s="128"/>
      <c r="E93" s="128"/>
      <c r="F93" s="128"/>
      <c r="G93" s="128"/>
      <c r="H93" s="128"/>
      <c r="I93" s="128"/>
      <c r="J93" s="128"/>
      <c r="K93" s="128"/>
      <c r="L93" s="128"/>
      <c r="M93" s="128"/>
      <c r="N93" s="128"/>
      <c r="O93" s="128"/>
      <c r="P93" s="128"/>
      <c r="Q93" s="128"/>
      <c r="S93" s="128"/>
    </row>
    <row r="94" spans="1:19" s="59" customFormat="1">
      <c r="A94" s="128"/>
      <c r="B94" s="128"/>
      <c r="C94" s="128"/>
      <c r="D94" s="128"/>
      <c r="E94" s="128"/>
      <c r="F94" s="128"/>
      <c r="G94" s="128"/>
      <c r="H94" s="128"/>
      <c r="I94" s="128"/>
      <c r="J94" s="128"/>
      <c r="K94" s="128"/>
      <c r="L94" s="128"/>
      <c r="M94" s="128"/>
      <c r="N94" s="128"/>
      <c r="O94" s="128"/>
      <c r="P94" s="128"/>
      <c r="Q94" s="128"/>
      <c r="S94" s="128"/>
    </row>
    <row r="95" spans="1:19" s="59" customFormat="1">
      <c r="A95" s="128"/>
      <c r="B95" s="128"/>
      <c r="C95" s="128"/>
      <c r="D95" s="128"/>
      <c r="E95" s="128"/>
      <c r="F95" s="128"/>
      <c r="G95" s="128"/>
      <c r="H95" s="128"/>
      <c r="I95" s="128"/>
      <c r="J95" s="128"/>
      <c r="K95" s="128"/>
      <c r="L95" s="128"/>
      <c r="M95" s="128"/>
      <c r="N95" s="128"/>
      <c r="O95" s="128"/>
      <c r="P95" s="128"/>
      <c r="Q95" s="128"/>
      <c r="S95" s="128"/>
    </row>
    <row r="96" spans="1:19" s="59" customFormat="1">
      <c r="A96" s="128"/>
      <c r="B96" s="128"/>
      <c r="C96" s="128"/>
      <c r="D96" s="128"/>
      <c r="E96" s="128"/>
      <c r="F96" s="128"/>
      <c r="G96" s="128"/>
      <c r="H96" s="128"/>
      <c r="I96" s="128"/>
      <c r="J96" s="128"/>
      <c r="K96" s="128"/>
      <c r="L96" s="128"/>
      <c r="M96" s="128"/>
      <c r="N96" s="128"/>
      <c r="O96" s="128"/>
      <c r="P96" s="128"/>
      <c r="Q96" s="128"/>
      <c r="S96" s="128"/>
    </row>
    <row r="97" spans="1:19" s="59" customFormat="1">
      <c r="A97" s="128"/>
      <c r="B97" s="128"/>
      <c r="C97" s="128"/>
      <c r="D97" s="128"/>
      <c r="E97" s="128"/>
      <c r="F97" s="128"/>
      <c r="G97" s="128"/>
      <c r="H97" s="128"/>
      <c r="I97" s="128"/>
      <c r="J97" s="128"/>
      <c r="K97" s="128"/>
      <c r="L97" s="128"/>
      <c r="M97" s="128"/>
      <c r="N97" s="128"/>
      <c r="O97" s="128"/>
      <c r="P97" s="128"/>
      <c r="Q97" s="128"/>
      <c r="S97" s="128"/>
    </row>
    <row r="98" spans="1:19" s="59" customFormat="1">
      <c r="A98" s="128"/>
      <c r="B98" s="128"/>
      <c r="C98" s="128"/>
      <c r="D98" s="128"/>
      <c r="E98" s="128"/>
      <c r="F98" s="128"/>
      <c r="G98" s="128"/>
      <c r="H98" s="128"/>
      <c r="I98" s="128"/>
      <c r="J98" s="128"/>
      <c r="K98" s="128"/>
      <c r="L98" s="128"/>
      <c r="M98" s="128"/>
      <c r="N98" s="128"/>
      <c r="O98" s="128"/>
      <c r="P98" s="128"/>
      <c r="Q98" s="128"/>
      <c r="S98" s="128"/>
    </row>
    <row r="99" spans="1:19" s="59" customFormat="1">
      <c r="A99" s="128"/>
      <c r="B99" s="128"/>
      <c r="C99" s="128"/>
      <c r="D99" s="128"/>
      <c r="E99" s="128"/>
      <c r="F99" s="128"/>
      <c r="G99" s="128"/>
      <c r="H99" s="128"/>
      <c r="I99" s="128"/>
      <c r="J99" s="128"/>
      <c r="K99" s="128"/>
      <c r="L99" s="128"/>
      <c r="M99" s="128"/>
      <c r="N99" s="128"/>
      <c r="O99" s="128"/>
      <c r="P99" s="128"/>
      <c r="Q99" s="128"/>
      <c r="S99" s="128"/>
    </row>
    <row r="100" spans="1:19" s="59" customFormat="1">
      <c r="A100" s="128"/>
      <c r="B100" s="128"/>
      <c r="C100" s="128"/>
      <c r="D100" s="128"/>
      <c r="E100" s="128"/>
      <c r="F100" s="128"/>
      <c r="G100" s="128"/>
      <c r="H100" s="128"/>
      <c r="I100" s="128"/>
      <c r="J100" s="128"/>
      <c r="K100" s="128"/>
      <c r="L100" s="128"/>
      <c r="M100" s="128"/>
      <c r="N100" s="128"/>
      <c r="O100" s="128"/>
      <c r="P100" s="128"/>
      <c r="Q100" s="128"/>
      <c r="S100" s="128"/>
    </row>
    <row r="101" spans="1:19" s="59" customFormat="1">
      <c r="A101" s="128"/>
      <c r="B101" s="128"/>
      <c r="C101" s="128"/>
      <c r="D101" s="128"/>
      <c r="E101" s="128"/>
      <c r="F101" s="128"/>
      <c r="G101" s="128"/>
      <c r="H101" s="128"/>
      <c r="I101" s="128"/>
      <c r="J101" s="128"/>
      <c r="K101" s="128"/>
      <c r="L101" s="128"/>
      <c r="M101" s="128"/>
      <c r="N101" s="128"/>
      <c r="O101" s="128"/>
      <c r="P101" s="128"/>
      <c r="Q101" s="128"/>
      <c r="S101" s="128"/>
    </row>
    <row r="102" spans="1:19" s="59" customFormat="1">
      <c r="A102" s="128"/>
      <c r="B102" s="128"/>
      <c r="C102" s="128"/>
      <c r="D102" s="128"/>
      <c r="E102" s="128"/>
      <c r="F102" s="128"/>
      <c r="G102" s="128"/>
      <c r="H102" s="128"/>
      <c r="I102" s="128"/>
      <c r="J102" s="128"/>
      <c r="K102" s="128"/>
      <c r="L102" s="128"/>
      <c r="M102" s="128"/>
      <c r="N102" s="128"/>
      <c r="O102" s="128"/>
      <c r="P102" s="128"/>
      <c r="Q102" s="128"/>
      <c r="S102" s="128"/>
    </row>
    <row r="103" spans="1:19" s="59" customFormat="1">
      <c r="S103" s="128"/>
    </row>
    <row r="104" spans="1:19" s="59" customFormat="1">
      <c r="S104" s="128"/>
    </row>
    <row r="105" spans="1:19" s="59" customFormat="1">
      <c r="S105" s="128"/>
    </row>
    <row r="106" spans="1:19" s="59" customFormat="1">
      <c r="S106" s="128"/>
    </row>
    <row r="107" spans="1:19" s="59" customFormat="1">
      <c r="S107" s="128"/>
    </row>
    <row r="108" spans="1:19" s="59" customFormat="1">
      <c r="S108" s="128"/>
    </row>
    <row r="109" spans="1:19" s="59" customFormat="1">
      <c r="S109" s="128"/>
    </row>
    <row r="110" spans="1:19" s="59" customFormat="1">
      <c r="S110" s="128"/>
    </row>
    <row r="111" spans="1:19" s="59" customFormat="1">
      <c r="S111" s="128"/>
    </row>
    <row r="112" spans="1:19" s="59" customFormat="1">
      <c r="S112" s="128"/>
    </row>
    <row r="113" spans="1:19" s="59" customFormat="1">
      <c r="S113" s="128"/>
    </row>
    <row r="114" spans="1:19" s="59" customFormat="1">
      <c r="S114" s="128"/>
    </row>
    <row r="115" spans="1:19">
      <c r="A115" s="59"/>
      <c r="B115" s="59"/>
      <c r="C115" s="59"/>
      <c r="D115" s="59"/>
      <c r="E115" s="59"/>
      <c r="F115" s="59"/>
      <c r="G115" s="59"/>
      <c r="H115" s="59"/>
      <c r="I115" s="59"/>
      <c r="J115" s="59"/>
      <c r="K115" s="59"/>
      <c r="L115" s="59"/>
      <c r="M115" s="59"/>
      <c r="N115" s="59"/>
      <c r="O115" s="59"/>
      <c r="P115" s="59"/>
      <c r="Q115" s="5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20"/>
  <sheetViews>
    <sheetView showGridLines="0" view="pageBreakPreview" zoomScale="70" zoomScaleNormal="70" zoomScaleSheetLayoutView="70" workbookViewId="0">
      <selection activeCell="W27" sqref="W27"/>
    </sheetView>
  </sheetViews>
  <sheetFormatPr baseColWidth="10" defaultColWidth="11.42578125" defaultRowHeight="15"/>
  <cols>
    <col min="1" max="1" width="17.42578125" style="128" customWidth="1"/>
    <col min="2" max="2" width="10.140625" style="128" customWidth="1"/>
    <col min="3" max="3" width="12" style="128" customWidth="1"/>
    <col min="4" max="4" width="10" style="128" customWidth="1"/>
    <col min="5" max="5" width="10.140625" style="128" customWidth="1"/>
    <col min="6" max="6" width="11.140625" style="128" customWidth="1"/>
    <col min="7" max="7" width="12" style="128" customWidth="1"/>
    <col min="8" max="9" width="11.42578125" style="128"/>
    <col min="10" max="10" width="15.85546875" style="128" customWidth="1"/>
    <col min="11" max="11" width="13.5703125" style="128" customWidth="1"/>
    <col min="12" max="12" width="12.42578125" style="128" customWidth="1"/>
    <col min="13" max="13" width="19.42578125" style="128" customWidth="1"/>
    <col min="14" max="14" width="13.5703125" style="128" customWidth="1"/>
    <col min="15" max="15" width="11.42578125" style="128"/>
    <col min="16" max="16" width="12.42578125" style="128" customWidth="1"/>
    <col min="17" max="17" width="13.28515625" style="128" bestFit="1" customWidth="1"/>
    <col min="18" max="18" width="18.7109375" style="128" customWidth="1"/>
    <col min="19" max="16384" width="11.42578125" style="128"/>
  </cols>
  <sheetData>
    <row r="1" spans="1:20" ht="80.25" customHeight="1" thickBot="1">
      <c r="A1" s="2472" t="s">
        <v>1980</v>
      </c>
      <c r="B1" s="2473"/>
      <c r="C1" s="2473"/>
      <c r="D1" s="2473"/>
      <c r="E1" s="2473"/>
      <c r="F1" s="2473"/>
      <c r="G1" s="2473"/>
      <c r="H1" s="2473"/>
      <c r="I1" s="2473"/>
      <c r="J1" s="2473"/>
      <c r="K1" s="2473"/>
      <c r="L1" s="2473"/>
      <c r="M1" s="2473"/>
      <c r="N1" s="2473"/>
      <c r="O1" s="2473"/>
      <c r="P1" s="2473"/>
      <c r="Q1" s="2473"/>
      <c r="R1" s="2473"/>
      <c r="S1" s="2474"/>
    </row>
    <row r="2" spans="1:20" ht="24.75" customHeight="1">
      <c r="A2" s="2475" t="s">
        <v>2022</v>
      </c>
      <c r="B2" s="2475"/>
      <c r="C2" s="2475"/>
      <c r="D2" s="2475"/>
      <c r="E2" s="2475"/>
      <c r="F2" s="2475"/>
      <c r="G2" s="2475"/>
      <c r="H2" s="2475"/>
      <c r="I2" s="2475"/>
      <c r="J2" s="2475"/>
      <c r="K2" s="2475"/>
      <c r="L2" s="2475"/>
      <c r="M2" s="2475"/>
      <c r="N2" s="2475"/>
      <c r="O2" s="2475"/>
      <c r="P2" s="2475"/>
      <c r="Q2" s="2475"/>
      <c r="R2" s="2475"/>
      <c r="S2" s="2475"/>
    </row>
    <row r="3" spans="1:20" ht="15.75" customHeight="1">
      <c r="A3" s="2475"/>
      <c r="B3" s="2475"/>
      <c r="C3" s="2475"/>
      <c r="D3" s="2475"/>
      <c r="E3" s="2475"/>
      <c r="F3" s="2475"/>
      <c r="G3" s="2475"/>
      <c r="H3" s="2475"/>
      <c r="I3" s="2475"/>
      <c r="J3" s="2475"/>
      <c r="K3" s="2475"/>
      <c r="L3" s="2475"/>
      <c r="M3" s="2475"/>
      <c r="N3" s="2475"/>
      <c r="O3" s="2475"/>
      <c r="P3" s="2475"/>
      <c r="Q3" s="2475"/>
      <c r="R3" s="2475"/>
      <c r="S3" s="2475"/>
    </row>
    <row r="4" spans="1:20" ht="24.75" customHeight="1">
      <c r="A4" s="2476" t="s">
        <v>244</v>
      </c>
      <c r="B4" s="2476"/>
      <c r="C4" s="2476"/>
      <c r="D4" s="2476"/>
      <c r="E4" s="2476"/>
      <c r="F4" s="2476"/>
      <c r="G4" s="2476"/>
      <c r="H4" s="2476"/>
      <c r="I4" s="2476"/>
      <c r="J4" s="2476"/>
      <c r="K4" s="2476"/>
      <c r="L4" s="2476"/>
      <c r="M4" s="2476"/>
      <c r="N4" s="2476"/>
      <c r="O4" s="2476"/>
      <c r="P4" s="2476"/>
      <c r="R4" s="148"/>
      <c r="S4" s="148"/>
    </row>
    <row r="5" spans="1:20" ht="30.75" customHeight="1">
      <c r="A5" s="528" t="s">
        <v>0</v>
      </c>
      <c r="B5" s="528" t="s">
        <v>97</v>
      </c>
      <c r="C5" s="528" t="s">
        <v>98</v>
      </c>
      <c r="D5" s="528" t="s">
        <v>99</v>
      </c>
      <c r="E5" s="528" t="s">
        <v>100</v>
      </c>
      <c r="F5" s="528" t="s">
        <v>101</v>
      </c>
      <c r="G5" s="528" t="s">
        <v>102</v>
      </c>
      <c r="H5" s="528" t="s">
        <v>103</v>
      </c>
      <c r="I5" s="529" t="s">
        <v>104</v>
      </c>
      <c r="J5" s="528" t="s">
        <v>105</v>
      </c>
      <c r="K5" s="528" t="s">
        <v>106</v>
      </c>
      <c r="L5" s="528" t="s">
        <v>107</v>
      </c>
      <c r="M5" s="528" t="s">
        <v>108</v>
      </c>
      <c r="N5" s="528" t="s">
        <v>96</v>
      </c>
      <c r="O5" s="528" t="s">
        <v>1893</v>
      </c>
      <c r="P5" s="529" t="s">
        <v>110</v>
      </c>
      <c r="R5" s="148"/>
      <c r="S5" s="148"/>
    </row>
    <row r="6" spans="1:20" ht="15.75" hidden="1">
      <c r="A6" s="530">
        <v>2004</v>
      </c>
      <c r="B6" s="191">
        <v>-41</v>
      </c>
      <c r="C6" s="191">
        <v>-64</v>
      </c>
      <c r="D6" s="191">
        <v>166</v>
      </c>
      <c r="E6" s="191">
        <v>33</v>
      </c>
      <c r="F6" s="191">
        <v>-27</v>
      </c>
      <c r="G6" s="191">
        <v>118</v>
      </c>
      <c r="H6" s="191">
        <v>1</v>
      </c>
      <c r="I6" s="191">
        <v>9</v>
      </c>
      <c r="J6" s="191">
        <v>-195</v>
      </c>
      <c r="K6" s="531">
        <f t="shared" ref="K6:K11" si="0">SUM(B6:J6)</f>
        <v>0</v>
      </c>
      <c r="L6" s="191">
        <v>0</v>
      </c>
      <c r="M6" s="191">
        <v>0</v>
      </c>
      <c r="N6" s="191">
        <v>0</v>
      </c>
      <c r="O6" s="191">
        <v>0</v>
      </c>
      <c r="P6" s="531">
        <f t="shared" ref="P6:P16" si="1">SUM(L6:O6)</f>
        <v>0</v>
      </c>
      <c r="R6" s="148"/>
      <c r="S6" s="148"/>
    </row>
    <row r="7" spans="1:20" ht="15.75">
      <c r="A7" s="530">
        <v>2005</v>
      </c>
      <c r="B7" s="191">
        <v>0</v>
      </c>
      <c r="C7" s="191">
        <v>-53</v>
      </c>
      <c r="D7" s="191">
        <v>265</v>
      </c>
      <c r="E7" s="191">
        <v>-20</v>
      </c>
      <c r="F7" s="191">
        <v>0</v>
      </c>
      <c r="G7" s="191">
        <v>52</v>
      </c>
      <c r="H7" s="191">
        <v>-5</v>
      </c>
      <c r="I7" s="191">
        <v>-65</v>
      </c>
      <c r="J7" s="191">
        <v>-174</v>
      </c>
      <c r="K7" s="531">
        <f t="shared" si="0"/>
        <v>0</v>
      </c>
      <c r="L7" s="191">
        <v>0</v>
      </c>
      <c r="M7" s="191">
        <v>0</v>
      </c>
      <c r="N7" s="191">
        <v>0</v>
      </c>
      <c r="O7" s="191">
        <v>0</v>
      </c>
      <c r="P7" s="531">
        <f t="shared" si="1"/>
        <v>0</v>
      </c>
      <c r="T7" s="237"/>
    </row>
    <row r="8" spans="1:20" ht="15.75">
      <c r="A8" s="530">
        <v>2006</v>
      </c>
      <c r="B8" s="191">
        <v>0</v>
      </c>
      <c r="C8" s="191">
        <v>-62</v>
      </c>
      <c r="D8" s="191">
        <v>336</v>
      </c>
      <c r="E8" s="191">
        <v>-5</v>
      </c>
      <c r="F8" s="191">
        <v>0</v>
      </c>
      <c r="G8" s="191">
        <v>989</v>
      </c>
      <c r="H8" s="191">
        <v>14</v>
      </c>
      <c r="I8" s="191">
        <v>-136</v>
      </c>
      <c r="J8" s="191">
        <v>-178</v>
      </c>
      <c r="K8" s="531">
        <f t="shared" si="0"/>
        <v>958</v>
      </c>
      <c r="L8" s="191">
        <v>-259</v>
      </c>
      <c r="M8" s="191">
        <v>-719</v>
      </c>
      <c r="N8" s="191">
        <v>0</v>
      </c>
      <c r="O8" s="191">
        <v>20</v>
      </c>
      <c r="P8" s="657">
        <f t="shared" si="1"/>
        <v>-958</v>
      </c>
      <c r="R8" s="148"/>
      <c r="S8" s="148"/>
      <c r="T8" s="237"/>
    </row>
    <row r="9" spans="1:20" ht="17.25" customHeight="1">
      <c r="A9" s="530">
        <v>2007</v>
      </c>
      <c r="B9" s="191">
        <v>0</v>
      </c>
      <c r="C9" s="191">
        <v>-363</v>
      </c>
      <c r="D9" s="191">
        <v>47</v>
      </c>
      <c r="E9" s="191">
        <v>-72</v>
      </c>
      <c r="F9" s="191">
        <v>0</v>
      </c>
      <c r="G9" s="191">
        <v>530</v>
      </c>
      <c r="H9" s="191">
        <v>0</v>
      </c>
      <c r="I9" s="191">
        <v>-261</v>
      </c>
      <c r="J9" s="191">
        <v>221</v>
      </c>
      <c r="K9" s="531">
        <f t="shared" si="0"/>
        <v>102</v>
      </c>
      <c r="L9" s="191">
        <v>-25</v>
      </c>
      <c r="M9" s="191">
        <v>-77</v>
      </c>
      <c r="N9" s="191">
        <v>0</v>
      </c>
      <c r="O9" s="191">
        <v>0</v>
      </c>
      <c r="P9" s="657">
        <f t="shared" si="1"/>
        <v>-102</v>
      </c>
      <c r="R9" s="148"/>
      <c r="S9" s="148"/>
      <c r="T9" s="237"/>
    </row>
    <row r="10" spans="1:20" ht="17.25" customHeight="1">
      <c r="A10" s="530">
        <v>2008</v>
      </c>
      <c r="B10" s="191">
        <v>0</v>
      </c>
      <c r="C10" s="191">
        <v>0</v>
      </c>
      <c r="D10" s="191">
        <v>0</v>
      </c>
      <c r="E10" s="191">
        <v>-71</v>
      </c>
      <c r="F10" s="191">
        <v>0</v>
      </c>
      <c r="G10" s="191">
        <v>432</v>
      </c>
      <c r="H10" s="191">
        <v>-16</v>
      </c>
      <c r="I10" s="191">
        <v>-231</v>
      </c>
      <c r="J10" s="191">
        <v>-48</v>
      </c>
      <c r="K10" s="531">
        <f t="shared" si="0"/>
        <v>66</v>
      </c>
      <c r="L10" s="191">
        <v>-7</v>
      </c>
      <c r="M10" s="191">
        <v>-59</v>
      </c>
      <c r="N10" s="191">
        <v>0</v>
      </c>
      <c r="O10" s="191">
        <v>0</v>
      </c>
      <c r="P10" s="657">
        <f t="shared" si="1"/>
        <v>-66</v>
      </c>
      <c r="R10" s="74"/>
      <c r="S10" s="134"/>
      <c r="T10" s="237"/>
    </row>
    <row r="11" spans="1:20" ht="15.75">
      <c r="A11" s="530">
        <v>2009</v>
      </c>
      <c r="B11" s="191">
        <v>0</v>
      </c>
      <c r="C11" s="191">
        <v>0</v>
      </c>
      <c r="D11" s="191">
        <v>0</v>
      </c>
      <c r="E11" s="191">
        <v>-5808</v>
      </c>
      <c r="F11" s="191">
        <v>0</v>
      </c>
      <c r="G11" s="191">
        <v>-4380</v>
      </c>
      <c r="H11" s="191">
        <v>-56</v>
      </c>
      <c r="I11" s="191">
        <v>-9243</v>
      </c>
      <c r="J11" s="191">
        <v>-4163</v>
      </c>
      <c r="K11" s="531">
        <f t="shared" si="0"/>
        <v>-23650</v>
      </c>
      <c r="L11" s="191">
        <v>-7</v>
      </c>
      <c r="M11" s="191">
        <v>-64</v>
      </c>
      <c r="N11" s="191">
        <v>21139</v>
      </c>
      <c r="O11" s="191">
        <v>2582</v>
      </c>
      <c r="P11" s="531">
        <f t="shared" si="1"/>
        <v>23650</v>
      </c>
      <c r="R11" s="337"/>
      <c r="S11" s="148"/>
      <c r="T11" s="235"/>
    </row>
    <row r="12" spans="1:20" ht="15.75">
      <c r="A12" s="530">
        <v>2010</v>
      </c>
      <c r="B12" s="191">
        <v>0</v>
      </c>
      <c r="C12" s="191">
        <v>0</v>
      </c>
      <c r="D12" s="191">
        <v>0</v>
      </c>
      <c r="E12" s="191">
        <v>-1840</v>
      </c>
      <c r="F12" s="191">
        <v>0</v>
      </c>
      <c r="G12" s="191">
        <v>-1137</v>
      </c>
      <c r="H12" s="191">
        <v>-20</v>
      </c>
      <c r="I12" s="191">
        <v>-2753</v>
      </c>
      <c r="J12" s="191">
        <v>-1627</v>
      </c>
      <c r="K12" s="531">
        <f>SUM(B12:J12)</f>
        <v>-7377</v>
      </c>
      <c r="L12" s="191">
        <v>-5</v>
      </c>
      <c r="M12" s="191">
        <v>-42</v>
      </c>
      <c r="N12" s="191">
        <v>3310</v>
      </c>
      <c r="O12" s="191">
        <v>4114</v>
      </c>
      <c r="P12" s="531">
        <f t="shared" si="1"/>
        <v>7377</v>
      </c>
      <c r="R12" s="337"/>
      <c r="S12" s="148"/>
      <c r="T12" s="235"/>
    </row>
    <row r="13" spans="1:20" ht="15.75">
      <c r="A13" s="530">
        <v>2011</v>
      </c>
      <c r="B13" s="191">
        <v>0</v>
      </c>
      <c r="C13" s="191">
        <v>0</v>
      </c>
      <c r="D13" s="191">
        <v>0</v>
      </c>
      <c r="E13" s="191">
        <v>-1031</v>
      </c>
      <c r="F13" s="191">
        <v>0</v>
      </c>
      <c r="G13" s="191">
        <v>2090</v>
      </c>
      <c r="H13" s="191">
        <v>-15</v>
      </c>
      <c r="I13" s="191">
        <v>-1867</v>
      </c>
      <c r="J13" s="191">
        <v>-1090</v>
      </c>
      <c r="K13" s="531">
        <f>SUM(B13:J13)</f>
        <v>-1913</v>
      </c>
      <c r="L13" s="191">
        <v>199</v>
      </c>
      <c r="M13" s="191">
        <v>-23</v>
      </c>
      <c r="N13" s="191">
        <v>-41</v>
      </c>
      <c r="O13" s="191">
        <v>1778</v>
      </c>
      <c r="P13" s="531">
        <f t="shared" si="1"/>
        <v>1913</v>
      </c>
      <c r="R13" s="337"/>
      <c r="S13" s="148"/>
      <c r="T13" s="235"/>
    </row>
    <row r="14" spans="1:20" ht="15.75">
      <c r="A14" s="530" t="s">
        <v>1058</v>
      </c>
      <c r="B14" s="537">
        <f>+'V.3.2 Trasp. recibidos'!B13-'V.3.3 Trasp. cedidos'!B13</f>
        <v>0</v>
      </c>
      <c r="C14" s="537">
        <f>+'V.3.2 Trasp. recibidos'!C13-'V.3.3 Trasp. cedidos'!C13</f>
        <v>0</v>
      </c>
      <c r="D14" s="537">
        <f>+'V.3.2 Trasp. recibidos'!D13-'V.3.3 Trasp. cedidos'!D13</f>
        <v>0</v>
      </c>
      <c r="E14" s="537">
        <f>+'V.3.2 Trasp. recibidos'!E13-'V.3.3 Trasp. cedidos'!E13</f>
        <v>-1617</v>
      </c>
      <c r="F14" s="537">
        <f>+'V.3.2 Trasp. recibidos'!F13-'V.3.3 Trasp. cedidos'!F13</f>
        <v>0</v>
      </c>
      <c r="G14" s="537">
        <f>+'V.3.2 Trasp. recibidos'!G13-'V.3.3 Trasp. cedidos'!G13</f>
        <v>1986</v>
      </c>
      <c r="H14" s="537">
        <f>+'V.3.2 Trasp. recibidos'!H13-'V.3.3 Trasp. cedidos'!H13</f>
        <v>-28</v>
      </c>
      <c r="I14" s="537">
        <f>+'V.3.2 Trasp. recibidos'!I13-'V.3.3 Trasp. cedidos'!I13</f>
        <v>-2359</v>
      </c>
      <c r="J14" s="537">
        <f>+'V.3.2 Trasp. recibidos'!J13-'V.3.3 Trasp. cedidos'!J13</f>
        <v>-1438</v>
      </c>
      <c r="K14" s="531">
        <f>SUM(B14:J14)</f>
        <v>-3456</v>
      </c>
      <c r="L14" s="499">
        <f>+'V.3.2 Trasp. recibidos'!L13-'V.3.3 Trasp. cedidos'!L13</f>
        <v>-3</v>
      </c>
      <c r="M14" s="499">
        <f>+'V.3.2 Trasp. recibidos'!M13-'V.3.3 Trasp. cedidos'!M13</f>
        <v>497</v>
      </c>
      <c r="N14" s="499">
        <f>+'V.3.2 Trasp. recibidos'!N13-'V.3.3 Trasp. cedidos'!N13</f>
        <v>2945</v>
      </c>
      <c r="O14" s="499">
        <f>+'V.3.2 Trasp. recibidos'!O13-'V.3.3 Trasp. cedidos'!O13</f>
        <v>17</v>
      </c>
      <c r="P14" s="531">
        <f t="shared" si="1"/>
        <v>3456</v>
      </c>
      <c r="R14" s="337"/>
      <c r="S14" s="148"/>
      <c r="T14" s="235"/>
    </row>
    <row r="15" spans="1:20" ht="15.75">
      <c r="A15" s="530" t="s">
        <v>1643</v>
      </c>
      <c r="B15" s="1706">
        <f>+'V.3.2 Trasp. recibidos'!B14-'V.3.3 Trasp. cedidos'!B14</f>
        <v>0</v>
      </c>
      <c r="C15" s="1706">
        <f>+'V.3.2 Trasp. recibidos'!C14-'V.3.3 Trasp. cedidos'!C14</f>
        <v>0</v>
      </c>
      <c r="D15" s="1706">
        <f>+'V.3.2 Trasp. recibidos'!D14-'V.3.3 Trasp. cedidos'!D14</f>
        <v>0</v>
      </c>
      <c r="E15" s="1706">
        <f>+'V.3.2 Trasp. recibidos'!E14-'V.3.3 Trasp. cedidos'!E14</f>
        <v>-2160</v>
      </c>
      <c r="F15" s="1706">
        <f>+'V.3.2 Trasp. recibidos'!F14-'V.3.3 Trasp. cedidos'!F14</f>
        <v>0</v>
      </c>
      <c r="G15" s="1706">
        <f>+'V.3.2 Trasp. recibidos'!G14-'V.3.3 Trasp. cedidos'!G14</f>
        <v>4515</v>
      </c>
      <c r="H15" s="1706">
        <f>+'V.3.2 Trasp. recibidos'!H14-'V.3.3 Trasp. cedidos'!H14</f>
        <v>-26</v>
      </c>
      <c r="I15" s="1706">
        <f>+'V.3.2 Trasp. recibidos'!I14-'V.3.3 Trasp. cedidos'!I14</f>
        <v>-3839</v>
      </c>
      <c r="J15" s="1706">
        <f>+'V.3.2 Trasp. recibidos'!J14-'V.3.3 Trasp. cedidos'!J14</f>
        <v>-2232</v>
      </c>
      <c r="K15" s="531">
        <f>SUM(B15:J15)</f>
        <v>-3742</v>
      </c>
      <c r="L15" s="1707">
        <f>+'V.3.2 Trasp. recibidos'!L14-'V.3.3 Trasp. cedidos'!L14</f>
        <v>-7</v>
      </c>
      <c r="M15" s="1707">
        <f>+'V.3.2 Trasp. recibidos'!M14-'V.3.3 Trasp. cedidos'!M14</f>
        <v>-32</v>
      </c>
      <c r="N15" s="1707">
        <f>+'V.3.2 Trasp. recibidos'!N14-'V.3.3 Trasp. cedidos'!N14</f>
        <v>2249</v>
      </c>
      <c r="O15" s="1707">
        <f>+'V.3.2 Trasp. recibidos'!O14-'V.3.3 Trasp. cedidos'!O14</f>
        <v>1532</v>
      </c>
      <c r="P15" s="531">
        <f t="shared" si="1"/>
        <v>3742</v>
      </c>
      <c r="R15" s="337"/>
      <c r="S15" s="148"/>
      <c r="T15" s="235"/>
    </row>
    <row r="16" spans="1:20" ht="15.75">
      <c r="A16" s="530" t="str">
        <f>+'V.3.3 Trasp. cedidos'!A15</f>
        <v>2014</v>
      </c>
      <c r="B16" s="1706">
        <f>+'V.3.2 Trasp. recibidos'!B15-'V.3.3 Trasp. cedidos'!B15</f>
        <v>0</v>
      </c>
      <c r="C16" s="1706">
        <f>+'V.3.2 Trasp. recibidos'!C15-'V.3.3 Trasp. cedidos'!C15</f>
        <v>0</v>
      </c>
      <c r="D16" s="1706">
        <f>+'V.3.2 Trasp. recibidos'!D15-'V.3.3 Trasp. cedidos'!D15</f>
        <v>0</v>
      </c>
      <c r="E16" s="1706">
        <f>+'V.3.2 Trasp. recibidos'!E15-'V.3.3 Trasp. cedidos'!E15</f>
        <v>-5273</v>
      </c>
      <c r="F16" s="1706">
        <f>+'V.3.2 Trasp. recibidos'!F15-'V.3.3 Trasp. cedidos'!F15</f>
        <v>0</v>
      </c>
      <c r="G16" s="1706">
        <f>+'V.3.2 Trasp. recibidos'!G15-'V.3.3 Trasp. cedidos'!G15</f>
        <v>7409</v>
      </c>
      <c r="H16" s="1706">
        <f>+'V.3.2 Trasp. recibidos'!H15-'V.3.3 Trasp. cedidos'!H15</f>
        <v>661</v>
      </c>
      <c r="I16" s="1706">
        <f>+'V.3.2 Trasp. recibidos'!I15-'V.3.3 Trasp. cedidos'!I15</f>
        <v>-6799</v>
      </c>
      <c r="J16" s="1706">
        <f>+'V.3.2 Trasp. recibidos'!J15-'V.3.3 Trasp. cedidos'!J15</f>
        <v>-3313</v>
      </c>
      <c r="K16" s="531">
        <f>SUM(B16:J16)</f>
        <v>-7315</v>
      </c>
      <c r="L16" s="1707">
        <f>+'V.3.2 Trasp. recibidos'!L15-'V.3.3 Trasp. cedidos'!L15</f>
        <v>-5</v>
      </c>
      <c r="M16" s="1707">
        <f>+'V.3.2 Trasp. recibidos'!M15-'V.3.3 Trasp. cedidos'!M15</f>
        <v>-32</v>
      </c>
      <c r="N16" s="1707">
        <f>+'V.3.2 Trasp. recibidos'!N15-'V.3.3 Trasp. cedidos'!N15</f>
        <v>7035</v>
      </c>
      <c r="O16" s="1707">
        <f>+'V.3.2 Trasp. recibidos'!O15-'V.3.3 Trasp. cedidos'!O15</f>
        <v>317</v>
      </c>
      <c r="P16" s="531">
        <f t="shared" si="1"/>
        <v>7315</v>
      </c>
      <c r="R16" s="337"/>
      <c r="S16" s="148"/>
      <c r="T16" s="235"/>
    </row>
    <row r="17" spans="1:20" s="347" customFormat="1" ht="20.25" customHeight="1">
      <c r="A17" s="528" t="s">
        <v>23</v>
      </c>
      <c r="B17" s="1708">
        <f>SUM(B7:B16)</f>
        <v>0</v>
      </c>
      <c r="C17" s="1708">
        <f t="shared" ref="C17:P17" si="2">SUM(C7:C16)</f>
        <v>-478</v>
      </c>
      <c r="D17" s="1708">
        <f t="shared" si="2"/>
        <v>648</v>
      </c>
      <c r="E17" s="1708">
        <f t="shared" si="2"/>
        <v>-17897</v>
      </c>
      <c r="F17" s="1708">
        <f t="shared" si="2"/>
        <v>0</v>
      </c>
      <c r="G17" s="1708">
        <f t="shared" si="2"/>
        <v>12486</v>
      </c>
      <c r="H17" s="1708">
        <f t="shared" si="2"/>
        <v>509</v>
      </c>
      <c r="I17" s="1708">
        <f t="shared" si="2"/>
        <v>-27553</v>
      </c>
      <c r="J17" s="1708">
        <f t="shared" si="2"/>
        <v>-14042</v>
      </c>
      <c r="K17" s="1708">
        <f t="shared" si="2"/>
        <v>-46327</v>
      </c>
      <c r="L17" s="1708">
        <f t="shared" si="2"/>
        <v>-119</v>
      </c>
      <c r="M17" s="1708">
        <f t="shared" si="2"/>
        <v>-551</v>
      </c>
      <c r="N17" s="1708">
        <f t="shared" si="2"/>
        <v>36637</v>
      </c>
      <c r="O17" s="1708">
        <f t="shared" si="2"/>
        <v>10360</v>
      </c>
      <c r="P17" s="1708">
        <f t="shared" si="2"/>
        <v>46327</v>
      </c>
      <c r="R17" s="1709"/>
      <c r="S17" s="1710"/>
      <c r="T17" s="1711"/>
    </row>
    <row r="18" spans="1:20">
      <c r="A18" s="151"/>
      <c r="B18" s="151"/>
      <c r="C18" s="151"/>
      <c r="D18" s="151"/>
      <c r="E18" s="151"/>
      <c r="F18" s="151"/>
      <c r="H18" s="151"/>
      <c r="I18" s="151"/>
      <c r="J18" s="151"/>
      <c r="K18" s="151"/>
      <c r="L18" s="151"/>
      <c r="M18" s="151"/>
      <c r="N18" s="151"/>
      <c r="O18" s="151"/>
      <c r="P18" s="151"/>
      <c r="Q18" s="151"/>
      <c r="R18" s="151"/>
      <c r="T18" s="237"/>
    </row>
    <row r="19" spans="1:20">
      <c r="A19" s="151"/>
      <c r="B19" s="151"/>
      <c r="C19" s="151"/>
      <c r="D19" s="151"/>
      <c r="E19" s="151"/>
      <c r="F19" s="151"/>
      <c r="G19" s="151"/>
      <c r="H19" s="151"/>
      <c r="I19" s="151"/>
      <c r="J19" s="151"/>
      <c r="K19" s="151"/>
      <c r="L19" s="151"/>
      <c r="M19" s="151"/>
      <c r="N19" s="151"/>
      <c r="O19" s="151"/>
      <c r="P19" s="151"/>
      <c r="Q19" s="151"/>
      <c r="R19" s="151"/>
      <c r="T19" s="237"/>
    </row>
    <row r="20" spans="1:20">
      <c r="A20" s="151"/>
      <c r="B20" s="151"/>
      <c r="C20" s="151"/>
      <c r="D20" s="151"/>
      <c r="E20" s="151"/>
      <c r="F20" s="151"/>
      <c r="G20" s="151"/>
      <c r="H20" s="151"/>
      <c r="I20" s="151"/>
      <c r="J20" s="151"/>
      <c r="K20" s="151"/>
      <c r="L20" s="151"/>
      <c r="M20" s="151"/>
      <c r="N20" s="151"/>
      <c r="O20" s="151"/>
      <c r="P20" s="151"/>
      <c r="Q20" s="151"/>
      <c r="R20" s="151"/>
      <c r="T20" s="237"/>
    </row>
    <row r="21" spans="1:20">
      <c r="A21" s="151"/>
      <c r="B21" s="151"/>
      <c r="C21" s="151"/>
      <c r="D21" s="151"/>
      <c r="E21" s="151"/>
      <c r="F21" s="151"/>
      <c r="G21" s="151"/>
      <c r="H21" s="151"/>
      <c r="I21" s="151"/>
      <c r="J21" s="151"/>
      <c r="K21" s="151"/>
      <c r="L21" s="151"/>
      <c r="M21" s="151"/>
      <c r="N21" s="151"/>
      <c r="O21" s="151"/>
      <c r="P21" s="151"/>
      <c r="Q21" s="151"/>
      <c r="R21" s="151"/>
      <c r="T21" s="237"/>
    </row>
    <row r="22" spans="1:20">
      <c r="A22" s="151"/>
      <c r="B22" s="151"/>
      <c r="C22" s="151"/>
      <c r="D22" s="151"/>
      <c r="E22" s="151"/>
      <c r="F22" s="151"/>
      <c r="G22" s="151"/>
      <c r="H22" s="151"/>
      <c r="I22" s="151"/>
      <c r="J22" s="151"/>
      <c r="K22" s="151"/>
      <c r="L22" s="151"/>
      <c r="M22" s="151"/>
      <c r="N22" s="151"/>
      <c r="O22" s="151"/>
      <c r="P22" s="151"/>
      <c r="Q22" s="151"/>
      <c r="R22" s="151"/>
      <c r="T22" s="237"/>
    </row>
    <row r="23" spans="1:20">
      <c r="A23" s="151"/>
      <c r="B23" s="151"/>
      <c r="C23" s="151"/>
      <c r="D23" s="151"/>
      <c r="E23" s="151"/>
      <c r="F23" s="151"/>
      <c r="G23" s="151"/>
      <c r="H23" s="151"/>
      <c r="I23" s="151"/>
      <c r="J23" s="151"/>
      <c r="K23" s="151"/>
      <c r="L23" s="151"/>
      <c r="M23" s="151"/>
      <c r="N23" s="151"/>
      <c r="O23" s="151"/>
      <c r="P23" s="151"/>
      <c r="Q23" s="151"/>
      <c r="R23" s="151"/>
    </row>
    <row r="24" spans="1:20">
      <c r="A24" s="151"/>
      <c r="B24" s="151"/>
      <c r="C24" s="151"/>
      <c r="D24" s="151"/>
      <c r="E24" s="151"/>
      <c r="F24" s="151"/>
      <c r="G24" s="151"/>
      <c r="H24" s="151"/>
      <c r="I24" s="151"/>
      <c r="J24" s="151"/>
      <c r="K24" s="151"/>
      <c r="L24" s="151"/>
      <c r="M24" s="151"/>
      <c r="N24" s="151"/>
      <c r="O24" s="151"/>
      <c r="P24" s="151"/>
      <c r="Q24" s="151"/>
      <c r="R24" s="151"/>
    </row>
    <row r="25" spans="1:20">
      <c r="A25" s="151"/>
      <c r="B25" s="151"/>
      <c r="C25" s="151"/>
      <c r="D25" s="151"/>
      <c r="E25" s="151"/>
      <c r="F25" s="151"/>
      <c r="G25" s="151"/>
      <c r="H25" s="151"/>
      <c r="I25" s="151"/>
      <c r="J25" s="151"/>
      <c r="K25" s="151"/>
      <c r="L25" s="151"/>
      <c r="M25" s="151"/>
      <c r="N25" s="151"/>
      <c r="O25" s="151"/>
      <c r="P25" s="151"/>
      <c r="Q25" s="151"/>
      <c r="R25" s="151"/>
    </row>
    <row r="26" spans="1:20">
      <c r="A26" s="151"/>
      <c r="B26" s="151"/>
      <c r="C26" s="151"/>
      <c r="D26" s="151"/>
      <c r="E26" s="151"/>
      <c r="F26" s="151"/>
      <c r="G26" s="151"/>
      <c r="H26" s="151"/>
      <c r="I26" s="151"/>
      <c r="J26" s="151"/>
      <c r="K26" s="151"/>
      <c r="L26" s="151"/>
      <c r="M26" s="151"/>
      <c r="N26" s="151"/>
      <c r="O26" s="151"/>
      <c r="P26" s="151"/>
      <c r="Q26" s="151"/>
      <c r="R26" s="151"/>
    </row>
    <row r="27" spans="1:20">
      <c r="A27" s="151"/>
      <c r="B27" s="151"/>
      <c r="C27" s="151"/>
      <c r="D27" s="151"/>
      <c r="E27" s="151"/>
      <c r="F27" s="151"/>
      <c r="G27" s="151"/>
      <c r="H27" s="151"/>
      <c r="I27" s="151"/>
      <c r="J27" s="151"/>
      <c r="K27" s="151"/>
      <c r="L27" s="151"/>
      <c r="M27" s="151"/>
      <c r="N27" s="151"/>
      <c r="O27" s="151"/>
      <c r="P27" s="151"/>
      <c r="Q27" s="151"/>
      <c r="R27" s="151"/>
    </row>
    <row r="28" spans="1:20">
      <c r="A28" s="151"/>
      <c r="B28" s="151"/>
      <c r="C28" s="151"/>
      <c r="D28" s="151"/>
      <c r="E28" s="151"/>
      <c r="F28" s="151"/>
      <c r="G28" s="151"/>
      <c r="H28" s="151"/>
      <c r="I28" s="151"/>
      <c r="J28" s="151"/>
      <c r="K28" s="151"/>
      <c r="L28" s="151"/>
      <c r="M28" s="151"/>
      <c r="N28" s="151"/>
      <c r="O28" s="151"/>
      <c r="P28" s="151"/>
      <c r="Q28" s="151"/>
      <c r="R28" s="151"/>
      <c r="T28" s="237"/>
    </row>
    <row r="29" spans="1:20">
      <c r="A29" s="151"/>
      <c r="B29" s="151"/>
      <c r="C29" s="151"/>
      <c r="D29" s="151"/>
      <c r="E29" s="151"/>
      <c r="F29" s="151"/>
      <c r="G29" s="151"/>
      <c r="H29" s="151"/>
      <c r="I29" s="151"/>
      <c r="J29" s="151"/>
      <c r="K29" s="151"/>
      <c r="L29" s="151"/>
      <c r="M29" s="151"/>
      <c r="N29" s="151"/>
      <c r="O29" s="151"/>
      <c r="P29" s="151"/>
      <c r="Q29" s="151"/>
      <c r="R29" s="151"/>
      <c r="T29" s="237"/>
    </row>
    <row r="30" spans="1:20">
      <c r="A30" s="151"/>
      <c r="B30" s="151"/>
      <c r="C30" s="151"/>
      <c r="D30" s="151"/>
      <c r="E30" s="151"/>
      <c r="F30" s="151"/>
      <c r="G30" s="151"/>
      <c r="H30" s="151"/>
      <c r="I30" s="151"/>
      <c r="J30" s="151"/>
      <c r="K30" s="151"/>
      <c r="L30" s="151"/>
      <c r="M30" s="151"/>
      <c r="N30" s="151"/>
      <c r="O30" s="151"/>
      <c r="P30" s="151"/>
      <c r="Q30" s="151"/>
      <c r="R30" s="151"/>
      <c r="T30" s="237"/>
    </row>
    <row r="31" spans="1:20">
      <c r="A31" s="151"/>
      <c r="B31" s="151"/>
      <c r="C31" s="151"/>
      <c r="D31" s="151"/>
      <c r="E31" s="151"/>
      <c r="F31" s="151"/>
      <c r="G31" s="151"/>
      <c r="H31" s="151"/>
      <c r="I31" s="151"/>
      <c r="J31" s="151"/>
      <c r="K31" s="151"/>
      <c r="L31" s="151"/>
      <c r="M31" s="151"/>
      <c r="N31" s="151"/>
      <c r="O31" s="151"/>
      <c r="P31" s="151"/>
      <c r="Q31" s="151"/>
      <c r="R31" s="151"/>
      <c r="T31" s="237"/>
    </row>
    <row r="32" spans="1:20">
      <c r="A32" s="151"/>
      <c r="B32" s="151"/>
      <c r="C32" s="151"/>
      <c r="D32" s="151"/>
      <c r="E32" s="151"/>
      <c r="F32" s="151"/>
      <c r="G32" s="151"/>
      <c r="H32" s="151"/>
      <c r="I32" s="151"/>
      <c r="J32" s="151"/>
      <c r="K32" s="151"/>
      <c r="L32" s="151"/>
      <c r="M32" s="151"/>
      <c r="N32" s="151"/>
      <c r="O32" s="151"/>
      <c r="P32" s="151"/>
      <c r="Q32" s="151"/>
      <c r="R32" s="151"/>
      <c r="T32" s="237"/>
    </row>
    <row r="33" spans="1:18">
      <c r="A33" s="151"/>
      <c r="B33" s="151"/>
      <c r="C33" s="151"/>
      <c r="D33" s="151"/>
      <c r="E33" s="151"/>
      <c r="F33" s="151"/>
      <c r="G33" s="151"/>
      <c r="H33" s="151"/>
      <c r="I33" s="151"/>
      <c r="J33" s="151"/>
      <c r="K33" s="151"/>
      <c r="L33" s="151"/>
      <c r="M33" s="151"/>
      <c r="N33" s="151"/>
      <c r="O33" s="151"/>
      <c r="P33" s="151"/>
      <c r="Q33" s="151"/>
      <c r="R33" s="151"/>
    </row>
    <row r="34" spans="1:18">
      <c r="A34" s="151"/>
      <c r="B34" s="151"/>
      <c r="C34" s="151"/>
      <c r="D34" s="151"/>
      <c r="E34" s="151"/>
      <c r="F34" s="151"/>
      <c r="G34" s="151"/>
      <c r="H34" s="151"/>
      <c r="I34" s="151"/>
      <c r="J34" s="151"/>
      <c r="K34" s="151"/>
      <c r="L34" s="151"/>
      <c r="M34" s="151"/>
      <c r="N34" s="151"/>
      <c r="O34" s="151"/>
      <c r="P34" s="151"/>
      <c r="Q34" s="151"/>
      <c r="R34" s="151"/>
    </row>
    <row r="35" spans="1:18">
      <c r="A35" s="151"/>
      <c r="B35" s="151"/>
      <c r="C35" s="151"/>
      <c r="D35" s="151"/>
      <c r="E35" s="151"/>
      <c r="F35" s="151"/>
      <c r="G35" s="151"/>
      <c r="H35" s="151"/>
      <c r="I35" s="151"/>
      <c r="J35" s="151"/>
      <c r="K35" s="151"/>
      <c r="L35" s="151"/>
      <c r="M35" s="151"/>
      <c r="N35" s="151"/>
      <c r="O35" s="151"/>
      <c r="P35" s="151"/>
      <c r="Q35" s="151"/>
      <c r="R35" s="151"/>
    </row>
    <row r="36" spans="1:18">
      <c r="A36" s="151"/>
      <c r="B36" s="151"/>
      <c r="C36" s="151"/>
      <c r="D36" s="35"/>
      <c r="E36" s="151"/>
      <c r="F36" s="151"/>
      <c r="G36" s="151"/>
      <c r="H36" s="151"/>
      <c r="I36" s="151"/>
      <c r="J36" s="151"/>
      <c r="K36" s="151"/>
      <c r="L36" s="151"/>
      <c r="M36" s="151"/>
      <c r="N36" s="151"/>
      <c r="O36" s="151"/>
      <c r="P36" s="151"/>
      <c r="Q36" s="151"/>
      <c r="R36" s="151"/>
    </row>
    <row r="37" spans="1:18">
      <c r="A37" s="151"/>
      <c r="B37" s="151"/>
      <c r="C37" s="151"/>
      <c r="D37" s="151"/>
      <c r="E37" s="151"/>
      <c r="F37" s="151"/>
      <c r="G37" s="151"/>
      <c r="H37" s="151"/>
      <c r="I37" s="151"/>
      <c r="J37" s="151"/>
      <c r="K37" s="151"/>
      <c r="L37" s="151"/>
      <c r="M37" s="151"/>
      <c r="N37" s="151"/>
      <c r="O37" s="151"/>
      <c r="P37" s="151"/>
      <c r="Q37" s="151"/>
      <c r="R37" s="151"/>
    </row>
    <row r="38" spans="1:18">
      <c r="A38" s="151"/>
      <c r="B38" s="151"/>
      <c r="C38" s="151"/>
      <c r="D38" s="151"/>
      <c r="E38" s="151"/>
      <c r="F38" s="151"/>
      <c r="G38" s="151"/>
      <c r="H38" s="151"/>
      <c r="I38" s="151"/>
      <c r="J38" s="151"/>
      <c r="K38" s="151"/>
      <c r="L38" s="151"/>
      <c r="M38" s="151"/>
      <c r="N38" s="151"/>
      <c r="O38" s="151"/>
      <c r="P38" s="151"/>
      <c r="Q38" s="151"/>
      <c r="R38" s="151"/>
    </row>
    <row r="39" spans="1:18">
      <c r="A39" s="151"/>
      <c r="B39" s="151"/>
      <c r="C39" s="151"/>
      <c r="D39" s="151"/>
      <c r="E39" s="151"/>
      <c r="F39" s="151"/>
      <c r="G39" s="151"/>
      <c r="H39" s="151"/>
      <c r="I39" s="151"/>
      <c r="J39" s="151"/>
      <c r="K39" s="151"/>
      <c r="L39" s="151"/>
      <c r="M39" s="151"/>
      <c r="N39" s="151"/>
      <c r="O39" s="151"/>
      <c r="P39" s="151"/>
      <c r="Q39" s="151"/>
      <c r="R39" s="151"/>
    </row>
    <row r="40" spans="1:18">
      <c r="A40" s="151"/>
      <c r="B40" s="151"/>
      <c r="C40" s="151"/>
      <c r="D40" s="151"/>
      <c r="E40" s="151"/>
      <c r="F40" s="151"/>
      <c r="G40" s="151"/>
      <c r="H40" s="151"/>
      <c r="I40" s="151"/>
      <c r="J40" s="151"/>
      <c r="K40" s="151"/>
      <c r="L40" s="151"/>
      <c r="M40" s="151"/>
      <c r="N40" s="151"/>
      <c r="O40" s="151"/>
      <c r="P40" s="151"/>
      <c r="Q40" s="151"/>
      <c r="R40" s="151"/>
    </row>
    <row r="41" spans="1:18">
      <c r="A41" s="151"/>
      <c r="B41" s="151"/>
      <c r="C41" s="151"/>
      <c r="D41" s="151"/>
      <c r="E41" s="151"/>
      <c r="F41" s="151"/>
      <c r="G41" s="151"/>
      <c r="H41" s="151"/>
      <c r="I41" s="151"/>
      <c r="J41" s="151"/>
      <c r="K41" s="151"/>
      <c r="L41" s="151"/>
      <c r="M41" s="151"/>
      <c r="N41" s="151"/>
      <c r="O41" s="151"/>
      <c r="P41" s="151"/>
      <c r="Q41" s="151"/>
      <c r="R41" s="151"/>
    </row>
    <row r="42" spans="1:18">
      <c r="A42" s="151"/>
      <c r="B42" s="151"/>
      <c r="C42" s="151"/>
      <c r="D42" s="151"/>
      <c r="E42" s="151"/>
      <c r="F42" s="151"/>
      <c r="G42" s="151"/>
      <c r="H42" s="151"/>
      <c r="I42" s="151"/>
      <c r="J42" s="151"/>
      <c r="K42" s="151"/>
      <c r="L42" s="151"/>
      <c r="M42" s="151"/>
      <c r="N42" s="151"/>
      <c r="O42" s="151"/>
      <c r="P42" s="151"/>
      <c r="Q42" s="151"/>
      <c r="R42" s="151"/>
    </row>
    <row r="43" spans="1:18">
      <c r="A43" s="151"/>
      <c r="B43" s="151"/>
      <c r="C43" s="151"/>
      <c r="D43" s="151"/>
      <c r="E43" s="151"/>
      <c r="F43" s="151"/>
      <c r="G43" s="151"/>
      <c r="H43" s="151"/>
      <c r="I43" s="151"/>
      <c r="J43" s="151"/>
      <c r="K43" s="151"/>
      <c r="L43" s="151"/>
      <c r="M43" s="151"/>
      <c r="N43" s="151"/>
      <c r="O43" s="151"/>
      <c r="P43" s="151"/>
    </row>
    <row r="87" spans="1:16" s="59" customFormat="1">
      <c r="A87" s="128"/>
      <c r="B87" s="128"/>
      <c r="C87" s="128"/>
      <c r="D87" s="128"/>
      <c r="E87" s="128"/>
      <c r="F87" s="128"/>
      <c r="G87" s="128"/>
      <c r="H87" s="128"/>
      <c r="I87" s="128"/>
      <c r="J87" s="128"/>
      <c r="K87" s="128"/>
      <c r="L87" s="128"/>
      <c r="M87" s="128"/>
      <c r="N87" s="128"/>
      <c r="O87" s="128"/>
      <c r="P87" s="128"/>
    </row>
    <row r="88" spans="1:16" s="59" customFormat="1"/>
    <row r="89" spans="1:16" s="59" customFormat="1"/>
    <row r="90" spans="1:16" s="59" customFormat="1"/>
    <row r="91" spans="1:16" s="59" customFormat="1"/>
    <row r="92" spans="1:16" s="59" customFormat="1"/>
    <row r="93" spans="1:16" s="59" customFormat="1"/>
    <row r="94" spans="1:16" s="59" customFormat="1"/>
    <row r="95" spans="1:16" s="59" customFormat="1"/>
    <row r="96" spans="1:16" s="59" customFormat="1"/>
    <row r="97" s="59" customFormat="1"/>
    <row r="98" s="59" customFormat="1"/>
    <row r="99" s="59" customFormat="1"/>
    <row r="100" s="59" customFormat="1"/>
    <row r="101" s="59" customFormat="1"/>
    <row r="102" s="59" customFormat="1"/>
    <row r="103" s="59" customFormat="1"/>
    <row r="104" s="59" customFormat="1"/>
    <row r="105" s="59" customFormat="1"/>
    <row r="106" s="59" customFormat="1"/>
    <row r="107" s="59" customFormat="1"/>
    <row r="108" s="59" customFormat="1"/>
    <row r="109" s="59" customFormat="1"/>
    <row r="110" s="59" customFormat="1"/>
    <row r="111" s="59" customFormat="1"/>
    <row r="112" s="59" customFormat="1"/>
    <row r="113" spans="1:16" s="59" customFormat="1"/>
    <row r="114" spans="1:16" s="59" customFormat="1"/>
    <row r="115" spans="1:16" s="59" customFormat="1"/>
    <row r="116" spans="1:16" s="59" customFormat="1"/>
    <row r="117" spans="1:16" s="59" customFormat="1"/>
    <row r="118" spans="1:16" s="59" customFormat="1"/>
    <row r="119" spans="1:16" s="59" customFormat="1"/>
    <row r="120" spans="1:16">
      <c r="A120" s="59"/>
      <c r="B120" s="59"/>
      <c r="C120" s="59"/>
      <c r="D120" s="59"/>
      <c r="E120" s="59"/>
      <c r="F120" s="59"/>
      <c r="G120" s="59"/>
      <c r="H120" s="59"/>
      <c r="I120" s="59"/>
      <c r="J120" s="59"/>
      <c r="K120" s="59"/>
      <c r="L120" s="59"/>
      <c r="M120" s="59"/>
      <c r="N120" s="59"/>
      <c r="O120" s="59"/>
      <c r="P120" s="59"/>
    </row>
  </sheetData>
  <mergeCells count="3">
    <mergeCell ref="A1:S1"/>
    <mergeCell ref="A2:S3"/>
    <mergeCell ref="A4:P4"/>
  </mergeCells>
  <printOptions horizontalCentered="1" verticalCentered="1"/>
  <pageMargins left="0.4" right="0.4" top="0.25" bottom="0.25" header="0.31496062992126" footer="0.31496062992126"/>
  <pageSetup scale="52" orientation="landscape" r:id="rId1"/>
  <rowBreaks count="1" manualBreakCount="1">
    <brk id="16" max="18" man="1"/>
  </rowBreaks>
  <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N17"/>
  <sheetViews>
    <sheetView showGridLines="0" view="pageBreakPreview" zoomScale="55" zoomScaleNormal="100" zoomScaleSheetLayoutView="55" workbookViewId="0">
      <selection activeCell="T22" sqref="T22"/>
    </sheetView>
  </sheetViews>
  <sheetFormatPr baseColWidth="10" defaultColWidth="11.42578125" defaultRowHeight="15"/>
  <cols>
    <col min="1" max="1" width="17.85546875" style="128" customWidth="1"/>
    <col min="2" max="2" width="17.140625" style="128" customWidth="1"/>
    <col min="3" max="3" width="20.7109375" style="128" hidden="1" customWidth="1"/>
    <col min="4" max="4" width="16.7109375" style="128" customWidth="1"/>
    <col min="5" max="5" width="14" style="128" customWidth="1"/>
    <col min="6" max="6" width="17.140625" style="128" hidden="1" customWidth="1"/>
    <col min="7" max="7" width="17" style="128" customWidth="1"/>
    <col min="8" max="8" width="16.42578125" style="128" customWidth="1"/>
    <col min="9" max="9" width="21.85546875" style="128" customWidth="1"/>
    <col min="10" max="10" width="21" style="128" customWidth="1"/>
    <col min="11" max="11" width="17.7109375" style="128" customWidth="1"/>
    <col min="12" max="12" width="13.7109375" style="128" customWidth="1"/>
    <col min="13" max="13" width="12.5703125" style="128" customWidth="1"/>
    <col min="14" max="14" width="17.140625" style="128" customWidth="1"/>
    <col min="15" max="16384" width="11.42578125" style="128"/>
  </cols>
  <sheetData>
    <row r="1" spans="1:14" ht="79.5" customHeight="1">
      <c r="A1" s="2293" t="s">
        <v>1981</v>
      </c>
      <c r="B1" s="2293"/>
      <c r="C1" s="2293"/>
      <c r="D1" s="2293"/>
      <c r="E1" s="2293"/>
      <c r="F1" s="2293"/>
      <c r="G1" s="2293"/>
      <c r="H1" s="2293"/>
      <c r="I1" s="2293"/>
      <c r="J1" s="2293"/>
      <c r="K1" s="2293"/>
      <c r="L1" s="2293"/>
      <c r="M1" s="2293"/>
      <c r="N1" s="2293"/>
    </row>
    <row r="2" spans="1:14" ht="5.25" customHeight="1"/>
    <row r="3" spans="1:14" ht="27" customHeight="1">
      <c r="A3" s="2471" t="s">
        <v>352</v>
      </c>
      <c r="B3" s="2471"/>
      <c r="C3" s="2471"/>
      <c r="D3" s="2471"/>
      <c r="E3" s="2471"/>
      <c r="F3" s="2471"/>
      <c r="G3" s="2471"/>
      <c r="H3" s="2471"/>
      <c r="I3" s="2471"/>
      <c r="J3" s="2471"/>
    </row>
    <row r="4" spans="1:14" ht="61.5" customHeight="1">
      <c r="A4" s="1112" t="s">
        <v>355</v>
      </c>
      <c r="B4" s="1112" t="s">
        <v>1125</v>
      </c>
      <c r="C4" s="1112" t="s">
        <v>1126</v>
      </c>
      <c r="D4" s="1112" t="s">
        <v>1846</v>
      </c>
      <c r="E4" s="1112" t="s">
        <v>395</v>
      </c>
      <c r="F4" s="1112" t="s">
        <v>1216</v>
      </c>
      <c r="G4" s="1112" t="s">
        <v>942</v>
      </c>
      <c r="H4" s="1112" t="s">
        <v>942</v>
      </c>
      <c r="I4" s="1112" t="s">
        <v>396</v>
      </c>
      <c r="J4" s="1112" t="s">
        <v>397</v>
      </c>
    </row>
    <row r="5" spans="1:14" ht="15.75" hidden="1">
      <c r="A5" s="1017">
        <v>2003</v>
      </c>
      <c r="B5" s="338">
        <v>24</v>
      </c>
      <c r="C5" s="1010">
        <f>49+3</f>
        <v>52</v>
      </c>
      <c r="D5" s="338">
        <v>3</v>
      </c>
      <c r="E5" s="1790">
        <f t="shared" ref="E5:E16" si="0">D5+B5</f>
        <v>27</v>
      </c>
      <c r="F5" s="861">
        <f>+E5+C5</f>
        <v>79</v>
      </c>
      <c r="G5" s="861"/>
      <c r="H5" s="861"/>
      <c r="I5" s="1108">
        <f t="shared" ref="I5:I16" si="1">D5/E5</f>
        <v>0.1111111111111111</v>
      </c>
      <c r="J5" s="1108">
        <f t="shared" ref="J5:J16" si="2">B5/E5</f>
        <v>0.88888888888888884</v>
      </c>
    </row>
    <row r="6" spans="1:14" ht="15.75" hidden="1">
      <c r="A6" s="1017">
        <v>2004</v>
      </c>
      <c r="B6" s="338">
        <v>63</v>
      </c>
      <c r="C6" s="1010">
        <f>48+30+74+79</f>
        <v>231</v>
      </c>
      <c r="D6" s="338">
        <v>2</v>
      </c>
      <c r="E6" s="1790">
        <f t="shared" si="0"/>
        <v>65</v>
      </c>
      <c r="F6" s="861">
        <f t="shared" ref="F6:F14" si="3">+E6+C6</f>
        <v>296</v>
      </c>
      <c r="G6" s="1110">
        <f t="shared" ref="G6:G15" si="4">D6/D5-1</f>
        <v>-0.33333333333333337</v>
      </c>
      <c r="H6" s="1110">
        <f t="shared" ref="H6:H14" si="5">B6/B5-1</f>
        <v>1.625</v>
      </c>
      <c r="I6" s="1108">
        <f t="shared" si="1"/>
        <v>3.0769230769230771E-2</v>
      </c>
      <c r="J6" s="1108">
        <f t="shared" si="2"/>
        <v>0.96923076923076923</v>
      </c>
    </row>
    <row r="7" spans="1:14" ht="15.75">
      <c r="A7" s="1017">
        <v>2005</v>
      </c>
      <c r="B7" s="338">
        <v>181</v>
      </c>
      <c r="C7" s="1010">
        <f>62+110+132+141</f>
        <v>445</v>
      </c>
      <c r="D7" s="338">
        <v>34</v>
      </c>
      <c r="E7" s="1790">
        <f t="shared" si="0"/>
        <v>215</v>
      </c>
      <c r="F7" s="861">
        <f t="shared" si="3"/>
        <v>660</v>
      </c>
      <c r="G7" s="1110">
        <f t="shared" si="4"/>
        <v>16</v>
      </c>
      <c r="H7" s="1110">
        <f t="shared" si="5"/>
        <v>1.873015873015873</v>
      </c>
      <c r="I7" s="1108">
        <f t="shared" si="1"/>
        <v>0.15813953488372093</v>
      </c>
      <c r="J7" s="1108">
        <f t="shared" si="2"/>
        <v>0.8418604651162791</v>
      </c>
    </row>
    <row r="8" spans="1:14" ht="15.75">
      <c r="A8" s="1017">
        <v>2006</v>
      </c>
      <c r="B8" s="338">
        <v>278</v>
      </c>
      <c r="C8" s="1010">
        <f>151+151+100+283</f>
        <v>685</v>
      </c>
      <c r="D8" s="338">
        <v>99</v>
      </c>
      <c r="E8" s="1790">
        <f t="shared" si="0"/>
        <v>377</v>
      </c>
      <c r="F8" s="861">
        <f t="shared" si="3"/>
        <v>1062</v>
      </c>
      <c r="G8" s="1110">
        <f t="shared" si="4"/>
        <v>1.9117647058823528</v>
      </c>
      <c r="H8" s="1110">
        <f t="shared" si="5"/>
        <v>0.53591160220994483</v>
      </c>
      <c r="I8" s="1108">
        <f t="shared" si="1"/>
        <v>0.2625994694960212</v>
      </c>
      <c r="J8" s="1108">
        <f t="shared" si="2"/>
        <v>0.7374005305039788</v>
      </c>
    </row>
    <row r="9" spans="1:14" ht="15.75">
      <c r="A9" s="1017">
        <v>2007</v>
      </c>
      <c r="B9" s="338">
        <v>252</v>
      </c>
      <c r="C9" s="1010">
        <f>159+168+203+145</f>
        <v>675</v>
      </c>
      <c r="D9" s="338">
        <v>154</v>
      </c>
      <c r="E9" s="1790">
        <f t="shared" si="0"/>
        <v>406</v>
      </c>
      <c r="F9" s="861">
        <f t="shared" si="3"/>
        <v>1081</v>
      </c>
      <c r="G9" s="1110">
        <f t="shared" si="4"/>
        <v>0.55555555555555558</v>
      </c>
      <c r="H9" s="1110">
        <f t="shared" si="5"/>
        <v>-9.3525179856115082E-2</v>
      </c>
      <c r="I9" s="1108">
        <f t="shared" si="1"/>
        <v>0.37931034482758619</v>
      </c>
      <c r="J9" s="1108">
        <f t="shared" si="2"/>
        <v>0.62068965517241381</v>
      </c>
    </row>
    <row r="10" spans="1:14" ht="15.75">
      <c r="A10" s="1017">
        <v>2008</v>
      </c>
      <c r="B10" s="339">
        <v>362</v>
      </c>
      <c r="C10" s="1010">
        <v>1138</v>
      </c>
      <c r="D10" s="339">
        <v>246</v>
      </c>
      <c r="E10" s="1790">
        <f t="shared" si="0"/>
        <v>608</v>
      </c>
      <c r="F10" s="861">
        <f t="shared" si="3"/>
        <v>1746</v>
      </c>
      <c r="G10" s="1110">
        <f t="shared" si="4"/>
        <v>0.59740259740259738</v>
      </c>
      <c r="H10" s="1110">
        <f t="shared" si="5"/>
        <v>0.43650793650793651</v>
      </c>
      <c r="I10" s="1108">
        <f t="shared" si="1"/>
        <v>0.40460526315789475</v>
      </c>
      <c r="J10" s="1108">
        <f t="shared" si="2"/>
        <v>0.59539473684210531</v>
      </c>
    </row>
    <row r="11" spans="1:14" ht="15.75">
      <c r="A11" s="1017">
        <v>2009</v>
      </c>
      <c r="B11" s="339">
        <v>581</v>
      </c>
      <c r="C11" s="1010">
        <v>1158</v>
      </c>
      <c r="D11" s="339">
        <v>258</v>
      </c>
      <c r="E11" s="1790">
        <f t="shared" si="0"/>
        <v>839</v>
      </c>
      <c r="F11" s="861">
        <f t="shared" si="3"/>
        <v>1997</v>
      </c>
      <c r="G11" s="1110">
        <f t="shared" si="4"/>
        <v>4.8780487804878092E-2</v>
      </c>
      <c r="H11" s="1110">
        <f t="shared" si="5"/>
        <v>0.6049723756906078</v>
      </c>
      <c r="I11" s="1108">
        <f t="shared" si="1"/>
        <v>0.30750893921334921</v>
      </c>
      <c r="J11" s="1108">
        <f t="shared" si="2"/>
        <v>0.69249106078665079</v>
      </c>
    </row>
    <row r="12" spans="1:14" ht="15.75">
      <c r="A12" s="1017">
        <v>2010</v>
      </c>
      <c r="B12" s="495">
        <v>415</v>
      </c>
      <c r="C12" s="1010">
        <v>1053</v>
      </c>
      <c r="D12" s="495">
        <v>255</v>
      </c>
      <c r="E12" s="1790">
        <f t="shared" si="0"/>
        <v>670</v>
      </c>
      <c r="F12" s="861">
        <f t="shared" si="3"/>
        <v>1723</v>
      </c>
      <c r="G12" s="1111">
        <f t="shared" si="4"/>
        <v>-1.1627906976744207E-2</v>
      </c>
      <c r="H12" s="1111">
        <f t="shared" si="5"/>
        <v>-0.2857142857142857</v>
      </c>
      <c r="I12" s="1109">
        <f t="shared" si="1"/>
        <v>0.38059701492537312</v>
      </c>
      <c r="J12" s="1109">
        <f t="shared" si="2"/>
        <v>0.61940298507462688</v>
      </c>
    </row>
    <row r="13" spans="1:14" ht="15.75">
      <c r="A13" s="1017">
        <v>2011</v>
      </c>
      <c r="B13" s="339">
        <v>506</v>
      </c>
      <c r="C13" s="338">
        <v>1307</v>
      </c>
      <c r="D13" s="339">
        <v>369</v>
      </c>
      <c r="E13" s="1790">
        <f t="shared" si="0"/>
        <v>875</v>
      </c>
      <c r="F13" s="861">
        <f t="shared" si="3"/>
        <v>2182</v>
      </c>
      <c r="G13" s="1110">
        <f t="shared" si="4"/>
        <v>0.44705882352941173</v>
      </c>
      <c r="H13" s="1110">
        <f t="shared" si="5"/>
        <v>0.21927710843373505</v>
      </c>
      <c r="I13" s="1286">
        <f t="shared" si="1"/>
        <v>0.42171428571428571</v>
      </c>
      <c r="J13" s="1286">
        <f t="shared" si="2"/>
        <v>0.57828571428571429</v>
      </c>
    </row>
    <row r="14" spans="1:14" ht="15.75">
      <c r="A14" s="1017">
        <v>2012</v>
      </c>
      <c r="B14" s="339">
        <v>603</v>
      </c>
      <c r="C14" s="338">
        <v>1425</v>
      </c>
      <c r="D14" s="339">
        <v>628</v>
      </c>
      <c r="E14" s="1790">
        <f t="shared" si="0"/>
        <v>1231</v>
      </c>
      <c r="F14" s="861">
        <f t="shared" si="3"/>
        <v>2656</v>
      </c>
      <c r="G14" s="1110">
        <f t="shared" si="4"/>
        <v>0.70189701897018963</v>
      </c>
      <c r="H14" s="1110">
        <f t="shared" si="5"/>
        <v>0.19169960474308301</v>
      </c>
      <c r="I14" s="1286">
        <f t="shared" si="1"/>
        <v>0.51015434606011378</v>
      </c>
      <c r="J14" s="1286">
        <f t="shared" si="2"/>
        <v>0.48984565393988627</v>
      </c>
    </row>
    <row r="15" spans="1:14" ht="15.75">
      <c r="A15" s="1017" t="s">
        <v>1643</v>
      </c>
      <c r="B15" s="339">
        <v>659</v>
      </c>
      <c r="C15" s="338">
        <v>2622</v>
      </c>
      <c r="D15" s="339">
        <v>1205</v>
      </c>
      <c r="E15" s="1790">
        <f t="shared" si="0"/>
        <v>1864</v>
      </c>
      <c r="F15" s="861">
        <f>+E15+C15</f>
        <v>4486</v>
      </c>
      <c r="G15" s="1110">
        <f t="shared" si="4"/>
        <v>0.91878980891719753</v>
      </c>
      <c r="H15" s="1110">
        <f>B15/B14-1</f>
        <v>9.2868988391376472E-2</v>
      </c>
      <c r="I15" s="1286">
        <f t="shared" si="1"/>
        <v>0.64645922746781115</v>
      </c>
      <c r="J15" s="1286">
        <f t="shared" si="2"/>
        <v>0.35354077253218885</v>
      </c>
    </row>
    <row r="16" spans="1:14" ht="15.75">
      <c r="A16" s="1017" t="s">
        <v>1907</v>
      </c>
      <c r="B16" s="339">
        <v>722</v>
      </c>
      <c r="C16" s="338"/>
      <c r="D16" s="339">
        <v>1005</v>
      </c>
      <c r="E16" s="1790">
        <f t="shared" si="0"/>
        <v>1727</v>
      </c>
      <c r="F16" s="861"/>
      <c r="G16" s="1110">
        <f>D16/D15-1</f>
        <v>-0.1659751037344398</v>
      </c>
      <c r="H16" s="1110">
        <f>B16/B15-1</f>
        <v>9.5599393019726753E-2</v>
      </c>
      <c r="I16" s="1286">
        <f t="shared" si="1"/>
        <v>0.58193398957730169</v>
      </c>
      <c r="J16" s="1286">
        <f t="shared" si="2"/>
        <v>0.41806601042269831</v>
      </c>
    </row>
    <row r="17" spans="1:10" ht="15.75">
      <c r="A17" s="1079" t="s">
        <v>114</v>
      </c>
      <c r="B17" s="1113">
        <f>SUM(B7:B16)</f>
        <v>4559</v>
      </c>
      <c r="C17" s="1113">
        <f>SUM(C7:C16)</f>
        <v>10508</v>
      </c>
      <c r="D17" s="1113">
        <f>SUM(D7:D16)</f>
        <v>4253</v>
      </c>
      <c r="E17" s="1113">
        <f>SUM(E7:E16)</f>
        <v>8812</v>
      </c>
      <c r="F17" s="1113">
        <f>SUM(F7:F16)</f>
        <v>17593</v>
      </c>
      <c r="G17" s="1113"/>
      <c r="H17" s="1113"/>
      <c r="I17" s="1113"/>
      <c r="J17" s="1113"/>
    </row>
  </sheetData>
  <mergeCells count="2">
    <mergeCell ref="A1:N1"/>
    <mergeCell ref="A3:J3"/>
  </mergeCells>
  <printOptions horizontalCentered="1" verticalCentered="1"/>
  <pageMargins left="0.4" right="0.4" top="0.25" bottom="0.25" header="0.31496062992126" footer="0.31496062992126"/>
  <pageSetup scale="64" orientation="landscape" r:id="rId1"/>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24"/>
  <sheetViews>
    <sheetView showGridLines="0" view="pageBreakPreview" zoomScale="85" zoomScaleNormal="100" zoomScaleSheetLayoutView="85" workbookViewId="0">
      <pane ySplit="1" topLeftCell="A2" activePane="bottomLeft" state="frozen"/>
      <selection pane="bottomLeft" activeCell="G15" sqref="G15"/>
    </sheetView>
  </sheetViews>
  <sheetFormatPr baseColWidth="10" defaultColWidth="11.42578125" defaultRowHeight="11.25"/>
  <cols>
    <col min="1" max="1" width="8.42578125" style="798" customWidth="1"/>
    <col min="2" max="2" width="12.85546875" style="798" customWidth="1"/>
    <col min="3" max="3" width="10.28515625" style="798" customWidth="1"/>
    <col min="4" max="4" width="8.85546875" style="798" customWidth="1"/>
    <col min="5" max="5" width="8.7109375" style="798" customWidth="1"/>
    <col min="6" max="6" width="8.85546875" style="798" customWidth="1"/>
    <col min="7" max="7" width="11.42578125" style="798" customWidth="1"/>
    <col min="8" max="9" width="8.42578125" style="798" customWidth="1"/>
    <col min="10" max="10" width="8.7109375" style="798" customWidth="1"/>
    <col min="11" max="11" width="8.5703125" style="798" customWidth="1"/>
    <col min="12" max="12" width="9.140625" style="798" customWidth="1"/>
    <col min="13" max="13" width="10.28515625" style="798" customWidth="1"/>
    <col min="14" max="14" width="11.42578125" style="798"/>
    <col min="15" max="15" width="13.5703125" style="798" bestFit="1" customWidth="1"/>
    <col min="16" max="16384" width="11.42578125" style="798"/>
  </cols>
  <sheetData>
    <row r="1" spans="1:14" ht="59.25" customHeight="1">
      <c r="A1" s="2477" t="s">
        <v>1982</v>
      </c>
      <c r="B1" s="2478"/>
      <c r="C1" s="2478"/>
      <c r="D1" s="2478"/>
      <c r="E1" s="2478"/>
      <c r="F1" s="2478"/>
      <c r="G1" s="2478"/>
      <c r="H1" s="2478"/>
      <c r="I1" s="2478"/>
      <c r="J1" s="2478"/>
      <c r="K1" s="2478"/>
      <c r="L1" s="2478"/>
      <c r="M1" s="2478"/>
      <c r="N1" s="2479"/>
    </row>
    <row r="2" spans="1:14" ht="3" customHeight="1"/>
    <row r="3" spans="1:14" ht="49.5" customHeight="1">
      <c r="A3" s="1953" t="s">
        <v>25</v>
      </c>
      <c r="B3" s="1954" t="s">
        <v>1056</v>
      </c>
      <c r="C3" s="1954" t="s">
        <v>1041</v>
      </c>
      <c r="D3" s="1954" t="s">
        <v>1042</v>
      </c>
      <c r="E3" s="1954" t="s">
        <v>1043</v>
      </c>
      <c r="F3" s="1954" t="s">
        <v>1044</v>
      </c>
      <c r="G3" s="1954" t="s">
        <v>1045</v>
      </c>
      <c r="H3" s="1954" t="s">
        <v>1046</v>
      </c>
      <c r="I3" s="1954" t="s">
        <v>1047</v>
      </c>
      <c r="J3" s="1954" t="s">
        <v>1048</v>
      </c>
      <c r="K3" s="1954" t="s">
        <v>1049</v>
      </c>
      <c r="L3" s="1954" t="s">
        <v>1380</v>
      </c>
      <c r="M3" s="1954" t="s">
        <v>1381</v>
      </c>
    </row>
    <row r="4" spans="1:14" hidden="1">
      <c r="A4" s="1955">
        <v>2003</v>
      </c>
      <c r="B4" s="2016">
        <f>SUM(C4:D4)</f>
        <v>3693897</v>
      </c>
      <c r="C4" s="2017">
        <v>2273368</v>
      </c>
      <c r="D4" s="2017">
        <v>1420529</v>
      </c>
      <c r="E4" s="2018">
        <f>C4/B4</f>
        <v>0.61543892534090694</v>
      </c>
      <c r="F4" s="2018">
        <f>D4/B4</f>
        <v>0.38456107465909312</v>
      </c>
      <c r="G4" s="2019">
        <v>576869</v>
      </c>
      <c r="H4" s="2020">
        <v>350832</v>
      </c>
      <c r="I4" s="2020">
        <v>226037</v>
      </c>
      <c r="J4" s="2021">
        <f>H4/G4</f>
        <v>0.60816580540816023</v>
      </c>
      <c r="K4" s="2021">
        <f>I4/G4</f>
        <v>0.39183419459183977</v>
      </c>
      <c r="L4" s="2022">
        <f>H4/C4</f>
        <v>0.15432257338011268</v>
      </c>
      <c r="M4" s="2022">
        <f>I4/D4</f>
        <v>0.15912170747658091</v>
      </c>
    </row>
    <row r="5" spans="1:14" hidden="1">
      <c r="A5" s="1955">
        <v>2004</v>
      </c>
      <c r="B5" s="2016">
        <f t="shared" ref="B5:B11" si="0">SUM(C5:D5)</f>
        <v>3830703</v>
      </c>
      <c r="C5" s="2017">
        <v>2363072</v>
      </c>
      <c r="D5" s="2017">
        <v>1467631</v>
      </c>
      <c r="E5" s="2018">
        <f t="shared" ref="E5:E13" si="1">C5/B5</f>
        <v>0.61687685001943504</v>
      </c>
      <c r="F5" s="2018">
        <f t="shared" ref="F5:F13" si="2">D5/B5</f>
        <v>0.3831231499805649</v>
      </c>
      <c r="G5" s="2019">
        <v>593286</v>
      </c>
      <c r="H5" s="2020">
        <v>356770</v>
      </c>
      <c r="I5" s="2020">
        <v>236516</v>
      </c>
      <c r="J5" s="2021">
        <f t="shared" ref="J5:J13" si="3">H5/G5</f>
        <v>0.60134572533314457</v>
      </c>
      <c r="K5" s="2021">
        <f t="shared" ref="K5:K13" si="4">I5/G5</f>
        <v>0.39865427466685543</v>
      </c>
      <c r="L5" s="2022">
        <f t="shared" ref="L5:M13" si="5">H5/C5</f>
        <v>0.15097720255667199</v>
      </c>
      <c r="M5" s="2022">
        <f t="shared" si="5"/>
        <v>0.16115494971147379</v>
      </c>
    </row>
    <row r="6" spans="1:14">
      <c r="A6" s="1955">
        <v>2005</v>
      </c>
      <c r="B6" s="2016">
        <f t="shared" si="0"/>
        <v>3992338</v>
      </c>
      <c r="C6" s="2017">
        <v>2426609</v>
      </c>
      <c r="D6" s="2017">
        <v>1565729</v>
      </c>
      <c r="E6" s="2018">
        <f t="shared" si="1"/>
        <v>0.60781652254894247</v>
      </c>
      <c r="F6" s="2018">
        <f t="shared" si="2"/>
        <v>0.39218347745105753</v>
      </c>
      <c r="G6" s="2019">
        <v>626615</v>
      </c>
      <c r="H6" s="2020">
        <v>386054</v>
      </c>
      <c r="I6" s="2020">
        <v>240561</v>
      </c>
      <c r="J6" s="2021">
        <f t="shared" si="3"/>
        <v>0.6160944120392905</v>
      </c>
      <c r="K6" s="2021">
        <f t="shared" si="4"/>
        <v>0.3839055879607095</v>
      </c>
      <c r="L6" s="2022">
        <f t="shared" si="5"/>
        <v>0.15909196743274256</v>
      </c>
      <c r="M6" s="2022">
        <f t="shared" si="5"/>
        <v>0.1536415305586088</v>
      </c>
    </row>
    <row r="7" spans="1:14">
      <c r="A7" s="1955">
        <v>2006</v>
      </c>
      <c r="B7" s="2016">
        <f t="shared" si="0"/>
        <v>4073427</v>
      </c>
      <c r="C7" s="2017">
        <v>2470897</v>
      </c>
      <c r="D7" s="2017">
        <v>1602530</v>
      </c>
      <c r="E7" s="2018">
        <f t="shared" si="1"/>
        <v>0.60658924291511795</v>
      </c>
      <c r="F7" s="2018">
        <f t="shared" si="2"/>
        <v>0.3934107570848821</v>
      </c>
      <c r="G7" s="2019">
        <v>808496</v>
      </c>
      <c r="H7" s="2020">
        <v>486327</v>
      </c>
      <c r="I7" s="2020">
        <v>322169</v>
      </c>
      <c r="J7" s="2021">
        <f t="shared" si="3"/>
        <v>0.60152060121509565</v>
      </c>
      <c r="K7" s="2021">
        <f t="shared" si="4"/>
        <v>0.39847939878490429</v>
      </c>
      <c r="L7" s="2022">
        <f t="shared" si="5"/>
        <v>0.19682204478778353</v>
      </c>
      <c r="M7" s="2022">
        <f t="shared" si="5"/>
        <v>0.20103773408298128</v>
      </c>
    </row>
    <row r="8" spans="1:14">
      <c r="A8" s="1955">
        <v>2007</v>
      </c>
      <c r="B8" s="2016">
        <f t="shared" si="0"/>
        <v>4176861</v>
      </c>
      <c r="C8" s="2017">
        <v>2565530</v>
      </c>
      <c r="D8" s="2017">
        <v>1611331</v>
      </c>
      <c r="E8" s="2018">
        <f t="shared" si="1"/>
        <v>0.61422441397978056</v>
      </c>
      <c r="F8" s="2018">
        <f t="shared" si="2"/>
        <v>0.3857755860202195</v>
      </c>
      <c r="G8" s="2019">
        <v>913203</v>
      </c>
      <c r="H8" s="2029">
        <v>549737</v>
      </c>
      <c r="I8" s="2029">
        <v>363466</v>
      </c>
      <c r="J8" s="2021">
        <f t="shared" si="3"/>
        <v>0.60198772890584018</v>
      </c>
      <c r="K8" s="2021">
        <f t="shared" si="4"/>
        <v>0.39801227109415976</v>
      </c>
      <c r="L8" s="2022">
        <f t="shared" si="5"/>
        <v>0.2142781413587056</v>
      </c>
      <c r="M8" s="2022">
        <f t="shared" si="5"/>
        <v>0.22556879995481996</v>
      </c>
    </row>
    <row r="9" spans="1:14">
      <c r="A9" s="1955">
        <v>2008</v>
      </c>
      <c r="B9" s="2016">
        <f t="shared" si="0"/>
        <v>4246171</v>
      </c>
      <c r="C9" s="2017">
        <v>2547846</v>
      </c>
      <c r="D9" s="2017">
        <v>1698325</v>
      </c>
      <c r="E9" s="2018">
        <f t="shared" si="1"/>
        <v>0.60003377160269811</v>
      </c>
      <c r="F9" s="2018">
        <f t="shared" si="2"/>
        <v>0.39996622839730195</v>
      </c>
      <c r="G9" s="2019">
        <v>929743</v>
      </c>
      <c r="H9" s="2029">
        <v>552570</v>
      </c>
      <c r="I9" s="2029">
        <v>377173</v>
      </c>
      <c r="J9" s="2021">
        <f t="shared" si="3"/>
        <v>0.59432552866759958</v>
      </c>
      <c r="K9" s="2021">
        <f t="shared" si="4"/>
        <v>0.40567447133240048</v>
      </c>
      <c r="L9" s="2022">
        <f t="shared" si="5"/>
        <v>0.21687731519094952</v>
      </c>
      <c r="M9" s="2022">
        <f t="shared" si="5"/>
        <v>0.22208528991800744</v>
      </c>
    </row>
    <row r="10" spans="1:14">
      <c r="A10" s="1955">
        <v>2009</v>
      </c>
      <c r="B10" s="2016">
        <f t="shared" si="0"/>
        <v>4201485</v>
      </c>
      <c r="C10" s="2017">
        <v>2624690</v>
      </c>
      <c r="D10" s="2017">
        <v>1576795</v>
      </c>
      <c r="E10" s="2018">
        <f t="shared" si="1"/>
        <v>0.62470531252640438</v>
      </c>
      <c r="F10" s="2018">
        <f t="shared" si="2"/>
        <v>0.37529468747359562</v>
      </c>
      <c r="G10" s="2019">
        <v>1118293</v>
      </c>
      <c r="H10" s="2029">
        <v>634008</v>
      </c>
      <c r="I10" s="2029">
        <v>484285</v>
      </c>
      <c r="J10" s="2021">
        <f t="shared" si="3"/>
        <v>0.56694265277525657</v>
      </c>
      <c r="K10" s="2021">
        <f t="shared" si="4"/>
        <v>0.43305734722474343</v>
      </c>
      <c r="L10" s="2022">
        <f t="shared" si="5"/>
        <v>0.24155538368340643</v>
      </c>
      <c r="M10" s="2022">
        <f t="shared" si="5"/>
        <v>0.30713250612793674</v>
      </c>
    </row>
    <row r="11" spans="1:14">
      <c r="A11" s="1955">
        <v>2010</v>
      </c>
      <c r="B11" s="2016">
        <f t="shared" si="0"/>
        <v>4368912</v>
      </c>
      <c r="C11" s="2023">
        <v>2686681</v>
      </c>
      <c r="D11" s="2023">
        <v>1682231</v>
      </c>
      <c r="E11" s="2024">
        <f t="shared" si="1"/>
        <v>0.61495424947904653</v>
      </c>
      <c r="F11" s="2024">
        <f t="shared" si="2"/>
        <v>0.38504575052095352</v>
      </c>
      <c r="G11" s="2019">
        <v>1189601</v>
      </c>
      <c r="H11" s="2029">
        <v>675015</v>
      </c>
      <c r="I11" s="2029">
        <v>514586</v>
      </c>
      <c r="J11" s="2025">
        <f t="shared" si="3"/>
        <v>0.56742975165622755</v>
      </c>
      <c r="K11" s="2025">
        <f t="shared" si="4"/>
        <v>0.43257024834377239</v>
      </c>
      <c r="L11" s="2026">
        <f t="shared" si="5"/>
        <v>0.25124493752700822</v>
      </c>
      <c r="M11" s="2026">
        <f t="shared" si="5"/>
        <v>0.305894969240253</v>
      </c>
    </row>
    <row r="12" spans="1:14">
      <c r="A12" s="1956">
        <v>2011</v>
      </c>
      <c r="B12" s="2016">
        <f>SUM(C12:D12)</f>
        <v>4601758</v>
      </c>
      <c r="C12" s="2017">
        <v>2782416</v>
      </c>
      <c r="D12" s="2017">
        <v>1819342</v>
      </c>
      <c r="E12" s="2018">
        <f t="shared" si="1"/>
        <v>0.60464196509247115</v>
      </c>
      <c r="F12" s="2018">
        <f t="shared" si="2"/>
        <v>0.3953580349075288</v>
      </c>
      <c r="G12" s="2019">
        <f>+H12+I12</f>
        <v>1242780</v>
      </c>
      <c r="H12" s="2029">
        <v>702422</v>
      </c>
      <c r="I12" s="2029">
        <v>540358</v>
      </c>
      <c r="J12" s="2027">
        <f t="shared" si="3"/>
        <v>0.56520220795313736</v>
      </c>
      <c r="K12" s="2027">
        <f t="shared" si="4"/>
        <v>0.4347977920468627</v>
      </c>
      <c r="L12" s="2028">
        <f t="shared" si="5"/>
        <v>0.25245038843939943</v>
      </c>
      <c r="M12" s="2028">
        <f t="shared" si="5"/>
        <v>0.29700737959108292</v>
      </c>
    </row>
    <row r="13" spans="1:14">
      <c r="A13" s="1956">
        <v>2012</v>
      </c>
      <c r="B13" s="2016">
        <f>SUM(C13:D13)</f>
        <v>4689622</v>
      </c>
      <c r="C13" s="2017">
        <v>2791393</v>
      </c>
      <c r="D13" s="2017">
        <v>1898229</v>
      </c>
      <c r="E13" s="2018">
        <f t="shared" si="1"/>
        <v>0.59522771771370908</v>
      </c>
      <c r="F13" s="2018">
        <f t="shared" si="2"/>
        <v>0.40477228228629086</v>
      </c>
      <c r="G13" s="2019">
        <f>+H13+I13</f>
        <v>1291137</v>
      </c>
      <c r="H13" s="2029">
        <v>726141</v>
      </c>
      <c r="I13" s="2029">
        <v>564996</v>
      </c>
      <c r="J13" s="2027">
        <f t="shared" si="3"/>
        <v>0.56240429946628434</v>
      </c>
      <c r="K13" s="2027">
        <f t="shared" si="4"/>
        <v>0.43759570053371566</v>
      </c>
      <c r="L13" s="2028">
        <f t="shared" si="5"/>
        <v>0.26013571002005093</v>
      </c>
      <c r="M13" s="2028">
        <f t="shared" si="5"/>
        <v>0.29764375109641672</v>
      </c>
    </row>
    <row r="14" spans="1:14">
      <c r="A14" s="1956">
        <v>2013</v>
      </c>
      <c r="B14" s="2016">
        <f>SUM(C14:D14)</f>
        <v>4728655</v>
      </c>
      <c r="C14" s="2023">
        <v>2845650</v>
      </c>
      <c r="D14" s="2023">
        <v>1883005</v>
      </c>
      <c r="E14" s="2024">
        <f>C14/B14</f>
        <v>0.60178845781728629</v>
      </c>
      <c r="F14" s="2024">
        <f>D14/B14</f>
        <v>0.39821154218271371</v>
      </c>
      <c r="G14" s="2019">
        <f>+H14+I14</f>
        <v>1376966</v>
      </c>
      <c r="H14" s="2029">
        <v>770060</v>
      </c>
      <c r="I14" s="2029">
        <v>606906</v>
      </c>
      <c r="J14" s="2030">
        <f>H14/G14</f>
        <v>0.55924401909705834</v>
      </c>
      <c r="K14" s="2030">
        <f>I14/G14</f>
        <v>0.44075598090294166</v>
      </c>
      <c r="L14" s="2031">
        <f>H14/C14</f>
        <v>0.27060952682164002</v>
      </c>
      <c r="M14" s="2031">
        <f>I14/D14</f>
        <v>0.3223071632842186</v>
      </c>
      <c r="N14" s="1294"/>
    </row>
    <row r="15" spans="1:14">
      <c r="A15" s="1956">
        <v>2014</v>
      </c>
      <c r="B15" s="2016">
        <f>SUM(C15:D15)</f>
        <v>4486359</v>
      </c>
      <c r="C15" s="2023">
        <v>2802258</v>
      </c>
      <c r="D15" s="2023">
        <v>1684101</v>
      </c>
      <c r="E15" s="2024">
        <f>C15/B15</f>
        <v>0.6246174236167904</v>
      </c>
      <c r="F15" s="2024">
        <f>D15/B15</f>
        <v>0.37538257638320965</v>
      </c>
      <c r="G15" s="2019">
        <f>+H15+I15</f>
        <v>1508392</v>
      </c>
      <c r="H15" s="2029">
        <v>835620</v>
      </c>
      <c r="I15" s="2029">
        <v>672772</v>
      </c>
      <c r="J15" s="2030">
        <f>H15/G15</f>
        <v>0.55398066285156644</v>
      </c>
      <c r="K15" s="2030">
        <f>I15/G15</f>
        <v>0.44601933714843356</v>
      </c>
      <c r="L15" s="2031">
        <f>H15/C15</f>
        <v>0.29819524112340834</v>
      </c>
      <c r="M15" s="2031">
        <f>I15/D15</f>
        <v>0.39948435396689391</v>
      </c>
      <c r="N15" s="1294"/>
    </row>
    <row r="16" spans="1:14">
      <c r="A16" s="798" t="s">
        <v>1916</v>
      </c>
    </row>
    <row r="18" spans="1:14">
      <c r="N18" s="798" t="s">
        <v>407</v>
      </c>
    </row>
    <row r="24" spans="1:14">
      <c r="A24" s="799"/>
      <c r="B24" s="799">
        <f>AVERAGE(F4:F12)</f>
        <v>0.38830208294391078</v>
      </c>
    </row>
  </sheetData>
  <mergeCells count="1">
    <mergeCell ref="A1:N1"/>
  </mergeCells>
  <pageMargins left="0.7" right="0.7" top="0.75" bottom="0.75" header="0.3" footer="0.3"/>
  <pageSetup scale="85" orientation="landscape" r:id="rId1"/>
  <drawing r:id="rId2"/>
  <legacy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6"/>
  <sheetViews>
    <sheetView showGridLines="0" view="pageBreakPreview" zoomScale="85" zoomScaleNormal="85" zoomScaleSheetLayoutView="85" workbookViewId="0">
      <selection activeCell="M26" sqref="M26"/>
    </sheetView>
  </sheetViews>
  <sheetFormatPr baseColWidth="10" defaultColWidth="11.42578125" defaultRowHeight="15"/>
  <cols>
    <col min="1" max="1" width="18.7109375" customWidth="1"/>
    <col min="2" max="2" width="15" customWidth="1"/>
    <col min="3" max="3" width="14.7109375" customWidth="1"/>
    <col min="11" max="11" width="6.7109375" customWidth="1"/>
    <col min="17" max="17" width="13.7109375" customWidth="1"/>
    <col min="19" max="19" width="12" customWidth="1"/>
  </cols>
  <sheetData>
    <row r="1" spans="1:17" ht="60" customHeight="1">
      <c r="A1" s="2480" t="s">
        <v>1898</v>
      </c>
      <c r="B1" s="2481"/>
      <c r="C1" s="2481"/>
      <c r="D1" s="2481"/>
      <c r="E1" s="2481"/>
      <c r="F1" s="2481"/>
      <c r="G1" s="2481"/>
      <c r="H1" s="2481"/>
      <c r="I1" s="2481"/>
      <c r="J1" s="2481"/>
      <c r="K1" s="2481"/>
      <c r="L1" s="2481"/>
      <c r="M1" s="1114"/>
      <c r="N1" s="1114"/>
      <c r="O1" s="1114"/>
      <c r="P1" s="1114"/>
      <c r="Q1" s="1114"/>
    </row>
    <row r="2" spans="1:17" s="128" customFormat="1" ht="3" customHeight="1"/>
    <row r="3" spans="1:17" ht="17.25" customHeight="1">
      <c r="A3" s="1214" t="s">
        <v>1133</v>
      </c>
      <c r="B3" s="1215" t="s">
        <v>354</v>
      </c>
      <c r="C3" s="1215" t="s">
        <v>353</v>
      </c>
    </row>
    <row r="4" spans="1:17" ht="15" customHeight="1">
      <c r="A4" s="598" t="s">
        <v>112</v>
      </c>
      <c r="B4" s="2097">
        <v>11826.02</v>
      </c>
      <c r="C4" s="2097">
        <v>7456.15</v>
      </c>
    </row>
    <row r="5" spans="1:17" ht="15" customHeight="1">
      <c r="A5" s="598" t="s">
        <v>113</v>
      </c>
      <c r="B5" s="2097">
        <v>12437.31</v>
      </c>
      <c r="C5" s="2097">
        <v>7907.53</v>
      </c>
    </row>
    <row r="6" spans="1:17" ht="14.25" customHeight="1">
      <c r="A6" s="598" t="s">
        <v>103</v>
      </c>
      <c r="B6" s="2097">
        <v>8795.7900000000009</v>
      </c>
      <c r="C6" s="2097">
        <v>5829.72</v>
      </c>
    </row>
    <row r="7" spans="1:17">
      <c r="A7" s="598" t="s">
        <v>104</v>
      </c>
      <c r="B7" s="2097">
        <v>9023.11</v>
      </c>
      <c r="C7" s="2097">
        <v>4795.13</v>
      </c>
    </row>
    <row r="8" spans="1:17" ht="12.75" customHeight="1">
      <c r="A8" s="598" t="s">
        <v>105</v>
      </c>
      <c r="B8" s="2097">
        <v>10717.72</v>
      </c>
      <c r="C8" s="2097">
        <v>7319.95</v>
      </c>
    </row>
    <row r="9" spans="1:17">
      <c r="A9" s="598" t="s">
        <v>1136</v>
      </c>
      <c r="B9" s="2097">
        <v>29465.35</v>
      </c>
      <c r="C9" s="2097">
        <v>25257</v>
      </c>
    </row>
    <row r="10" spans="1:17">
      <c r="A10" s="598" t="s">
        <v>1135</v>
      </c>
      <c r="B10" s="2097">
        <v>11684.62</v>
      </c>
      <c r="C10" s="2097">
        <v>17917.89</v>
      </c>
    </row>
    <row r="11" spans="1:17">
      <c r="A11" s="598" t="s">
        <v>1134</v>
      </c>
      <c r="B11" s="2097">
        <v>9215.2800000000007</v>
      </c>
      <c r="C11" s="2097">
        <v>11034.83</v>
      </c>
    </row>
    <row r="12" spans="1:17">
      <c r="A12" s="2482" t="s">
        <v>1896</v>
      </c>
      <c r="B12" s="2482"/>
      <c r="C12" s="2482"/>
    </row>
    <row r="15" spans="1:17" ht="15" customHeight="1">
      <c r="B15" s="128"/>
      <c r="C15" s="128"/>
    </row>
    <row r="16" spans="1:17" ht="15" customHeight="1">
      <c r="B16" s="128"/>
      <c r="C16" s="128"/>
    </row>
  </sheetData>
  <mergeCells count="2">
    <mergeCell ref="A1:L1"/>
    <mergeCell ref="A12:C12"/>
  </mergeCells>
  <pageMargins left="0.7" right="0.7" top="0.75" bottom="0.75" header="0.3" footer="0.3"/>
  <pageSetup scale="84"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3"/>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53.5703125" customWidth="1"/>
    <col min="2" max="2" width="20.28515625" customWidth="1"/>
    <col min="3" max="3" width="20.7109375" customWidth="1"/>
    <col min="4" max="4" width="18.5703125" bestFit="1" customWidth="1"/>
  </cols>
  <sheetData>
    <row r="1" spans="1:14" ht="93" customHeight="1">
      <c r="A1" s="2484" t="s">
        <v>1899</v>
      </c>
      <c r="B1" s="2484"/>
      <c r="C1" s="2484"/>
      <c r="D1" s="2484"/>
      <c r="E1" s="2484"/>
      <c r="F1" s="2484"/>
      <c r="G1" s="2484"/>
      <c r="H1" s="2484"/>
      <c r="I1" s="2484"/>
      <c r="J1" s="2484"/>
      <c r="K1" s="2484"/>
      <c r="L1" s="2484"/>
      <c r="M1" s="2484"/>
      <c r="N1" s="2484"/>
    </row>
    <row r="2" spans="1:14" ht="6" customHeight="1">
      <c r="A2" s="2483"/>
      <c r="B2" s="2483"/>
      <c r="C2" s="111"/>
      <c r="D2" s="111"/>
    </row>
    <row r="3" spans="1:14" ht="42">
      <c r="A3" s="1216" t="s">
        <v>1133</v>
      </c>
      <c r="B3" s="1203" t="s">
        <v>1141</v>
      </c>
      <c r="C3" s="1203" t="s">
        <v>1142</v>
      </c>
    </row>
    <row r="4" spans="1:14" ht="18.75">
      <c r="A4" s="970" t="s">
        <v>112</v>
      </c>
      <c r="B4" s="2096">
        <v>4171.1099999999997</v>
      </c>
      <c r="C4" s="2096">
        <v>9498.33</v>
      </c>
    </row>
    <row r="5" spans="1:14" ht="18.75">
      <c r="A5" s="970" t="s">
        <v>113</v>
      </c>
      <c r="B5" s="2096">
        <v>4564.91</v>
      </c>
      <c r="C5" s="2096">
        <v>10701.52</v>
      </c>
    </row>
    <row r="6" spans="1:14" ht="18.75">
      <c r="A6" s="970" t="s">
        <v>103</v>
      </c>
      <c r="B6" s="2096">
        <v>3317.63</v>
      </c>
      <c r="C6" s="2096">
        <v>6850.25</v>
      </c>
    </row>
    <row r="7" spans="1:14" ht="18.75">
      <c r="A7" s="970" t="s">
        <v>104</v>
      </c>
      <c r="B7" s="2096">
        <v>2700.55</v>
      </c>
      <c r="C7" s="2096">
        <v>6499.07</v>
      </c>
    </row>
    <row r="8" spans="1:14" ht="18.75">
      <c r="A8" s="970" t="s">
        <v>105</v>
      </c>
      <c r="B8" s="2096">
        <v>4232.01</v>
      </c>
      <c r="C8" s="2096">
        <v>8947.9</v>
      </c>
    </row>
    <row r="9" spans="1:14" ht="18.75">
      <c r="A9" s="970" t="s">
        <v>1130</v>
      </c>
      <c r="B9" s="2096">
        <v>9823.9699999999993</v>
      </c>
      <c r="C9" s="2096">
        <v>29796.13</v>
      </c>
    </row>
    <row r="10" spans="1:14" ht="18.75">
      <c r="A10" s="970" t="s">
        <v>1131</v>
      </c>
      <c r="B10" s="2096">
        <v>10385.299999999999</v>
      </c>
      <c r="C10" s="2096">
        <v>22987.9</v>
      </c>
    </row>
    <row r="11" spans="1:14" ht="18.75" customHeight="1">
      <c r="A11" s="970" t="s">
        <v>1132</v>
      </c>
      <c r="B11" s="2096">
        <v>6049.07</v>
      </c>
      <c r="C11" s="2096">
        <v>15245.14</v>
      </c>
    </row>
    <row r="12" spans="1:14" ht="18.75">
      <c r="A12" s="1958" t="s">
        <v>23</v>
      </c>
      <c r="B12" s="1959">
        <v>4195.2700000000004</v>
      </c>
      <c r="C12" s="1959">
        <v>9868.49</v>
      </c>
    </row>
    <row r="13" spans="1:14" ht="18.75">
      <c r="A13" s="1960" t="s">
        <v>1900</v>
      </c>
      <c r="B13" s="1957"/>
      <c r="C13" s="1957"/>
    </row>
  </sheetData>
  <mergeCells count="2">
    <mergeCell ref="A2:B2"/>
    <mergeCell ref="A1:N1"/>
  </mergeCells>
  <pageMargins left="0.7" right="0.7" top="0.75" bottom="0.75" header="0.3" footer="0.3"/>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F16"/>
  <sheetViews>
    <sheetView workbookViewId="0">
      <selection activeCell="H25" sqref="H25"/>
    </sheetView>
  </sheetViews>
  <sheetFormatPr baseColWidth="10" defaultColWidth="11.42578125" defaultRowHeight="15"/>
  <cols>
    <col min="1" max="1" width="28.42578125" customWidth="1"/>
  </cols>
  <sheetData>
    <row r="4" spans="1:6" ht="15.75">
      <c r="A4" s="2486" t="s">
        <v>1127</v>
      </c>
      <c r="B4" s="2486"/>
      <c r="C4" s="2486"/>
      <c r="D4" s="2486"/>
      <c r="E4" s="2486"/>
      <c r="F4" s="2486"/>
    </row>
    <row r="5" spans="1:6">
      <c r="A5" s="2485" t="s">
        <v>1128</v>
      </c>
      <c r="B5" s="2485"/>
      <c r="C5" s="2485"/>
      <c r="D5" s="2485"/>
    </row>
    <row r="6" spans="1:6" ht="15.75" thickBot="1">
      <c r="A6" s="905"/>
      <c r="B6" s="905"/>
      <c r="C6" s="905"/>
      <c r="D6" s="905"/>
    </row>
    <row r="7" spans="1:6" ht="15.75" thickTop="1">
      <c r="A7" s="906" t="s">
        <v>1129</v>
      </c>
      <c r="B7" s="906" t="s">
        <v>55</v>
      </c>
      <c r="C7" s="906" t="s">
        <v>54</v>
      </c>
      <c r="D7" s="906" t="s">
        <v>23</v>
      </c>
    </row>
    <row r="8" spans="1:6">
      <c r="A8" s="907" t="s">
        <v>112</v>
      </c>
      <c r="B8" s="908">
        <v>1569</v>
      </c>
      <c r="C8" s="909">
        <v>1022</v>
      </c>
      <c r="D8" s="910">
        <f>B8+C8</f>
        <v>2591</v>
      </c>
    </row>
    <row r="9" spans="1:6">
      <c r="A9" s="907" t="s">
        <v>113</v>
      </c>
      <c r="B9" s="911">
        <v>715</v>
      </c>
      <c r="C9" s="909">
        <v>416</v>
      </c>
      <c r="D9" s="910">
        <f t="shared" ref="D9:D15" si="0">B9+C9</f>
        <v>1131</v>
      </c>
    </row>
    <row r="10" spans="1:6">
      <c r="A10" s="907" t="s">
        <v>103</v>
      </c>
      <c r="B10" s="908">
        <v>198</v>
      </c>
      <c r="C10" s="909">
        <v>77</v>
      </c>
      <c r="D10" s="910">
        <f t="shared" si="0"/>
        <v>275</v>
      </c>
    </row>
    <row r="11" spans="1:6">
      <c r="A11" s="907" t="s">
        <v>104</v>
      </c>
      <c r="B11" s="908">
        <v>1211</v>
      </c>
      <c r="C11" s="909">
        <v>746</v>
      </c>
      <c r="D11" s="910">
        <f t="shared" si="0"/>
        <v>1957</v>
      </c>
    </row>
    <row r="12" spans="1:6">
      <c r="A12" s="912" t="s">
        <v>105</v>
      </c>
      <c r="B12" s="911">
        <v>1023</v>
      </c>
      <c r="C12" s="909">
        <v>547</v>
      </c>
      <c r="D12" s="910">
        <f t="shared" si="0"/>
        <v>1570</v>
      </c>
    </row>
    <row r="13" spans="1:6">
      <c r="A13" s="913" t="s">
        <v>1130</v>
      </c>
      <c r="B13" s="911">
        <v>15</v>
      </c>
      <c r="C13" s="909">
        <v>12</v>
      </c>
      <c r="D13" s="910">
        <f t="shared" si="0"/>
        <v>27</v>
      </c>
    </row>
    <row r="14" spans="1:6">
      <c r="A14" s="913" t="s">
        <v>1131</v>
      </c>
      <c r="B14" s="911">
        <v>12</v>
      </c>
      <c r="C14" s="909">
        <v>9</v>
      </c>
      <c r="D14" s="910">
        <f t="shared" si="0"/>
        <v>21</v>
      </c>
    </row>
    <row r="15" spans="1:6">
      <c r="A15" s="913" t="s">
        <v>1132</v>
      </c>
      <c r="B15" s="911">
        <v>184</v>
      </c>
      <c r="C15" s="909">
        <v>85</v>
      </c>
      <c r="D15" s="910">
        <f t="shared" si="0"/>
        <v>269</v>
      </c>
    </row>
    <row r="16" spans="1:6">
      <c r="A16" s="914" t="s">
        <v>23</v>
      </c>
      <c r="B16" s="915">
        <f>SUM(B8:B15)</f>
        <v>4927</v>
      </c>
      <c r="C16" s="916">
        <f>SUM(C8:C15)</f>
        <v>2914</v>
      </c>
      <c r="D16" s="915">
        <f>SUM(D8:D15)</f>
        <v>7841</v>
      </c>
    </row>
  </sheetData>
  <mergeCells count="2">
    <mergeCell ref="A5:D5"/>
    <mergeCell ref="A4:F4"/>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38"/>
  <sheetViews>
    <sheetView showGridLines="0" view="pageBreakPreview" zoomScale="70" zoomScaleNormal="100" zoomScaleSheetLayoutView="70" workbookViewId="0">
      <selection activeCell="O36" sqref="O36"/>
    </sheetView>
  </sheetViews>
  <sheetFormatPr baseColWidth="10" defaultColWidth="11.42578125" defaultRowHeight="22.5" customHeight="1"/>
  <cols>
    <col min="1" max="1" width="12.28515625" style="135" customWidth="1"/>
    <col min="2" max="2" width="16.28515625" style="135" customWidth="1"/>
    <col min="3" max="3" width="13.140625" style="135" customWidth="1"/>
    <col min="4" max="4" width="16.5703125" style="135" customWidth="1"/>
    <col min="5" max="5" width="15.28515625" style="135" customWidth="1"/>
    <col min="6" max="6" width="14" style="135" customWidth="1"/>
    <col min="7" max="7" width="17.28515625" style="135" bestFit="1" customWidth="1"/>
    <col min="8" max="8" width="22.140625" style="135" customWidth="1"/>
    <col min="9" max="9" width="13.28515625" style="135" customWidth="1"/>
    <col min="10" max="11" width="11.42578125" style="135"/>
    <col min="12" max="12" width="5.85546875" style="135" customWidth="1"/>
    <col min="13" max="13" width="9.140625" style="135" customWidth="1"/>
    <col min="14" max="14" width="11" style="135" customWidth="1"/>
    <col min="15" max="15" width="22.7109375" style="135" bestFit="1" customWidth="1"/>
    <col min="16" max="16384" width="11.42578125" style="135"/>
  </cols>
  <sheetData>
    <row r="1" spans="1:16" ht="72" customHeight="1">
      <c r="A1" s="2487" t="s">
        <v>2017</v>
      </c>
      <c r="B1" s="2488"/>
      <c r="C1" s="2488"/>
      <c r="D1" s="2488"/>
      <c r="E1" s="2488"/>
      <c r="F1" s="2488"/>
      <c r="G1" s="2488"/>
      <c r="H1" s="2488"/>
      <c r="I1" s="2488"/>
      <c r="J1" s="2488"/>
      <c r="K1" s="2488"/>
      <c r="L1" s="2488"/>
      <c r="M1" s="2489"/>
    </row>
    <row r="2" spans="1:16" ht="39" customHeight="1">
      <c r="A2" s="2491" t="s">
        <v>1984</v>
      </c>
      <c r="B2" s="2491"/>
      <c r="C2" s="2491"/>
      <c r="D2" s="2491"/>
      <c r="E2" s="2491"/>
      <c r="F2" s="2491"/>
      <c r="G2" s="2491"/>
      <c r="H2" s="2491"/>
      <c r="I2" s="2491"/>
      <c r="J2" s="2491"/>
      <c r="K2" s="2491"/>
      <c r="L2" s="2491"/>
      <c r="M2" s="2491"/>
    </row>
    <row r="3" spans="1:16" ht="48" customHeight="1">
      <c r="A3" s="1117" t="s">
        <v>51</v>
      </c>
      <c r="B3" s="1116" t="s">
        <v>245</v>
      </c>
      <c r="C3" s="1116" t="s">
        <v>351</v>
      </c>
      <c r="D3" s="1116" t="s">
        <v>1446</v>
      </c>
      <c r="E3" s="1116" t="s">
        <v>437</v>
      </c>
      <c r="O3" s="1115"/>
    </row>
    <row r="4" spans="1:16" ht="16.5" hidden="1" customHeight="1">
      <c r="A4" s="1217" t="s">
        <v>28</v>
      </c>
      <c r="B4" s="175">
        <v>6849.88</v>
      </c>
      <c r="C4" s="1218"/>
      <c r="D4" s="1219">
        <v>617988.9</v>
      </c>
      <c r="E4" s="1220">
        <f>B4/D4</f>
        <v>1.1084147304263879E-2</v>
      </c>
    </row>
    <row r="5" spans="1:16" ht="16.5" hidden="1" customHeight="1">
      <c r="A5" s="1217" t="s">
        <v>29</v>
      </c>
      <c r="B5" s="175">
        <v>14754.98</v>
      </c>
      <c r="C5" s="1221">
        <f t="shared" ref="C5:C11" si="0">B5/B4-1</f>
        <v>1.1540494140043327</v>
      </c>
      <c r="D5" s="1219">
        <v>909036.8</v>
      </c>
      <c r="E5" s="1220">
        <f t="shared" ref="E5:E14" si="1">B5/D5</f>
        <v>1.6231444095552567E-2</v>
      </c>
      <c r="F5" s="261"/>
    </row>
    <row r="6" spans="1:16" ht="16.5" customHeight="1">
      <c r="A6" s="1217" t="s">
        <v>30</v>
      </c>
      <c r="B6" s="175">
        <v>23031.69</v>
      </c>
      <c r="C6" s="1221">
        <f t="shared" si="0"/>
        <v>0.56094349162113399</v>
      </c>
      <c r="D6" s="1219">
        <v>1020002</v>
      </c>
      <c r="E6" s="1220">
        <f t="shared" si="1"/>
        <v>2.2580043960698116E-2</v>
      </c>
      <c r="F6" s="261"/>
      <c r="O6" s="77"/>
    </row>
    <row r="7" spans="1:16" ht="16.5" customHeight="1">
      <c r="A7" s="1217" t="s">
        <v>31</v>
      </c>
      <c r="B7" s="175">
        <v>33521.17</v>
      </c>
      <c r="C7" s="1221">
        <f t="shared" si="0"/>
        <v>0.45543683507376143</v>
      </c>
      <c r="D7" s="1219">
        <v>1189801.8999999999</v>
      </c>
      <c r="E7" s="1220">
        <f t="shared" si="1"/>
        <v>2.817374051932511E-2</v>
      </c>
      <c r="F7" s="261"/>
    </row>
    <row r="8" spans="1:16" ht="16.5" customHeight="1">
      <c r="A8" s="1217" t="s">
        <v>32</v>
      </c>
      <c r="B8" s="175">
        <v>48918.54</v>
      </c>
      <c r="C8" s="1221">
        <f t="shared" si="0"/>
        <v>0.45933271422208732</v>
      </c>
      <c r="D8" s="1219">
        <v>1364210.3</v>
      </c>
      <c r="E8" s="1220">
        <f t="shared" si="1"/>
        <v>3.5858503633933857E-2</v>
      </c>
      <c r="F8" s="261"/>
      <c r="H8" s="1789"/>
    </row>
    <row r="9" spans="1:16" ht="16.5" customHeight="1">
      <c r="A9" s="1217" t="s">
        <v>33</v>
      </c>
      <c r="B9" s="175">
        <v>68371.91</v>
      </c>
      <c r="C9" s="1221">
        <f t="shared" si="0"/>
        <v>0.39766865486991243</v>
      </c>
      <c r="D9" s="1219">
        <v>1576162.8</v>
      </c>
      <c r="E9" s="1220">
        <f t="shared" si="1"/>
        <v>4.3378710625577514E-2</v>
      </c>
      <c r="F9" s="261"/>
      <c r="H9" s="1789"/>
    </row>
    <row r="10" spans="1:16" ht="16.5" customHeight="1">
      <c r="A10" s="1217" t="s">
        <v>34</v>
      </c>
      <c r="B10" s="175">
        <v>94318.74</v>
      </c>
      <c r="C10" s="1221">
        <f t="shared" si="0"/>
        <v>0.37949546824127034</v>
      </c>
      <c r="D10" s="1219">
        <v>1678762.6</v>
      </c>
      <c r="E10" s="1220">
        <f t="shared" si="1"/>
        <v>5.6183488957878856E-2</v>
      </c>
      <c r="F10" s="261"/>
      <c r="H10" s="1788"/>
    </row>
    <row r="11" spans="1:16" ht="16.5" customHeight="1">
      <c r="A11" s="1217" t="s">
        <v>359</v>
      </c>
      <c r="B11" s="175">
        <v>120339.19</v>
      </c>
      <c r="C11" s="1221">
        <f t="shared" si="0"/>
        <v>0.27587783721453452</v>
      </c>
      <c r="D11" s="1219">
        <v>1901896.7</v>
      </c>
      <c r="E11" s="1220">
        <f t="shared" si="1"/>
        <v>6.3273252432689955E-2</v>
      </c>
      <c r="F11" s="261"/>
      <c r="J11" s="136"/>
      <c r="K11" s="136"/>
      <c r="L11" s="136"/>
      <c r="M11" s="136"/>
      <c r="N11" s="136"/>
    </row>
    <row r="12" spans="1:16" s="128" customFormat="1" ht="16.5" customHeight="1">
      <c r="A12" s="1217" t="s">
        <v>477</v>
      </c>
      <c r="B12" s="175">
        <v>154672.16</v>
      </c>
      <c r="C12" s="1221">
        <f>B12/B11-1</f>
        <v>0.28530165443194355</v>
      </c>
      <c r="D12" s="1222">
        <v>2119301.7999999998</v>
      </c>
      <c r="E12" s="1220">
        <f t="shared" si="1"/>
        <v>7.2982602100370983E-2</v>
      </c>
      <c r="F12" s="261"/>
      <c r="G12" s="135"/>
      <c r="H12" s="135"/>
      <c r="I12" s="135"/>
      <c r="O12" s="135"/>
      <c r="P12" s="135"/>
    </row>
    <row r="13" spans="1:16" s="128" customFormat="1" ht="16.5" customHeight="1">
      <c r="A13" s="1217" t="s">
        <v>1057</v>
      </c>
      <c r="B13" s="175">
        <v>198249.65</v>
      </c>
      <c r="C13" s="1221">
        <f>B13/B12-1</f>
        <v>0.28174100626770837</v>
      </c>
      <c r="D13" s="1222">
        <v>2316783.7000000002</v>
      </c>
      <c r="E13" s="1220">
        <f t="shared" si="1"/>
        <v>8.5571065611347308E-2</v>
      </c>
      <c r="F13" s="261"/>
      <c r="O13" s="135"/>
      <c r="P13" s="135"/>
    </row>
    <row r="14" spans="1:16" s="128" customFormat="1" ht="16.5" customHeight="1">
      <c r="A14" s="1217" t="s">
        <v>1640</v>
      </c>
      <c r="B14" s="1223">
        <f>248516385669/1000000</f>
        <v>248516.38566900001</v>
      </c>
      <c r="C14" s="1221">
        <f>B14/B13-1</f>
        <v>0.25355270825951015</v>
      </c>
      <c r="D14" s="1701">
        <v>2534067.7999999998</v>
      </c>
      <c r="E14" s="1220">
        <f t="shared" si="1"/>
        <v>9.8070140691973604E-2</v>
      </c>
      <c r="F14" s="261"/>
      <c r="O14" s="135"/>
      <c r="P14" s="135"/>
    </row>
    <row r="15" spans="1:16" ht="16.5" customHeight="1">
      <c r="A15" s="1217" t="s">
        <v>1983</v>
      </c>
      <c r="B15" s="1712">
        <v>305297.32352799998</v>
      </c>
      <c r="C15" s="1713">
        <f>B15/B14-1</f>
        <v>0.2284796541932117</v>
      </c>
      <c r="D15" s="1701">
        <v>2534067.7999999998</v>
      </c>
      <c r="E15" s="1714">
        <f>B15/D15</f>
        <v>0.12047717252395536</v>
      </c>
      <c r="F15" s="1356"/>
    </row>
    <row r="16" spans="1:16" ht="15">
      <c r="A16" s="2490" t="s">
        <v>1747</v>
      </c>
      <c r="B16" s="2490"/>
      <c r="C16" s="2490"/>
      <c r="D16" s="2490"/>
      <c r="E16" s="2490"/>
      <c r="F16" s="2490"/>
      <c r="N16" s="713"/>
    </row>
    <row r="17" spans="12:13" ht="15">
      <c r="L17" s="137"/>
      <c r="M17" s="138"/>
    </row>
    <row r="18" spans="12:13" ht="15">
      <c r="L18" s="139"/>
      <c r="M18" s="139"/>
    </row>
    <row r="19" spans="12:13" ht="15"/>
    <row r="20" spans="12:13" ht="15"/>
    <row r="21" spans="12:13" ht="15"/>
    <row r="22" spans="12:13" ht="15"/>
    <row r="23" spans="12:13" ht="15"/>
    <row r="24" spans="12:13" ht="15"/>
    <row r="25" spans="12:13" ht="15"/>
    <row r="26" spans="12:13" ht="15"/>
    <row r="27" spans="12:13" ht="15"/>
    <row r="28" spans="12:13" ht="15"/>
    <row r="29" spans="12:13" ht="15"/>
    <row r="30" spans="12:13" ht="15"/>
    <row r="31" spans="12:13" ht="15"/>
    <row r="32" spans="12:13" ht="15"/>
    <row r="33" ht="15"/>
    <row r="34" ht="15"/>
    <row r="35" ht="15"/>
    <row r="36" ht="15"/>
    <row r="37" ht="15"/>
    <row r="38" ht="15"/>
  </sheetData>
  <mergeCells count="3">
    <mergeCell ref="A1:M1"/>
    <mergeCell ref="A16:F16"/>
    <mergeCell ref="A2:M2"/>
  </mergeCells>
  <printOptions horizontalCentered="1" verticalCentered="1"/>
  <pageMargins left="0.39370078740157483" right="0.39370078740157483" top="0.23622047244094491" bottom="0.23622047244094491" header="0.31496062992125984" footer="0.31496062992125984"/>
  <pageSetup scale="70"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43.42578125" style="1118" customWidth="1"/>
    <col min="2" max="2" width="27.140625" style="1118" customWidth="1"/>
    <col min="3" max="3" width="21.140625" style="1118" customWidth="1"/>
    <col min="4" max="4" width="17.85546875" style="1118" customWidth="1"/>
    <col min="5" max="5" width="25.7109375" style="1118" customWidth="1"/>
    <col min="6" max="6" width="10.7109375" style="1118" customWidth="1"/>
    <col min="7" max="7" width="17.140625" style="1118" customWidth="1"/>
    <col min="8" max="8" width="20.85546875" style="1118" customWidth="1"/>
    <col min="9" max="16384" width="11.42578125" style="1118"/>
  </cols>
  <sheetData>
    <row r="1" spans="1:8" ht="64.5" customHeight="1">
      <c r="A1" s="2389" t="s">
        <v>1895</v>
      </c>
      <c r="B1" s="2389"/>
      <c r="C1" s="2389"/>
      <c r="D1" s="2389"/>
      <c r="E1" s="2389"/>
      <c r="F1" s="2389"/>
      <c r="G1" s="2389"/>
      <c r="H1" s="2389"/>
    </row>
    <row r="2" spans="1:8" ht="3.75" customHeight="1"/>
    <row r="3" spans="1:8" ht="18.75" customHeight="1">
      <c r="A3" s="1192" t="s">
        <v>1217</v>
      </c>
      <c r="B3" s="1192" t="s">
        <v>948</v>
      </c>
      <c r="C3" s="1192" t="s">
        <v>1218</v>
      </c>
    </row>
    <row r="4" spans="1:8" ht="15.75">
      <c r="A4" s="1224" t="s">
        <v>1219</v>
      </c>
      <c r="B4" s="1695">
        <v>130880062454.75</v>
      </c>
      <c r="C4" s="1225">
        <f t="shared" ref="C4:C11" si="0">B4/$B$12</f>
        <v>0.48635887325771548</v>
      </c>
    </row>
    <row r="5" spans="1:8" ht="15.75">
      <c r="A5" s="1224" t="s">
        <v>1220</v>
      </c>
      <c r="B5" s="1695">
        <v>7417138189.8100004</v>
      </c>
      <c r="C5" s="1225">
        <f t="shared" si="0"/>
        <v>2.7562570685966545E-2</v>
      </c>
    </row>
    <row r="6" spans="1:8" ht="15.75">
      <c r="A6" s="1224" t="s">
        <v>1221</v>
      </c>
      <c r="B6" s="1695">
        <v>74535641729.419998</v>
      </c>
      <c r="C6" s="1225">
        <f t="shared" si="0"/>
        <v>0.27697932021995164</v>
      </c>
    </row>
    <row r="7" spans="1:8" ht="15.75">
      <c r="A7" s="1224" t="s">
        <v>1222</v>
      </c>
      <c r="B7" s="1695">
        <v>1057831956.6900001</v>
      </c>
      <c r="C7" s="1225">
        <f t="shared" si="0"/>
        <v>3.9309727463618027E-3</v>
      </c>
    </row>
    <row r="8" spans="1:8" ht="15.75">
      <c r="A8" s="1224" t="s">
        <v>1223</v>
      </c>
      <c r="B8" s="1695">
        <v>1055661659.33</v>
      </c>
      <c r="C8" s="1225">
        <f t="shared" si="0"/>
        <v>3.9229077794077361E-3</v>
      </c>
    </row>
    <row r="9" spans="1:8" ht="15.75">
      <c r="A9" s="1224" t="s">
        <v>450</v>
      </c>
      <c r="B9" s="1695">
        <v>3932231535.7199998</v>
      </c>
      <c r="C9" s="1225">
        <f t="shared" si="0"/>
        <v>1.4612429603343502E-2</v>
      </c>
      <c r="D9" s="1119"/>
    </row>
    <row r="10" spans="1:8" ht="15.75">
      <c r="A10" s="1226" t="s">
        <v>1224</v>
      </c>
      <c r="B10" s="1695">
        <v>49871269884.68</v>
      </c>
      <c r="C10" s="1225">
        <f t="shared" si="0"/>
        <v>0.18532490108973132</v>
      </c>
    </row>
    <row r="11" spans="1:8" ht="15.75">
      <c r="A11" s="1226" t="s">
        <v>1225</v>
      </c>
      <c r="B11" s="1695">
        <v>351991817</v>
      </c>
      <c r="C11" s="1227">
        <f t="shared" si="0"/>
        <v>1.3080246165931048E-3</v>
      </c>
    </row>
    <row r="12" spans="1:8" ht="15.75">
      <c r="A12" s="1192" t="s">
        <v>23</v>
      </c>
      <c r="B12" s="1230">
        <f>SUM(B4:B11)+0.25</f>
        <v>269101829227.64996</v>
      </c>
      <c r="C12" s="1228">
        <f>SUM(C4:C11)</f>
        <v>0.99999999999907108</v>
      </c>
    </row>
    <row r="13" spans="1:8">
      <c r="A13" s="1229" t="s">
        <v>1894</v>
      </c>
      <c r="B13" s="72"/>
      <c r="C13" s="1120"/>
    </row>
    <row r="21" spans="10:10">
      <c r="J21" s="1229"/>
    </row>
    <row r="27" spans="10:10">
      <c r="J27" s="1229"/>
    </row>
    <row r="29" spans="10:10">
      <c r="J29" s="1229"/>
    </row>
  </sheetData>
  <mergeCells count="1">
    <mergeCell ref="A1:H1"/>
  </mergeCells>
  <printOptions horizontalCentered="1" verticalCentered="1"/>
  <pageMargins left="0.4" right="0.4" top="0.25" bottom="0.25" header="0.3" footer="0.3"/>
  <pageSetup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499984740745262"/>
    <pageSetUpPr fitToPage="1"/>
  </sheetPr>
  <dimension ref="A1:Y55"/>
  <sheetViews>
    <sheetView showGridLines="0" view="pageBreakPreview" zoomScale="55" zoomScaleNormal="100" zoomScaleSheetLayoutView="55" workbookViewId="0">
      <selection activeCell="L27" sqref="L27"/>
    </sheetView>
  </sheetViews>
  <sheetFormatPr baseColWidth="10" defaultColWidth="11.42578125" defaultRowHeight="20.25" customHeight="1"/>
  <cols>
    <col min="1" max="1" width="16.5703125" style="780" customWidth="1"/>
    <col min="2" max="2" width="19.85546875" style="128" customWidth="1"/>
    <col min="3" max="3" width="15.7109375" style="128" customWidth="1"/>
    <col min="4" max="4" width="24.5703125" style="128" customWidth="1"/>
    <col min="5" max="5" width="29.42578125" style="128" customWidth="1"/>
    <col min="6" max="6" width="18" style="128" customWidth="1"/>
    <col min="7" max="7" width="25.5703125" style="128" customWidth="1"/>
    <col min="8" max="8" width="22.7109375" style="128" customWidth="1"/>
    <col min="9" max="9" width="27.28515625" style="128" customWidth="1"/>
    <col min="10" max="10" width="40.28515625" style="128" customWidth="1"/>
    <col min="11" max="11" width="21.5703125" style="128" customWidth="1"/>
    <col min="12" max="12" width="25.7109375" style="128" customWidth="1"/>
    <col min="13" max="13" width="69.7109375" style="128" customWidth="1"/>
    <col min="14" max="14" width="9" style="128" customWidth="1"/>
    <col min="15" max="15" width="29.85546875" style="128" customWidth="1"/>
    <col min="16" max="16" width="16.28515625" style="128" bestFit="1" customWidth="1"/>
    <col min="17" max="16384" width="11.42578125" style="128"/>
  </cols>
  <sheetData>
    <row r="1" spans="1:17" ht="90" customHeight="1">
      <c r="A1" s="2196" t="s">
        <v>1926</v>
      </c>
      <c r="B1" s="2197"/>
      <c r="C1" s="2197"/>
      <c r="D1" s="2197"/>
      <c r="E1" s="2197"/>
      <c r="F1" s="2197"/>
      <c r="G1" s="2197"/>
      <c r="H1" s="2197"/>
      <c r="I1" s="2197"/>
      <c r="J1" s="2198"/>
      <c r="K1"/>
      <c r="L1"/>
      <c r="M1"/>
      <c r="N1" s="198"/>
    </row>
    <row r="2" spans="1:17" ht="3.75" customHeight="1">
      <c r="N2" s="198"/>
    </row>
    <row r="3" spans="1:17" ht="68.25" customHeight="1">
      <c r="A3" s="640" t="s">
        <v>495</v>
      </c>
      <c r="B3" s="1349" t="s">
        <v>1439</v>
      </c>
      <c r="C3" s="1349" t="s">
        <v>486</v>
      </c>
      <c r="D3" s="1349" t="s">
        <v>1440</v>
      </c>
      <c r="E3" s="784" t="s">
        <v>1438</v>
      </c>
      <c r="F3" s="631" t="s">
        <v>486</v>
      </c>
      <c r="G3" s="784" t="s">
        <v>1441</v>
      </c>
      <c r="H3" s="640" t="s">
        <v>38</v>
      </c>
      <c r="I3" s="640" t="s">
        <v>732</v>
      </c>
      <c r="L3" s="149"/>
      <c r="M3" s="149"/>
      <c r="N3" s="149"/>
      <c r="P3" s="240"/>
    </row>
    <row r="4" spans="1:17" ht="20.25" hidden="1" customHeight="1">
      <c r="A4" s="641" t="s">
        <v>28</v>
      </c>
      <c r="B4" s="797">
        <v>1039738</v>
      </c>
      <c r="C4" s="438"/>
      <c r="D4" s="439">
        <f t="shared" ref="D4:D13" si="0">B4/H4</f>
        <v>0.11893161516201996</v>
      </c>
      <c r="E4" s="1154">
        <v>620869</v>
      </c>
      <c r="F4" s="438"/>
      <c r="G4" s="439">
        <f t="shared" ref="G4:G13" si="1">E4/H4</f>
        <v>7.1018807597710357E-2</v>
      </c>
      <c r="H4" s="797">
        <f>+'I.1.1 Cobertura SDSS '!E4</f>
        <v>8742318</v>
      </c>
      <c r="I4" s="438"/>
      <c r="K4" s="149"/>
      <c r="L4" s="149"/>
      <c r="M4" s="149"/>
      <c r="N4" s="149"/>
    </row>
    <row r="5" spans="1:17" ht="20.25" hidden="1" customHeight="1">
      <c r="A5" s="641" t="s">
        <v>29</v>
      </c>
      <c r="B5" s="797">
        <v>1254915</v>
      </c>
      <c r="C5" s="439">
        <f>B5/B4-1</f>
        <v>0.20695309779963789</v>
      </c>
      <c r="D5" s="439">
        <f t="shared" si="0"/>
        <v>0.14171782217240242</v>
      </c>
      <c r="E5" s="1154">
        <v>658303</v>
      </c>
      <c r="F5" s="439">
        <f>E5/E4-1</f>
        <v>6.0292912031362444E-2</v>
      </c>
      <c r="G5" s="439">
        <f t="shared" si="1"/>
        <v>7.4342300067780712E-2</v>
      </c>
      <c r="H5" s="797">
        <f>+'I.1.1 Cobertura SDSS '!E5</f>
        <v>8855026</v>
      </c>
      <c r="I5" s="440">
        <f t="shared" ref="I5:I12" si="2">(H5-H4)/H4*100</f>
        <v>1.2892232929527385</v>
      </c>
      <c r="K5" s="149"/>
      <c r="L5" s="149"/>
      <c r="M5" s="149"/>
      <c r="N5" s="149"/>
      <c r="P5" s="241"/>
    </row>
    <row r="6" spans="1:17" ht="20.25" customHeight="1">
      <c r="A6" s="641" t="s">
        <v>30</v>
      </c>
      <c r="B6" s="797">
        <v>1687712</v>
      </c>
      <c r="C6" s="439">
        <f t="shared" ref="C6:C12" si="3">B6/B5-1</f>
        <v>0.34488152584039566</v>
      </c>
      <c r="D6" s="439">
        <f t="shared" si="0"/>
        <v>0.18818966332387169</v>
      </c>
      <c r="E6" s="1154">
        <v>893146</v>
      </c>
      <c r="F6" s="439">
        <f t="shared" ref="F6:F12" si="4">E6/E5-1</f>
        <v>0.35673998143711949</v>
      </c>
      <c r="G6" s="439">
        <f t="shared" si="1"/>
        <v>9.9590952152418602E-2</v>
      </c>
      <c r="H6" s="797">
        <f>+'I.1.1 Cobertura SDSS '!E6</f>
        <v>8968144</v>
      </c>
      <c r="I6" s="440">
        <f t="shared" si="2"/>
        <v>1.2774440187979119</v>
      </c>
      <c r="K6" s="149"/>
      <c r="L6" s="149"/>
      <c r="M6" s="149"/>
      <c r="N6" s="149"/>
      <c r="O6" s="149"/>
      <c r="P6" s="151"/>
      <c r="Q6" s="151"/>
    </row>
    <row r="7" spans="1:17" ht="20.25" customHeight="1">
      <c r="A7" s="641" t="s">
        <v>31</v>
      </c>
      <c r="B7" s="797">
        <v>2102527</v>
      </c>
      <c r="C7" s="439">
        <f t="shared" si="3"/>
        <v>0.24578541836521861</v>
      </c>
      <c r="D7" s="439">
        <f t="shared" si="0"/>
        <v>0.23175216273521579</v>
      </c>
      <c r="E7" s="1154">
        <v>1321912</v>
      </c>
      <c r="F7" s="439">
        <f t="shared" si="4"/>
        <v>0.48006261014436613</v>
      </c>
      <c r="G7" s="439">
        <f t="shared" si="1"/>
        <v>0.14570845698801232</v>
      </c>
      <c r="H7" s="797">
        <f>+'I.1.1 Cobertura SDSS '!E7</f>
        <v>9072308</v>
      </c>
      <c r="I7" s="440">
        <f t="shared" si="2"/>
        <v>1.1614889323811037</v>
      </c>
      <c r="K7" s="149"/>
      <c r="L7" s="149"/>
      <c r="M7" s="101"/>
      <c r="N7" s="149"/>
      <c r="O7" s="149"/>
      <c r="P7" s="151"/>
      <c r="Q7" s="151"/>
    </row>
    <row r="8" spans="1:17" ht="20.25" customHeight="1">
      <c r="A8" s="641" t="s">
        <v>32</v>
      </c>
      <c r="B8" s="797">
        <v>2449608</v>
      </c>
      <c r="C8" s="439">
        <f t="shared" si="3"/>
        <v>0.16507802277925565</v>
      </c>
      <c r="D8" s="439">
        <f t="shared" si="0"/>
        <v>0.26697953683081632</v>
      </c>
      <c r="E8" s="1154">
        <v>2681403</v>
      </c>
      <c r="F8" s="439">
        <f t="shared" si="4"/>
        <v>1.0284277622111002</v>
      </c>
      <c r="G8" s="439">
        <f t="shared" si="1"/>
        <v>0.29224256738088766</v>
      </c>
      <c r="H8" s="797">
        <f>+'I.1.1 Cobertura SDSS '!E8</f>
        <v>9175265</v>
      </c>
      <c r="I8" s="440">
        <f t="shared" si="2"/>
        <v>1.1348490373122253</v>
      </c>
      <c r="K8" s="149"/>
      <c r="L8" s="149"/>
      <c r="M8" s="149"/>
      <c r="N8" s="149"/>
      <c r="O8" s="149"/>
      <c r="P8" s="151"/>
      <c r="Q8" s="151"/>
    </row>
    <row r="9" spans="1:17" ht="20.25" customHeight="1">
      <c r="A9" s="641" t="s">
        <v>33</v>
      </c>
      <c r="B9" s="797">
        <v>2934940</v>
      </c>
      <c r="C9" s="439">
        <f t="shared" si="3"/>
        <v>0.19812639410060706</v>
      </c>
      <c r="D9" s="439">
        <f t="shared" si="0"/>
        <v>0.31636118773580035</v>
      </c>
      <c r="E9" s="1154">
        <v>2954314</v>
      </c>
      <c r="F9" s="439">
        <f t="shared" si="4"/>
        <v>0.10177918052601576</v>
      </c>
      <c r="G9" s="439">
        <f t="shared" si="1"/>
        <v>0.31844953763433093</v>
      </c>
      <c r="H9" s="797">
        <f>+'I.1.1 Cobertura SDSS '!E9</f>
        <v>9277181</v>
      </c>
      <c r="I9" s="440">
        <f t="shared" si="2"/>
        <v>1.1107690077616286</v>
      </c>
      <c r="K9" s="149"/>
      <c r="L9" s="149"/>
      <c r="M9" s="101"/>
      <c r="N9" s="149"/>
      <c r="O9" s="149"/>
      <c r="P9" s="151"/>
      <c r="Q9" s="151"/>
    </row>
    <row r="10" spans="1:17" ht="20.25" customHeight="1">
      <c r="A10" s="641" t="s">
        <v>34</v>
      </c>
      <c r="B10" s="1152">
        <v>3521433</v>
      </c>
      <c r="C10" s="439">
        <f t="shared" si="3"/>
        <v>0.19983134237837907</v>
      </c>
      <c r="D10" s="439">
        <f t="shared" si="0"/>
        <v>0.3754811426828833</v>
      </c>
      <c r="E10" s="1154">
        <v>3460773</v>
      </c>
      <c r="F10" s="439">
        <f t="shared" si="4"/>
        <v>0.17143032189537055</v>
      </c>
      <c r="G10" s="439">
        <f t="shared" si="1"/>
        <v>0.36901312636249789</v>
      </c>
      <c r="H10" s="797">
        <f>+'I.1.1 Cobertura SDSS '!E10</f>
        <v>9378455</v>
      </c>
      <c r="I10" s="440">
        <f t="shared" si="2"/>
        <v>1.0916462662526474</v>
      </c>
      <c r="K10" s="149"/>
      <c r="L10" s="149"/>
      <c r="M10" s="149"/>
      <c r="N10" s="149"/>
      <c r="O10" s="149"/>
      <c r="P10" s="151"/>
      <c r="Q10" s="151"/>
    </row>
    <row r="11" spans="1:17" ht="20.25" customHeight="1">
      <c r="A11" s="641" t="s">
        <v>359</v>
      </c>
      <c r="B11" s="1153">
        <v>4414548</v>
      </c>
      <c r="C11" s="802">
        <f t="shared" si="3"/>
        <v>0.25362260193506447</v>
      </c>
      <c r="D11" s="802">
        <f t="shared" si="0"/>
        <v>0.46573781055707314</v>
      </c>
      <c r="E11" s="1154">
        <v>4293002</v>
      </c>
      <c r="F11" s="439">
        <f t="shared" si="4"/>
        <v>0.24047488812470519</v>
      </c>
      <c r="G11" s="439">
        <f t="shared" si="1"/>
        <v>0.45291462505269758</v>
      </c>
      <c r="H11" s="797">
        <f>+'I.1.1 Cobertura SDSS '!E11</f>
        <v>9478612</v>
      </c>
      <c r="I11" s="440">
        <f t="shared" si="2"/>
        <v>1.0679477589858883</v>
      </c>
      <c r="K11" s="149"/>
      <c r="L11" s="149"/>
      <c r="M11" s="149"/>
      <c r="N11" s="149"/>
      <c r="O11" s="149"/>
      <c r="P11" s="228"/>
      <c r="Q11" s="78"/>
    </row>
    <row r="12" spans="1:17" ht="20.25" customHeight="1">
      <c r="A12" s="641" t="s">
        <v>477</v>
      </c>
      <c r="B12" s="1153">
        <v>4564572</v>
      </c>
      <c r="C12" s="802">
        <f t="shared" si="3"/>
        <v>3.3984000173970186E-2</v>
      </c>
      <c r="D12" s="802">
        <f t="shared" si="0"/>
        <v>0.47646973903815903</v>
      </c>
      <c r="E12" s="1155">
        <v>4612926</v>
      </c>
      <c r="F12" s="498">
        <f t="shared" si="4"/>
        <v>7.4522210797945077E-2</v>
      </c>
      <c r="G12" s="496">
        <f t="shared" si="1"/>
        <v>0.48151713839158172</v>
      </c>
      <c r="H12" s="797">
        <f>+'I.1.1 Cobertura SDSS '!E12</f>
        <v>9579983</v>
      </c>
      <c r="I12" s="497">
        <f t="shared" si="2"/>
        <v>1.0694709309759698</v>
      </c>
      <c r="K12" s="149"/>
      <c r="L12" s="149"/>
      <c r="M12" s="149"/>
      <c r="N12" s="149"/>
      <c r="O12" s="149"/>
      <c r="P12" s="151"/>
      <c r="Q12" s="151"/>
    </row>
    <row r="13" spans="1:17" ht="20.25" customHeight="1">
      <c r="A13" s="641" t="s">
        <v>1057</v>
      </c>
      <c r="B13" s="1153">
        <f>+'I.1.4 Afil. SDSS Anual'!E13</f>
        <v>5054406</v>
      </c>
      <c r="C13" s="802">
        <f>B13/B12-1</f>
        <v>0.10731214229943142</v>
      </c>
      <c r="D13" s="802">
        <f t="shared" si="0"/>
        <v>0.52212057723261962</v>
      </c>
      <c r="E13" s="1721">
        <f>+'I.1.4 Afil. SDSS Anual'!L13</f>
        <v>5072975</v>
      </c>
      <c r="F13" s="1722">
        <f>E13/E12-1</f>
        <v>9.9730409722592617E-2</v>
      </c>
      <c r="G13" s="802">
        <f t="shared" si="1"/>
        <v>0.52403875653967025</v>
      </c>
      <c r="H13" s="797">
        <f>+'I.1.1 Cobertura SDSS '!E13</f>
        <v>9680534</v>
      </c>
      <c r="I13" s="1261">
        <f>(H13-H12)/H12*100</f>
        <v>1.0495947644165966</v>
      </c>
      <c r="K13" s="149"/>
      <c r="L13" s="149"/>
      <c r="M13" s="149"/>
      <c r="N13" s="149"/>
      <c r="O13" s="149"/>
      <c r="P13" s="151"/>
      <c r="Q13" s="151"/>
    </row>
    <row r="14" spans="1:17" ht="20.25" customHeight="1">
      <c r="A14" s="641" t="s">
        <v>1640</v>
      </c>
      <c r="B14" s="1153">
        <f>+'I.1.4 Afil. SDSS Anual'!E14</f>
        <v>5638332</v>
      </c>
      <c r="C14" s="802">
        <f>B14/B13-1</f>
        <v>0.11552811546994834</v>
      </c>
      <c r="D14" s="802">
        <f>B14/H14</f>
        <v>0.57647276899106747</v>
      </c>
      <c r="E14" s="1721">
        <f>+'I.1.4 Afil. SDSS Anual'!L14</f>
        <v>5641442</v>
      </c>
      <c r="F14" s="1722">
        <f>E14/E13-1</f>
        <v>0.1120579147344507</v>
      </c>
      <c r="G14" s="802">
        <f>E14/H14</f>
        <v>0.57679074074433812</v>
      </c>
      <c r="H14" s="797">
        <f>+'I.1.1 Cobertura SDSS '!E14</f>
        <v>9780743</v>
      </c>
      <c r="I14" s="1261">
        <f>(H14-H13)/H13*100</f>
        <v>1.0351598372569115</v>
      </c>
      <c r="K14" s="2128"/>
      <c r="L14" s="149"/>
      <c r="M14" s="149"/>
      <c r="N14" s="149"/>
      <c r="O14" s="149"/>
      <c r="P14" s="151"/>
      <c r="Q14" s="151"/>
    </row>
    <row r="15" spans="1:17" ht="20.25" customHeight="1">
      <c r="A15" s="948" t="str">
        <f>+'I.1.2 Cobertura SDSS'!A15</f>
        <v>Dic. 2014</v>
      </c>
      <c r="B15" s="1153">
        <f>+'I.1.4 Afil. SDSS Anual'!E15</f>
        <v>6187615</v>
      </c>
      <c r="C15" s="802"/>
      <c r="D15" s="802">
        <f>B15/H15</f>
        <v>0.6262448123856017</v>
      </c>
      <c r="E15" s="1721">
        <f>+'I.1.4 Afil. SDSS Anual'!L15</f>
        <v>6271063</v>
      </c>
      <c r="F15" s="1722"/>
      <c r="G15" s="802">
        <f>E15/H15</f>
        <v>0.63469053454251578</v>
      </c>
      <c r="H15" s="797">
        <f>+'I.1.1 Cobertura SDSS '!E15</f>
        <v>9880505</v>
      </c>
      <c r="I15" s="1261"/>
      <c r="K15" s="2128"/>
      <c r="L15" s="149"/>
      <c r="M15" s="149"/>
      <c r="N15" s="149"/>
      <c r="O15" s="149"/>
      <c r="P15" s="151"/>
      <c r="Q15" s="151"/>
    </row>
    <row r="16" spans="1:17" ht="25.5" customHeight="1">
      <c r="A16" s="2222" t="s">
        <v>35</v>
      </c>
      <c r="B16" s="2223"/>
      <c r="C16" s="2224"/>
      <c r="D16" s="638"/>
      <c r="E16" s="1352"/>
      <c r="F16" s="1353">
        <f>AVERAGE(F4:F15)</f>
        <v>0.27255181916250287</v>
      </c>
      <c r="G16" s="638"/>
      <c r="H16" s="1354"/>
      <c r="I16" s="667">
        <f>AVERAGE(I4:I15)</f>
        <v>1.128759384709362</v>
      </c>
      <c r="J16" s="83"/>
      <c r="K16" s="149"/>
      <c r="L16" s="149"/>
      <c r="M16" s="149"/>
      <c r="N16" s="149"/>
      <c r="O16" s="149"/>
      <c r="P16" s="151"/>
      <c r="Q16" s="151"/>
    </row>
    <row r="17" spans="1:16" ht="22.5" customHeight="1">
      <c r="A17" s="2225" t="s">
        <v>1443</v>
      </c>
      <c r="B17" s="2225"/>
      <c r="C17" s="2225"/>
      <c r="D17" s="2225"/>
      <c r="E17" s="2225"/>
      <c r="F17" s="2225"/>
      <c r="G17" s="2225"/>
      <c r="H17" s="2225"/>
      <c r="I17" s="2225"/>
      <c r="J17" s="151"/>
      <c r="K17" s="151"/>
      <c r="L17" s="151"/>
      <c r="M17" s="151"/>
      <c r="N17" s="151"/>
      <c r="O17" s="151"/>
      <c r="P17" s="151"/>
    </row>
    <row r="18" spans="1:16" ht="20.25" customHeight="1">
      <c r="A18" s="65"/>
      <c r="B18" s="151"/>
      <c r="C18" s="151"/>
      <c r="D18" s="151"/>
      <c r="E18" s="151"/>
      <c r="F18" s="151"/>
      <c r="G18" s="151"/>
      <c r="H18" s="151"/>
      <c r="I18" s="151"/>
      <c r="J18" s="151"/>
      <c r="K18" s="151"/>
      <c r="L18" s="151"/>
      <c r="M18" s="151"/>
      <c r="N18" s="151"/>
      <c r="O18" s="151"/>
      <c r="P18" s="151"/>
    </row>
    <row r="19" spans="1:16" ht="20.25" customHeight="1">
      <c r="A19" s="781"/>
      <c r="B19" s="20"/>
      <c r="C19" s="20"/>
      <c r="D19" s="151"/>
      <c r="E19" s="151"/>
      <c r="F19" s="151"/>
      <c r="G19" s="151"/>
      <c r="H19" s="151"/>
      <c r="I19" s="151"/>
      <c r="J19" s="151"/>
      <c r="K19" s="151"/>
      <c r="L19" s="151"/>
      <c r="M19" s="151"/>
      <c r="N19" s="151"/>
      <c r="O19" s="151"/>
      <c r="P19" s="151"/>
    </row>
    <row r="21" spans="1:16" ht="20.25" customHeight="1">
      <c r="L21" s="1930"/>
    </row>
    <row r="45" spans="15:25" ht="20.25" customHeight="1" thickBot="1">
      <c r="O45" s="78"/>
    </row>
    <row r="46" spans="15:25" ht="27.75" customHeight="1">
      <c r="O46" s="2217"/>
      <c r="P46" s="2217"/>
      <c r="Q46" s="2217"/>
      <c r="R46" s="2217"/>
      <c r="S46" s="2217"/>
      <c r="T46" s="2217"/>
      <c r="U46" s="2217"/>
      <c r="V46" s="2217"/>
      <c r="W46" s="2217"/>
      <c r="X46" s="2217"/>
      <c r="Y46" s="2217"/>
    </row>
    <row r="47" spans="15:25" ht="24" customHeight="1">
      <c r="O47" s="2218"/>
      <c r="P47" s="2218"/>
      <c r="Q47" s="2218"/>
      <c r="R47" s="2218"/>
      <c r="S47" s="2218"/>
      <c r="T47" s="2218"/>
      <c r="U47" s="2218"/>
      <c r="V47" s="2218"/>
      <c r="W47" s="2218"/>
      <c r="X47" s="2218"/>
      <c r="Y47" s="2218"/>
    </row>
    <row r="48" spans="15:25" ht="80.25" customHeight="1"/>
    <row r="49" spans="1:13" ht="25.5" customHeight="1"/>
    <row r="50" spans="1:13" ht="25.5" customHeight="1"/>
    <row r="51" spans="1:13" ht="25.5" customHeight="1"/>
    <row r="52" spans="1:13" ht="27.75" customHeight="1">
      <c r="A52" s="2214"/>
      <c r="B52" s="2214"/>
      <c r="C52" s="2214"/>
      <c r="D52" s="2214"/>
      <c r="E52" s="2214"/>
      <c r="F52" s="2214"/>
      <c r="G52" s="2214"/>
      <c r="H52" s="2214"/>
      <c r="I52" s="2214"/>
      <c r="J52" s="2214"/>
      <c r="K52" s="358"/>
      <c r="L52" s="358"/>
      <c r="M52" s="358"/>
    </row>
    <row r="53" spans="1:13" ht="24" customHeight="1">
      <c r="A53" s="2214"/>
      <c r="B53" s="2214"/>
      <c r="C53" s="2214"/>
      <c r="D53" s="2214"/>
      <c r="E53" s="2214"/>
      <c r="F53" s="2214"/>
      <c r="G53" s="2214"/>
      <c r="H53" s="2214"/>
      <c r="I53" s="2214"/>
      <c r="J53" s="2214"/>
      <c r="K53" s="358"/>
      <c r="L53" s="358"/>
      <c r="M53" s="358"/>
    </row>
    <row r="54" spans="1:13" ht="24" customHeight="1"/>
    <row r="55" spans="1:13" ht="26.25" customHeight="1"/>
  </sheetData>
  <mergeCells count="5">
    <mergeCell ref="O46:Y47"/>
    <mergeCell ref="A52:J53"/>
    <mergeCell ref="A1:J1"/>
    <mergeCell ref="A16:C16"/>
    <mergeCell ref="A17:I17"/>
  </mergeCells>
  <printOptions horizontalCentered="1" verticalCentered="1"/>
  <pageMargins left="0.39370078740157483" right="0.39370078740157483" top="0.39370078740157483" bottom="0.23622047244094491" header="0.23622047244094491" footer="0.31496062992125984"/>
  <pageSetup scale="51"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1"/>
  <sheetViews>
    <sheetView showGridLines="0" view="pageBreakPreview" zoomScale="85" zoomScaleNormal="100" zoomScaleSheetLayoutView="85" workbookViewId="0">
      <selection activeCell="F6" sqref="F6"/>
    </sheetView>
  </sheetViews>
  <sheetFormatPr baseColWidth="10" defaultColWidth="11.42578125" defaultRowHeight="15"/>
  <cols>
    <col min="1" max="1" width="27.28515625" style="519" customWidth="1"/>
    <col min="2" max="2" width="19.28515625" style="519" customWidth="1"/>
    <col min="3" max="3" width="12.85546875" style="519" customWidth="1"/>
    <col min="4" max="4" width="14" style="519" customWidth="1"/>
    <col min="5" max="5" width="18.85546875" style="519" bestFit="1" customWidth="1"/>
    <col min="6" max="6" width="20" style="519" customWidth="1"/>
    <col min="7" max="7" width="28.140625" style="519" customWidth="1"/>
    <col min="8" max="8" width="23.42578125" style="519" customWidth="1"/>
    <col min="9" max="9" width="5.7109375" style="519" customWidth="1"/>
    <col min="10" max="16384" width="11.42578125" style="519"/>
  </cols>
  <sheetData>
    <row r="1" spans="1:10" ht="60" customHeight="1">
      <c r="A1" s="2492" t="s">
        <v>1897</v>
      </c>
      <c r="B1" s="2493"/>
      <c r="C1" s="2493"/>
      <c r="D1" s="2493"/>
      <c r="E1" s="2493"/>
      <c r="F1" s="2493"/>
      <c r="G1" s="2493"/>
      <c r="H1" s="2493"/>
      <c r="I1" s="2493"/>
      <c r="J1" s="518"/>
    </row>
    <row r="2" spans="1:10" ht="3" customHeight="1">
      <c r="A2" s="2494"/>
      <c r="B2" s="2494"/>
      <c r="C2" s="2494"/>
    </row>
    <row r="3" spans="1:10" ht="15.75">
      <c r="A3" s="1189" t="s">
        <v>947</v>
      </c>
      <c r="B3" s="1189" t="s">
        <v>948</v>
      </c>
      <c r="C3" s="1189" t="s">
        <v>48</v>
      </c>
    </row>
    <row r="4" spans="1:10">
      <c r="A4" s="1612" t="s">
        <v>949</v>
      </c>
      <c r="B4" s="2093">
        <v>49871269884.68</v>
      </c>
      <c r="C4" s="520">
        <f>B4/$B$13</f>
        <v>0.18532490108990349</v>
      </c>
      <c r="E4" s="2095"/>
    </row>
    <row r="5" spans="1:10">
      <c r="A5" s="1612" t="s">
        <v>1010</v>
      </c>
      <c r="B5" s="2093">
        <v>18284203971.57</v>
      </c>
      <c r="C5" s="520">
        <f t="shared" ref="C5:C12" si="0">B5/$B$13</f>
        <v>6.7945297971643434E-2</v>
      </c>
      <c r="E5" s="2095"/>
    </row>
    <row r="6" spans="1:10">
      <c r="A6" s="1612" t="s">
        <v>1012</v>
      </c>
      <c r="B6" s="2093">
        <v>880963223.45000005</v>
      </c>
      <c r="C6" s="520">
        <f t="shared" si="0"/>
        <v>3.2737169642409114E-3</v>
      </c>
      <c r="E6" s="2095"/>
    </row>
    <row r="7" spans="1:10">
      <c r="A7" s="1612" t="s">
        <v>1011</v>
      </c>
      <c r="B7" s="2094">
        <v>111114918785.67999</v>
      </c>
      <c r="C7" s="520">
        <f>B7/$B$13</f>
        <v>0.41291030649882426</v>
      </c>
      <c r="E7" s="1568"/>
      <c r="F7" s="1568"/>
    </row>
    <row r="8" spans="1:10">
      <c r="A8" s="1612" t="s">
        <v>962</v>
      </c>
      <c r="B8" s="2093">
        <v>70150345426.300003</v>
      </c>
      <c r="C8" s="520">
        <f t="shared" si="0"/>
        <v>0.26068327230514893</v>
      </c>
      <c r="E8" s="2095"/>
    </row>
    <row r="9" spans="1:10">
      <c r="A9" s="1612" t="s">
        <v>1698</v>
      </c>
      <c r="B9" s="2093">
        <v>11014198556.240002</v>
      </c>
      <c r="C9" s="520">
        <f t="shared" si="0"/>
        <v>4.092948229992386E-2</v>
      </c>
      <c r="E9" s="1568"/>
    </row>
    <row r="10" spans="1:10">
      <c r="A10" s="1612" t="s">
        <v>950</v>
      </c>
      <c r="B10" s="2093">
        <v>5952997864.9799995</v>
      </c>
      <c r="C10" s="520">
        <f t="shared" si="0"/>
        <v>2.2121729466021273E-2</v>
      </c>
      <c r="E10" s="2095"/>
    </row>
    <row r="11" spans="1:10">
      <c r="A11" s="1612" t="s">
        <v>951</v>
      </c>
      <c r="B11" s="2093">
        <v>351991817</v>
      </c>
      <c r="C11" s="520">
        <f t="shared" si="0"/>
        <v>1.3080246165943197E-3</v>
      </c>
      <c r="E11" s="2095"/>
    </row>
    <row r="12" spans="1:10">
      <c r="A12" s="1612" t="s">
        <v>952</v>
      </c>
      <c r="B12" s="2093">
        <v>1480939697.2600098</v>
      </c>
      <c r="C12" s="520">
        <f t="shared" si="0"/>
        <v>5.5032687868077123E-3</v>
      </c>
      <c r="E12" s="2095"/>
    </row>
    <row r="13" spans="1:10">
      <c r="A13" s="1190" t="s">
        <v>953</v>
      </c>
      <c r="B13" s="1561">
        <f>SUM(B4:B12)+0.24</f>
        <v>269101829227.39999</v>
      </c>
      <c r="C13" s="1191">
        <f>SUM(C4:C12)</f>
        <v>0.99999999999910816</v>
      </c>
    </row>
    <row r="14" spans="1:10">
      <c r="A14" s="1961" t="s">
        <v>1896</v>
      </c>
      <c r="B14" s="521"/>
    </row>
    <row r="15" spans="1:10">
      <c r="B15" s="521"/>
    </row>
    <row r="16" spans="1:10">
      <c r="B16" s="521"/>
    </row>
    <row r="17" spans="2:2">
      <c r="B17" s="521"/>
    </row>
    <row r="18" spans="2:2">
      <c r="B18" s="521"/>
    </row>
    <row r="19" spans="2:2">
      <c r="B19" s="521"/>
    </row>
    <row r="20" spans="2:2">
      <c r="B20" s="521"/>
    </row>
    <row r="21" spans="2:2">
      <c r="B21" s="521"/>
    </row>
    <row r="22" spans="2:2">
      <c r="B22" s="521"/>
    </row>
    <row r="23" spans="2:2">
      <c r="B23" s="521"/>
    </row>
    <row r="24" spans="2:2">
      <c r="B24" s="521"/>
    </row>
    <row r="25" spans="2:2">
      <c r="B25" s="521"/>
    </row>
    <row r="26" spans="2:2">
      <c r="B26" s="521"/>
    </row>
    <row r="27" spans="2:2">
      <c r="B27" s="521"/>
    </row>
    <row r="28" spans="2:2">
      <c r="B28" s="521"/>
    </row>
    <row r="29" spans="2:2">
      <c r="B29" s="521"/>
    </row>
    <row r="30" spans="2:2">
      <c r="B30" s="521"/>
    </row>
    <row r="31" spans="2:2">
      <c r="B31" s="521"/>
    </row>
  </sheetData>
  <mergeCells count="2">
    <mergeCell ref="A1:I1"/>
    <mergeCell ref="A2:C2"/>
  </mergeCells>
  <pageMargins left="0.7" right="0.7" top="0.75" bottom="0.75" header="0.3" footer="0.3"/>
  <pageSetup scale="6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102"/>
  <sheetViews>
    <sheetView showGridLines="0" view="pageBreakPreview" topLeftCell="A64" zoomScale="85" zoomScaleNormal="100" zoomScaleSheetLayoutView="85" workbookViewId="0">
      <selection activeCell="C9" sqref="C9 C12 C17 C49 C61 C71 C75 C88 C84"/>
    </sheetView>
  </sheetViews>
  <sheetFormatPr baseColWidth="10" defaultRowHeight="12.75"/>
  <cols>
    <col min="1" max="1" width="59" style="1640" customWidth="1"/>
    <col min="2" max="2" width="14.42578125" style="1640" customWidth="1"/>
    <col min="3" max="3" width="24.140625" style="1642" customWidth="1"/>
    <col min="4" max="4" width="15" style="1642" customWidth="1"/>
    <col min="5" max="5" width="11.5703125" style="1640" customWidth="1"/>
    <col min="6" max="6" width="17.85546875" style="1640" customWidth="1"/>
    <col min="7" max="7" width="18.85546875" style="1640" bestFit="1" customWidth="1"/>
    <col min="8" max="8" width="13.7109375" style="1640" bestFit="1" customWidth="1"/>
    <col min="9" max="256" width="11.42578125" style="1640"/>
    <col min="257" max="257" width="59" style="1640" customWidth="1"/>
    <col min="258" max="258" width="14.42578125" style="1640" customWidth="1"/>
    <col min="259" max="259" width="24.140625" style="1640" customWidth="1"/>
    <col min="260" max="260" width="15" style="1640" customWidth="1"/>
    <col min="261" max="261" width="11.5703125" style="1640" customWidth="1"/>
    <col min="262" max="262" width="17.85546875" style="1640" customWidth="1"/>
    <col min="263" max="263" width="18.85546875" style="1640" bestFit="1" customWidth="1"/>
    <col min="264" max="264" width="13.7109375" style="1640" bestFit="1" customWidth="1"/>
    <col min="265" max="512" width="11.42578125" style="1640"/>
    <col min="513" max="513" width="59" style="1640" customWidth="1"/>
    <col min="514" max="514" width="14.42578125" style="1640" customWidth="1"/>
    <col min="515" max="515" width="24.140625" style="1640" customWidth="1"/>
    <col min="516" max="516" width="15" style="1640" customWidth="1"/>
    <col min="517" max="517" width="11.5703125" style="1640" customWidth="1"/>
    <col min="518" max="518" width="17.85546875" style="1640" customWidth="1"/>
    <col min="519" max="519" width="18.85546875" style="1640" bestFit="1" customWidth="1"/>
    <col min="520" max="520" width="13.7109375" style="1640" bestFit="1" customWidth="1"/>
    <col min="521" max="768" width="11.42578125" style="1640"/>
    <col min="769" max="769" width="59" style="1640" customWidth="1"/>
    <col min="770" max="770" width="14.42578125" style="1640" customWidth="1"/>
    <col min="771" max="771" width="24.140625" style="1640" customWidth="1"/>
    <col min="772" max="772" width="15" style="1640" customWidth="1"/>
    <col min="773" max="773" width="11.5703125" style="1640" customWidth="1"/>
    <col min="774" max="774" width="17.85546875" style="1640" customWidth="1"/>
    <col min="775" max="775" width="18.85546875" style="1640" bestFit="1" customWidth="1"/>
    <col min="776" max="776" width="13.7109375" style="1640" bestFit="1" customWidth="1"/>
    <col min="777" max="1024" width="11.42578125" style="1640"/>
    <col min="1025" max="1025" width="59" style="1640" customWidth="1"/>
    <col min="1026" max="1026" width="14.42578125" style="1640" customWidth="1"/>
    <col min="1027" max="1027" width="24.140625" style="1640" customWidth="1"/>
    <col min="1028" max="1028" width="15" style="1640" customWidth="1"/>
    <col min="1029" max="1029" width="11.5703125" style="1640" customWidth="1"/>
    <col min="1030" max="1030" width="17.85546875" style="1640" customWidth="1"/>
    <col min="1031" max="1031" width="18.85546875" style="1640" bestFit="1" customWidth="1"/>
    <col min="1032" max="1032" width="13.7109375" style="1640" bestFit="1" customWidth="1"/>
    <col min="1033" max="1280" width="11.42578125" style="1640"/>
    <col min="1281" max="1281" width="59" style="1640" customWidth="1"/>
    <col min="1282" max="1282" width="14.42578125" style="1640" customWidth="1"/>
    <col min="1283" max="1283" width="24.140625" style="1640" customWidth="1"/>
    <col min="1284" max="1284" width="15" style="1640" customWidth="1"/>
    <col min="1285" max="1285" width="11.5703125" style="1640" customWidth="1"/>
    <col min="1286" max="1286" width="17.85546875" style="1640" customWidth="1"/>
    <col min="1287" max="1287" width="18.85546875" style="1640" bestFit="1" customWidth="1"/>
    <col min="1288" max="1288" width="13.7109375" style="1640" bestFit="1" customWidth="1"/>
    <col min="1289" max="1536" width="11.42578125" style="1640"/>
    <col min="1537" max="1537" width="59" style="1640" customWidth="1"/>
    <col min="1538" max="1538" width="14.42578125" style="1640" customWidth="1"/>
    <col min="1539" max="1539" width="24.140625" style="1640" customWidth="1"/>
    <col min="1540" max="1540" width="15" style="1640" customWidth="1"/>
    <col min="1541" max="1541" width="11.5703125" style="1640" customWidth="1"/>
    <col min="1542" max="1542" width="17.85546875" style="1640" customWidth="1"/>
    <col min="1543" max="1543" width="18.85546875" style="1640" bestFit="1" customWidth="1"/>
    <col min="1544" max="1544" width="13.7109375" style="1640" bestFit="1" customWidth="1"/>
    <col min="1545" max="1792" width="11.42578125" style="1640"/>
    <col min="1793" max="1793" width="59" style="1640" customWidth="1"/>
    <col min="1794" max="1794" width="14.42578125" style="1640" customWidth="1"/>
    <col min="1795" max="1795" width="24.140625" style="1640" customWidth="1"/>
    <col min="1796" max="1796" width="15" style="1640" customWidth="1"/>
    <col min="1797" max="1797" width="11.5703125" style="1640" customWidth="1"/>
    <col min="1798" max="1798" width="17.85546875" style="1640" customWidth="1"/>
    <col min="1799" max="1799" width="18.85546875" style="1640" bestFit="1" customWidth="1"/>
    <col min="1800" max="1800" width="13.7109375" style="1640" bestFit="1" customWidth="1"/>
    <col min="1801" max="2048" width="11.42578125" style="1640"/>
    <col min="2049" max="2049" width="59" style="1640" customWidth="1"/>
    <col min="2050" max="2050" width="14.42578125" style="1640" customWidth="1"/>
    <col min="2051" max="2051" width="24.140625" style="1640" customWidth="1"/>
    <col min="2052" max="2052" width="15" style="1640" customWidth="1"/>
    <col min="2053" max="2053" width="11.5703125" style="1640" customWidth="1"/>
    <col min="2054" max="2054" width="17.85546875" style="1640" customWidth="1"/>
    <col min="2055" max="2055" width="18.85546875" style="1640" bestFit="1" customWidth="1"/>
    <col min="2056" max="2056" width="13.7109375" style="1640" bestFit="1" customWidth="1"/>
    <col min="2057" max="2304" width="11.42578125" style="1640"/>
    <col min="2305" max="2305" width="59" style="1640" customWidth="1"/>
    <col min="2306" max="2306" width="14.42578125" style="1640" customWidth="1"/>
    <col min="2307" max="2307" width="24.140625" style="1640" customWidth="1"/>
    <col min="2308" max="2308" width="15" style="1640" customWidth="1"/>
    <col min="2309" max="2309" width="11.5703125" style="1640" customWidth="1"/>
    <col min="2310" max="2310" width="17.85546875" style="1640" customWidth="1"/>
    <col min="2311" max="2311" width="18.85546875" style="1640" bestFit="1" customWidth="1"/>
    <col min="2312" max="2312" width="13.7109375" style="1640" bestFit="1" customWidth="1"/>
    <col min="2313" max="2560" width="11.42578125" style="1640"/>
    <col min="2561" max="2561" width="59" style="1640" customWidth="1"/>
    <col min="2562" max="2562" width="14.42578125" style="1640" customWidth="1"/>
    <col min="2563" max="2563" width="24.140625" style="1640" customWidth="1"/>
    <col min="2564" max="2564" width="15" style="1640" customWidth="1"/>
    <col min="2565" max="2565" width="11.5703125" style="1640" customWidth="1"/>
    <col min="2566" max="2566" width="17.85546875" style="1640" customWidth="1"/>
    <col min="2567" max="2567" width="18.85546875" style="1640" bestFit="1" customWidth="1"/>
    <col min="2568" max="2568" width="13.7109375" style="1640" bestFit="1" customWidth="1"/>
    <col min="2569" max="2816" width="11.42578125" style="1640"/>
    <col min="2817" max="2817" width="59" style="1640" customWidth="1"/>
    <col min="2818" max="2818" width="14.42578125" style="1640" customWidth="1"/>
    <col min="2819" max="2819" width="24.140625" style="1640" customWidth="1"/>
    <col min="2820" max="2820" width="15" style="1640" customWidth="1"/>
    <col min="2821" max="2821" width="11.5703125" style="1640" customWidth="1"/>
    <col min="2822" max="2822" width="17.85546875" style="1640" customWidth="1"/>
    <col min="2823" max="2823" width="18.85546875" style="1640" bestFit="1" customWidth="1"/>
    <col min="2824" max="2824" width="13.7109375" style="1640" bestFit="1" customWidth="1"/>
    <col min="2825" max="3072" width="11.42578125" style="1640"/>
    <col min="3073" max="3073" width="59" style="1640" customWidth="1"/>
    <col min="3074" max="3074" width="14.42578125" style="1640" customWidth="1"/>
    <col min="3075" max="3075" width="24.140625" style="1640" customWidth="1"/>
    <col min="3076" max="3076" width="15" style="1640" customWidth="1"/>
    <col min="3077" max="3077" width="11.5703125" style="1640" customWidth="1"/>
    <col min="3078" max="3078" width="17.85546875" style="1640" customWidth="1"/>
    <col min="3079" max="3079" width="18.85546875" style="1640" bestFit="1" customWidth="1"/>
    <col min="3080" max="3080" width="13.7109375" style="1640" bestFit="1" customWidth="1"/>
    <col min="3081" max="3328" width="11.42578125" style="1640"/>
    <col min="3329" max="3329" width="59" style="1640" customWidth="1"/>
    <col min="3330" max="3330" width="14.42578125" style="1640" customWidth="1"/>
    <col min="3331" max="3331" width="24.140625" style="1640" customWidth="1"/>
    <col min="3332" max="3332" width="15" style="1640" customWidth="1"/>
    <col min="3333" max="3333" width="11.5703125" style="1640" customWidth="1"/>
    <col min="3334" max="3334" width="17.85546875" style="1640" customWidth="1"/>
    <col min="3335" max="3335" width="18.85546875" style="1640" bestFit="1" customWidth="1"/>
    <col min="3336" max="3336" width="13.7109375" style="1640" bestFit="1" customWidth="1"/>
    <col min="3337" max="3584" width="11.42578125" style="1640"/>
    <col min="3585" max="3585" width="59" style="1640" customWidth="1"/>
    <col min="3586" max="3586" width="14.42578125" style="1640" customWidth="1"/>
    <col min="3587" max="3587" width="24.140625" style="1640" customWidth="1"/>
    <col min="3588" max="3588" width="15" style="1640" customWidth="1"/>
    <col min="3589" max="3589" width="11.5703125" style="1640" customWidth="1"/>
    <col min="3590" max="3590" width="17.85546875" style="1640" customWidth="1"/>
    <col min="3591" max="3591" width="18.85546875" style="1640" bestFit="1" customWidth="1"/>
    <col min="3592" max="3592" width="13.7109375" style="1640" bestFit="1" customWidth="1"/>
    <col min="3593" max="3840" width="11.42578125" style="1640"/>
    <col min="3841" max="3841" width="59" style="1640" customWidth="1"/>
    <col min="3842" max="3842" width="14.42578125" style="1640" customWidth="1"/>
    <col min="3843" max="3843" width="24.140625" style="1640" customWidth="1"/>
    <col min="3844" max="3844" width="15" style="1640" customWidth="1"/>
    <col min="3845" max="3845" width="11.5703125" style="1640" customWidth="1"/>
    <col min="3846" max="3846" width="17.85546875" style="1640" customWidth="1"/>
    <col min="3847" max="3847" width="18.85546875" style="1640" bestFit="1" customWidth="1"/>
    <col min="3848" max="3848" width="13.7109375" style="1640" bestFit="1" customWidth="1"/>
    <col min="3849" max="4096" width="11.42578125" style="1640"/>
    <col min="4097" max="4097" width="59" style="1640" customWidth="1"/>
    <col min="4098" max="4098" width="14.42578125" style="1640" customWidth="1"/>
    <col min="4099" max="4099" width="24.140625" style="1640" customWidth="1"/>
    <col min="4100" max="4100" width="15" style="1640" customWidth="1"/>
    <col min="4101" max="4101" width="11.5703125" style="1640" customWidth="1"/>
    <col min="4102" max="4102" width="17.85546875" style="1640" customWidth="1"/>
    <col min="4103" max="4103" width="18.85546875" style="1640" bestFit="1" customWidth="1"/>
    <col min="4104" max="4104" width="13.7109375" style="1640" bestFit="1" customWidth="1"/>
    <col min="4105" max="4352" width="11.42578125" style="1640"/>
    <col min="4353" max="4353" width="59" style="1640" customWidth="1"/>
    <col min="4354" max="4354" width="14.42578125" style="1640" customWidth="1"/>
    <col min="4355" max="4355" width="24.140625" style="1640" customWidth="1"/>
    <col min="4356" max="4356" width="15" style="1640" customWidth="1"/>
    <col min="4357" max="4357" width="11.5703125" style="1640" customWidth="1"/>
    <col min="4358" max="4358" width="17.85546875" style="1640" customWidth="1"/>
    <col min="4359" max="4359" width="18.85546875" style="1640" bestFit="1" customWidth="1"/>
    <col min="4360" max="4360" width="13.7109375" style="1640" bestFit="1" customWidth="1"/>
    <col min="4361" max="4608" width="11.42578125" style="1640"/>
    <col min="4609" max="4609" width="59" style="1640" customWidth="1"/>
    <col min="4610" max="4610" width="14.42578125" style="1640" customWidth="1"/>
    <col min="4611" max="4611" width="24.140625" style="1640" customWidth="1"/>
    <col min="4612" max="4612" width="15" style="1640" customWidth="1"/>
    <col min="4613" max="4613" width="11.5703125" style="1640" customWidth="1"/>
    <col min="4614" max="4614" width="17.85546875" style="1640" customWidth="1"/>
    <col min="4615" max="4615" width="18.85546875" style="1640" bestFit="1" customWidth="1"/>
    <col min="4616" max="4616" width="13.7109375" style="1640" bestFit="1" customWidth="1"/>
    <col min="4617" max="4864" width="11.42578125" style="1640"/>
    <col min="4865" max="4865" width="59" style="1640" customWidth="1"/>
    <col min="4866" max="4866" width="14.42578125" style="1640" customWidth="1"/>
    <col min="4867" max="4867" width="24.140625" style="1640" customWidth="1"/>
    <col min="4868" max="4868" width="15" style="1640" customWidth="1"/>
    <col min="4869" max="4869" width="11.5703125" style="1640" customWidth="1"/>
    <col min="4870" max="4870" width="17.85546875" style="1640" customWidth="1"/>
    <col min="4871" max="4871" width="18.85546875" style="1640" bestFit="1" customWidth="1"/>
    <col min="4872" max="4872" width="13.7109375" style="1640" bestFit="1" customWidth="1"/>
    <col min="4873" max="5120" width="11.42578125" style="1640"/>
    <col min="5121" max="5121" width="59" style="1640" customWidth="1"/>
    <col min="5122" max="5122" width="14.42578125" style="1640" customWidth="1"/>
    <col min="5123" max="5123" width="24.140625" style="1640" customWidth="1"/>
    <col min="5124" max="5124" width="15" style="1640" customWidth="1"/>
    <col min="5125" max="5125" width="11.5703125" style="1640" customWidth="1"/>
    <col min="5126" max="5126" width="17.85546875" style="1640" customWidth="1"/>
    <col min="5127" max="5127" width="18.85546875" style="1640" bestFit="1" customWidth="1"/>
    <col min="5128" max="5128" width="13.7109375" style="1640" bestFit="1" customWidth="1"/>
    <col min="5129" max="5376" width="11.42578125" style="1640"/>
    <col min="5377" max="5377" width="59" style="1640" customWidth="1"/>
    <col min="5378" max="5378" width="14.42578125" style="1640" customWidth="1"/>
    <col min="5379" max="5379" width="24.140625" style="1640" customWidth="1"/>
    <col min="5380" max="5380" width="15" style="1640" customWidth="1"/>
    <col min="5381" max="5381" width="11.5703125" style="1640" customWidth="1"/>
    <col min="5382" max="5382" width="17.85546875" style="1640" customWidth="1"/>
    <col min="5383" max="5383" width="18.85546875" style="1640" bestFit="1" customWidth="1"/>
    <col min="5384" max="5384" width="13.7109375" style="1640" bestFit="1" customWidth="1"/>
    <col min="5385" max="5632" width="11.42578125" style="1640"/>
    <col min="5633" max="5633" width="59" style="1640" customWidth="1"/>
    <col min="5634" max="5634" width="14.42578125" style="1640" customWidth="1"/>
    <col min="5635" max="5635" width="24.140625" style="1640" customWidth="1"/>
    <col min="5636" max="5636" width="15" style="1640" customWidth="1"/>
    <col min="5637" max="5637" width="11.5703125" style="1640" customWidth="1"/>
    <col min="5638" max="5638" width="17.85546875" style="1640" customWidth="1"/>
    <col min="5639" max="5639" width="18.85546875" style="1640" bestFit="1" customWidth="1"/>
    <col min="5640" max="5640" width="13.7109375" style="1640" bestFit="1" customWidth="1"/>
    <col min="5641" max="5888" width="11.42578125" style="1640"/>
    <col min="5889" max="5889" width="59" style="1640" customWidth="1"/>
    <col min="5890" max="5890" width="14.42578125" style="1640" customWidth="1"/>
    <col min="5891" max="5891" width="24.140625" style="1640" customWidth="1"/>
    <col min="5892" max="5892" width="15" style="1640" customWidth="1"/>
    <col min="5893" max="5893" width="11.5703125" style="1640" customWidth="1"/>
    <col min="5894" max="5894" width="17.85546875" style="1640" customWidth="1"/>
    <col min="5895" max="5895" width="18.85546875" style="1640" bestFit="1" customWidth="1"/>
    <col min="5896" max="5896" width="13.7109375" style="1640" bestFit="1" customWidth="1"/>
    <col min="5897" max="6144" width="11.42578125" style="1640"/>
    <col min="6145" max="6145" width="59" style="1640" customWidth="1"/>
    <col min="6146" max="6146" width="14.42578125" style="1640" customWidth="1"/>
    <col min="6147" max="6147" width="24.140625" style="1640" customWidth="1"/>
    <col min="6148" max="6148" width="15" style="1640" customWidth="1"/>
    <col min="6149" max="6149" width="11.5703125" style="1640" customWidth="1"/>
    <col min="6150" max="6150" width="17.85546875" style="1640" customWidth="1"/>
    <col min="6151" max="6151" width="18.85546875" style="1640" bestFit="1" customWidth="1"/>
    <col min="6152" max="6152" width="13.7109375" style="1640" bestFit="1" customWidth="1"/>
    <col min="6153" max="6400" width="11.42578125" style="1640"/>
    <col min="6401" max="6401" width="59" style="1640" customWidth="1"/>
    <col min="6402" max="6402" width="14.42578125" style="1640" customWidth="1"/>
    <col min="6403" max="6403" width="24.140625" style="1640" customWidth="1"/>
    <col min="6404" max="6404" width="15" style="1640" customWidth="1"/>
    <col min="6405" max="6405" width="11.5703125" style="1640" customWidth="1"/>
    <col min="6406" max="6406" width="17.85546875" style="1640" customWidth="1"/>
    <col min="6407" max="6407" width="18.85546875" style="1640" bestFit="1" customWidth="1"/>
    <col min="6408" max="6408" width="13.7109375" style="1640" bestFit="1" customWidth="1"/>
    <col min="6409" max="6656" width="11.42578125" style="1640"/>
    <col min="6657" max="6657" width="59" style="1640" customWidth="1"/>
    <col min="6658" max="6658" width="14.42578125" style="1640" customWidth="1"/>
    <col min="6659" max="6659" width="24.140625" style="1640" customWidth="1"/>
    <col min="6660" max="6660" width="15" style="1640" customWidth="1"/>
    <col min="6661" max="6661" width="11.5703125" style="1640" customWidth="1"/>
    <col min="6662" max="6662" width="17.85546875" style="1640" customWidth="1"/>
    <col min="6663" max="6663" width="18.85546875" style="1640" bestFit="1" customWidth="1"/>
    <col min="6664" max="6664" width="13.7109375" style="1640" bestFit="1" customWidth="1"/>
    <col min="6665" max="6912" width="11.42578125" style="1640"/>
    <col min="6913" max="6913" width="59" style="1640" customWidth="1"/>
    <col min="6914" max="6914" width="14.42578125" style="1640" customWidth="1"/>
    <col min="6915" max="6915" width="24.140625" style="1640" customWidth="1"/>
    <col min="6916" max="6916" width="15" style="1640" customWidth="1"/>
    <col min="6917" max="6917" width="11.5703125" style="1640" customWidth="1"/>
    <col min="6918" max="6918" width="17.85546875" style="1640" customWidth="1"/>
    <col min="6919" max="6919" width="18.85546875" style="1640" bestFit="1" customWidth="1"/>
    <col min="6920" max="6920" width="13.7109375" style="1640" bestFit="1" customWidth="1"/>
    <col min="6921" max="7168" width="11.42578125" style="1640"/>
    <col min="7169" max="7169" width="59" style="1640" customWidth="1"/>
    <col min="7170" max="7170" width="14.42578125" style="1640" customWidth="1"/>
    <col min="7171" max="7171" width="24.140625" style="1640" customWidth="1"/>
    <col min="7172" max="7172" width="15" style="1640" customWidth="1"/>
    <col min="7173" max="7173" width="11.5703125" style="1640" customWidth="1"/>
    <col min="7174" max="7174" width="17.85546875" style="1640" customWidth="1"/>
    <col min="7175" max="7175" width="18.85546875" style="1640" bestFit="1" customWidth="1"/>
    <col min="7176" max="7176" width="13.7109375" style="1640" bestFit="1" customWidth="1"/>
    <col min="7177" max="7424" width="11.42578125" style="1640"/>
    <col min="7425" max="7425" width="59" style="1640" customWidth="1"/>
    <col min="7426" max="7426" width="14.42578125" style="1640" customWidth="1"/>
    <col min="7427" max="7427" width="24.140625" style="1640" customWidth="1"/>
    <col min="7428" max="7428" width="15" style="1640" customWidth="1"/>
    <col min="7429" max="7429" width="11.5703125" style="1640" customWidth="1"/>
    <col min="7430" max="7430" width="17.85546875" style="1640" customWidth="1"/>
    <col min="7431" max="7431" width="18.85546875" style="1640" bestFit="1" customWidth="1"/>
    <col min="7432" max="7432" width="13.7109375" style="1640" bestFit="1" customWidth="1"/>
    <col min="7433" max="7680" width="11.42578125" style="1640"/>
    <col min="7681" max="7681" width="59" style="1640" customWidth="1"/>
    <col min="7682" max="7682" width="14.42578125" style="1640" customWidth="1"/>
    <col min="7683" max="7683" width="24.140625" style="1640" customWidth="1"/>
    <col min="7684" max="7684" width="15" style="1640" customWidth="1"/>
    <col min="7685" max="7685" width="11.5703125" style="1640" customWidth="1"/>
    <col min="7686" max="7686" width="17.85546875" style="1640" customWidth="1"/>
    <col min="7687" max="7687" width="18.85546875" style="1640" bestFit="1" customWidth="1"/>
    <col min="7688" max="7688" width="13.7109375" style="1640" bestFit="1" customWidth="1"/>
    <col min="7689" max="7936" width="11.42578125" style="1640"/>
    <col min="7937" max="7937" width="59" style="1640" customWidth="1"/>
    <col min="7938" max="7938" width="14.42578125" style="1640" customWidth="1"/>
    <col min="7939" max="7939" width="24.140625" style="1640" customWidth="1"/>
    <col min="7940" max="7940" width="15" style="1640" customWidth="1"/>
    <col min="7941" max="7941" width="11.5703125" style="1640" customWidth="1"/>
    <col min="7942" max="7942" width="17.85546875" style="1640" customWidth="1"/>
    <col min="7943" max="7943" width="18.85546875" style="1640" bestFit="1" customWidth="1"/>
    <col min="7944" max="7944" width="13.7109375" style="1640" bestFit="1" customWidth="1"/>
    <col min="7945" max="8192" width="11.42578125" style="1640"/>
    <col min="8193" max="8193" width="59" style="1640" customWidth="1"/>
    <col min="8194" max="8194" width="14.42578125" style="1640" customWidth="1"/>
    <col min="8195" max="8195" width="24.140625" style="1640" customWidth="1"/>
    <col min="8196" max="8196" width="15" style="1640" customWidth="1"/>
    <col min="8197" max="8197" width="11.5703125" style="1640" customWidth="1"/>
    <col min="8198" max="8198" width="17.85546875" style="1640" customWidth="1"/>
    <col min="8199" max="8199" width="18.85546875" style="1640" bestFit="1" customWidth="1"/>
    <col min="8200" max="8200" width="13.7109375" style="1640" bestFit="1" customWidth="1"/>
    <col min="8201" max="8448" width="11.42578125" style="1640"/>
    <col min="8449" max="8449" width="59" style="1640" customWidth="1"/>
    <col min="8450" max="8450" width="14.42578125" style="1640" customWidth="1"/>
    <col min="8451" max="8451" width="24.140625" style="1640" customWidth="1"/>
    <col min="8452" max="8452" width="15" style="1640" customWidth="1"/>
    <col min="8453" max="8453" width="11.5703125" style="1640" customWidth="1"/>
    <col min="8454" max="8454" width="17.85546875" style="1640" customWidth="1"/>
    <col min="8455" max="8455" width="18.85546875" style="1640" bestFit="1" customWidth="1"/>
    <col min="8456" max="8456" width="13.7109375" style="1640" bestFit="1" customWidth="1"/>
    <col min="8457" max="8704" width="11.42578125" style="1640"/>
    <col min="8705" max="8705" width="59" style="1640" customWidth="1"/>
    <col min="8706" max="8706" width="14.42578125" style="1640" customWidth="1"/>
    <col min="8707" max="8707" width="24.140625" style="1640" customWidth="1"/>
    <col min="8708" max="8708" width="15" style="1640" customWidth="1"/>
    <col min="8709" max="8709" width="11.5703125" style="1640" customWidth="1"/>
    <col min="8710" max="8710" width="17.85546875" style="1640" customWidth="1"/>
    <col min="8711" max="8711" width="18.85546875" style="1640" bestFit="1" customWidth="1"/>
    <col min="8712" max="8712" width="13.7109375" style="1640" bestFit="1" customWidth="1"/>
    <col min="8713" max="8960" width="11.42578125" style="1640"/>
    <col min="8961" max="8961" width="59" style="1640" customWidth="1"/>
    <col min="8962" max="8962" width="14.42578125" style="1640" customWidth="1"/>
    <col min="8963" max="8963" width="24.140625" style="1640" customWidth="1"/>
    <col min="8964" max="8964" width="15" style="1640" customWidth="1"/>
    <col min="8965" max="8965" width="11.5703125" style="1640" customWidth="1"/>
    <col min="8966" max="8966" width="17.85546875" style="1640" customWidth="1"/>
    <col min="8967" max="8967" width="18.85546875" style="1640" bestFit="1" customWidth="1"/>
    <col min="8968" max="8968" width="13.7109375" style="1640" bestFit="1" customWidth="1"/>
    <col min="8969" max="9216" width="11.42578125" style="1640"/>
    <col min="9217" max="9217" width="59" style="1640" customWidth="1"/>
    <col min="9218" max="9218" width="14.42578125" style="1640" customWidth="1"/>
    <col min="9219" max="9219" width="24.140625" style="1640" customWidth="1"/>
    <col min="9220" max="9220" width="15" style="1640" customWidth="1"/>
    <col min="9221" max="9221" width="11.5703125" style="1640" customWidth="1"/>
    <col min="9222" max="9222" width="17.85546875" style="1640" customWidth="1"/>
    <col min="9223" max="9223" width="18.85546875" style="1640" bestFit="1" customWidth="1"/>
    <col min="9224" max="9224" width="13.7109375" style="1640" bestFit="1" customWidth="1"/>
    <col min="9225" max="9472" width="11.42578125" style="1640"/>
    <col min="9473" max="9473" width="59" style="1640" customWidth="1"/>
    <col min="9474" max="9474" width="14.42578125" style="1640" customWidth="1"/>
    <col min="9475" max="9475" width="24.140625" style="1640" customWidth="1"/>
    <col min="9476" max="9476" width="15" style="1640" customWidth="1"/>
    <col min="9477" max="9477" width="11.5703125" style="1640" customWidth="1"/>
    <col min="9478" max="9478" width="17.85546875" style="1640" customWidth="1"/>
    <col min="9479" max="9479" width="18.85546875" style="1640" bestFit="1" customWidth="1"/>
    <col min="9480" max="9480" width="13.7109375" style="1640" bestFit="1" customWidth="1"/>
    <col min="9481" max="9728" width="11.42578125" style="1640"/>
    <col min="9729" max="9729" width="59" style="1640" customWidth="1"/>
    <col min="9730" max="9730" width="14.42578125" style="1640" customWidth="1"/>
    <col min="9731" max="9731" width="24.140625" style="1640" customWidth="1"/>
    <col min="9732" max="9732" width="15" style="1640" customWidth="1"/>
    <col min="9733" max="9733" width="11.5703125" style="1640" customWidth="1"/>
    <col min="9734" max="9734" width="17.85546875" style="1640" customWidth="1"/>
    <col min="9735" max="9735" width="18.85546875" style="1640" bestFit="1" customWidth="1"/>
    <col min="9736" max="9736" width="13.7109375" style="1640" bestFit="1" customWidth="1"/>
    <col min="9737" max="9984" width="11.42578125" style="1640"/>
    <col min="9985" max="9985" width="59" style="1640" customWidth="1"/>
    <col min="9986" max="9986" width="14.42578125" style="1640" customWidth="1"/>
    <col min="9987" max="9987" width="24.140625" style="1640" customWidth="1"/>
    <col min="9988" max="9988" width="15" style="1640" customWidth="1"/>
    <col min="9989" max="9989" width="11.5703125" style="1640" customWidth="1"/>
    <col min="9990" max="9990" width="17.85546875" style="1640" customWidth="1"/>
    <col min="9991" max="9991" width="18.85546875" style="1640" bestFit="1" customWidth="1"/>
    <col min="9992" max="9992" width="13.7109375" style="1640" bestFit="1" customWidth="1"/>
    <col min="9993" max="10240" width="11.42578125" style="1640"/>
    <col min="10241" max="10241" width="59" style="1640" customWidth="1"/>
    <col min="10242" max="10242" width="14.42578125" style="1640" customWidth="1"/>
    <col min="10243" max="10243" width="24.140625" style="1640" customWidth="1"/>
    <col min="10244" max="10244" width="15" style="1640" customWidth="1"/>
    <col min="10245" max="10245" width="11.5703125" style="1640" customWidth="1"/>
    <col min="10246" max="10246" width="17.85546875" style="1640" customWidth="1"/>
    <col min="10247" max="10247" width="18.85546875" style="1640" bestFit="1" customWidth="1"/>
    <col min="10248" max="10248" width="13.7109375" style="1640" bestFit="1" customWidth="1"/>
    <col min="10249" max="10496" width="11.42578125" style="1640"/>
    <col min="10497" max="10497" width="59" style="1640" customWidth="1"/>
    <col min="10498" max="10498" width="14.42578125" style="1640" customWidth="1"/>
    <col min="10499" max="10499" width="24.140625" style="1640" customWidth="1"/>
    <col min="10500" max="10500" width="15" style="1640" customWidth="1"/>
    <col min="10501" max="10501" width="11.5703125" style="1640" customWidth="1"/>
    <col min="10502" max="10502" width="17.85546875" style="1640" customWidth="1"/>
    <col min="10503" max="10503" width="18.85546875" style="1640" bestFit="1" customWidth="1"/>
    <col min="10504" max="10504" width="13.7109375" style="1640" bestFit="1" customWidth="1"/>
    <col min="10505" max="10752" width="11.42578125" style="1640"/>
    <col min="10753" max="10753" width="59" style="1640" customWidth="1"/>
    <col min="10754" max="10754" width="14.42578125" style="1640" customWidth="1"/>
    <col min="10755" max="10755" width="24.140625" style="1640" customWidth="1"/>
    <col min="10756" max="10756" width="15" style="1640" customWidth="1"/>
    <col min="10757" max="10757" width="11.5703125" style="1640" customWidth="1"/>
    <col min="10758" max="10758" width="17.85546875" style="1640" customWidth="1"/>
    <col min="10759" max="10759" width="18.85546875" style="1640" bestFit="1" customWidth="1"/>
    <col min="10760" max="10760" width="13.7109375" style="1640" bestFit="1" customWidth="1"/>
    <col min="10761" max="11008" width="11.42578125" style="1640"/>
    <col min="11009" max="11009" width="59" style="1640" customWidth="1"/>
    <col min="11010" max="11010" width="14.42578125" style="1640" customWidth="1"/>
    <col min="11011" max="11011" width="24.140625" style="1640" customWidth="1"/>
    <col min="11012" max="11012" width="15" style="1640" customWidth="1"/>
    <col min="11013" max="11013" width="11.5703125" style="1640" customWidth="1"/>
    <col min="11014" max="11014" width="17.85546875" style="1640" customWidth="1"/>
    <col min="11015" max="11015" width="18.85546875" style="1640" bestFit="1" customWidth="1"/>
    <col min="11016" max="11016" width="13.7109375" style="1640" bestFit="1" customWidth="1"/>
    <col min="11017" max="11264" width="11.42578125" style="1640"/>
    <col min="11265" max="11265" width="59" style="1640" customWidth="1"/>
    <col min="11266" max="11266" width="14.42578125" style="1640" customWidth="1"/>
    <col min="11267" max="11267" width="24.140625" style="1640" customWidth="1"/>
    <col min="11268" max="11268" width="15" style="1640" customWidth="1"/>
    <col min="11269" max="11269" width="11.5703125" style="1640" customWidth="1"/>
    <col min="11270" max="11270" width="17.85546875" style="1640" customWidth="1"/>
    <col min="11271" max="11271" width="18.85546875" style="1640" bestFit="1" customWidth="1"/>
    <col min="11272" max="11272" width="13.7109375" style="1640" bestFit="1" customWidth="1"/>
    <col min="11273" max="11520" width="11.42578125" style="1640"/>
    <col min="11521" max="11521" width="59" style="1640" customWidth="1"/>
    <col min="11522" max="11522" width="14.42578125" style="1640" customWidth="1"/>
    <col min="11523" max="11523" width="24.140625" style="1640" customWidth="1"/>
    <col min="11524" max="11524" width="15" style="1640" customWidth="1"/>
    <col min="11525" max="11525" width="11.5703125" style="1640" customWidth="1"/>
    <col min="11526" max="11526" width="17.85546875" style="1640" customWidth="1"/>
    <col min="11527" max="11527" width="18.85546875" style="1640" bestFit="1" customWidth="1"/>
    <col min="11528" max="11528" width="13.7109375" style="1640" bestFit="1" customWidth="1"/>
    <col min="11529" max="11776" width="11.42578125" style="1640"/>
    <col min="11777" max="11777" width="59" style="1640" customWidth="1"/>
    <col min="11778" max="11778" width="14.42578125" style="1640" customWidth="1"/>
    <col min="11779" max="11779" width="24.140625" style="1640" customWidth="1"/>
    <col min="11780" max="11780" width="15" style="1640" customWidth="1"/>
    <col min="11781" max="11781" width="11.5703125" style="1640" customWidth="1"/>
    <col min="11782" max="11782" width="17.85546875" style="1640" customWidth="1"/>
    <col min="11783" max="11783" width="18.85546875" style="1640" bestFit="1" customWidth="1"/>
    <col min="11784" max="11784" width="13.7109375" style="1640" bestFit="1" customWidth="1"/>
    <col min="11785" max="12032" width="11.42578125" style="1640"/>
    <col min="12033" max="12033" width="59" style="1640" customWidth="1"/>
    <col min="12034" max="12034" width="14.42578125" style="1640" customWidth="1"/>
    <col min="12035" max="12035" width="24.140625" style="1640" customWidth="1"/>
    <col min="12036" max="12036" width="15" style="1640" customWidth="1"/>
    <col min="12037" max="12037" width="11.5703125" style="1640" customWidth="1"/>
    <col min="12038" max="12038" width="17.85546875" style="1640" customWidth="1"/>
    <col min="12039" max="12039" width="18.85546875" style="1640" bestFit="1" customWidth="1"/>
    <col min="12040" max="12040" width="13.7109375" style="1640" bestFit="1" customWidth="1"/>
    <col min="12041" max="12288" width="11.42578125" style="1640"/>
    <col min="12289" max="12289" width="59" style="1640" customWidth="1"/>
    <col min="12290" max="12290" width="14.42578125" style="1640" customWidth="1"/>
    <col min="12291" max="12291" width="24.140625" style="1640" customWidth="1"/>
    <col min="12292" max="12292" width="15" style="1640" customWidth="1"/>
    <col min="12293" max="12293" width="11.5703125" style="1640" customWidth="1"/>
    <col min="12294" max="12294" width="17.85546875" style="1640" customWidth="1"/>
    <col min="12295" max="12295" width="18.85546875" style="1640" bestFit="1" customWidth="1"/>
    <col min="12296" max="12296" width="13.7109375" style="1640" bestFit="1" customWidth="1"/>
    <col min="12297" max="12544" width="11.42578125" style="1640"/>
    <col min="12545" max="12545" width="59" style="1640" customWidth="1"/>
    <col min="12546" max="12546" width="14.42578125" style="1640" customWidth="1"/>
    <col min="12547" max="12547" width="24.140625" style="1640" customWidth="1"/>
    <col min="12548" max="12548" width="15" style="1640" customWidth="1"/>
    <col min="12549" max="12549" width="11.5703125" style="1640" customWidth="1"/>
    <col min="12550" max="12550" width="17.85546875" style="1640" customWidth="1"/>
    <col min="12551" max="12551" width="18.85546875" style="1640" bestFit="1" customWidth="1"/>
    <col min="12552" max="12552" width="13.7109375" style="1640" bestFit="1" customWidth="1"/>
    <col min="12553" max="12800" width="11.42578125" style="1640"/>
    <col min="12801" max="12801" width="59" style="1640" customWidth="1"/>
    <col min="12802" max="12802" width="14.42578125" style="1640" customWidth="1"/>
    <col min="12803" max="12803" width="24.140625" style="1640" customWidth="1"/>
    <col min="12804" max="12804" width="15" style="1640" customWidth="1"/>
    <col min="12805" max="12805" width="11.5703125" style="1640" customWidth="1"/>
    <col min="12806" max="12806" width="17.85546875" style="1640" customWidth="1"/>
    <col min="12807" max="12807" width="18.85546875" style="1640" bestFit="1" customWidth="1"/>
    <col min="12808" max="12808" width="13.7109375" style="1640" bestFit="1" customWidth="1"/>
    <col min="12809" max="13056" width="11.42578125" style="1640"/>
    <col min="13057" max="13057" width="59" style="1640" customWidth="1"/>
    <col min="13058" max="13058" width="14.42578125" style="1640" customWidth="1"/>
    <col min="13059" max="13059" width="24.140625" style="1640" customWidth="1"/>
    <col min="13060" max="13060" width="15" style="1640" customWidth="1"/>
    <col min="13061" max="13061" width="11.5703125" style="1640" customWidth="1"/>
    <col min="13062" max="13062" width="17.85546875" style="1640" customWidth="1"/>
    <col min="13063" max="13063" width="18.85546875" style="1640" bestFit="1" customWidth="1"/>
    <col min="13064" max="13064" width="13.7109375" style="1640" bestFit="1" customWidth="1"/>
    <col min="13065" max="13312" width="11.42578125" style="1640"/>
    <col min="13313" max="13313" width="59" style="1640" customWidth="1"/>
    <col min="13314" max="13314" width="14.42578125" style="1640" customWidth="1"/>
    <col min="13315" max="13315" width="24.140625" style="1640" customWidth="1"/>
    <col min="13316" max="13316" width="15" style="1640" customWidth="1"/>
    <col min="13317" max="13317" width="11.5703125" style="1640" customWidth="1"/>
    <col min="13318" max="13318" width="17.85546875" style="1640" customWidth="1"/>
    <col min="13319" max="13319" width="18.85546875" style="1640" bestFit="1" customWidth="1"/>
    <col min="13320" max="13320" width="13.7109375" style="1640" bestFit="1" customWidth="1"/>
    <col min="13321" max="13568" width="11.42578125" style="1640"/>
    <col min="13569" max="13569" width="59" style="1640" customWidth="1"/>
    <col min="13570" max="13570" width="14.42578125" style="1640" customWidth="1"/>
    <col min="13571" max="13571" width="24.140625" style="1640" customWidth="1"/>
    <col min="13572" max="13572" width="15" style="1640" customWidth="1"/>
    <col min="13573" max="13573" width="11.5703125" style="1640" customWidth="1"/>
    <col min="13574" max="13574" width="17.85546875" style="1640" customWidth="1"/>
    <col min="13575" max="13575" width="18.85546875" style="1640" bestFit="1" customWidth="1"/>
    <col min="13576" max="13576" width="13.7109375" style="1640" bestFit="1" customWidth="1"/>
    <col min="13577" max="13824" width="11.42578125" style="1640"/>
    <col min="13825" max="13825" width="59" style="1640" customWidth="1"/>
    <col min="13826" max="13826" width="14.42578125" style="1640" customWidth="1"/>
    <col min="13827" max="13827" width="24.140625" style="1640" customWidth="1"/>
    <col min="13828" max="13828" width="15" style="1640" customWidth="1"/>
    <col min="13829" max="13829" width="11.5703125" style="1640" customWidth="1"/>
    <col min="13830" max="13830" width="17.85546875" style="1640" customWidth="1"/>
    <col min="13831" max="13831" width="18.85546875" style="1640" bestFit="1" customWidth="1"/>
    <col min="13832" max="13832" width="13.7109375" style="1640" bestFit="1" customWidth="1"/>
    <col min="13833" max="14080" width="11.42578125" style="1640"/>
    <col min="14081" max="14081" width="59" style="1640" customWidth="1"/>
    <col min="14082" max="14082" width="14.42578125" style="1640" customWidth="1"/>
    <col min="14083" max="14083" width="24.140625" style="1640" customWidth="1"/>
    <col min="14084" max="14084" width="15" style="1640" customWidth="1"/>
    <col min="14085" max="14085" width="11.5703125" style="1640" customWidth="1"/>
    <col min="14086" max="14086" width="17.85546875" style="1640" customWidth="1"/>
    <col min="14087" max="14087" width="18.85546875" style="1640" bestFit="1" customWidth="1"/>
    <col min="14088" max="14088" width="13.7109375" style="1640" bestFit="1" customWidth="1"/>
    <col min="14089" max="14336" width="11.42578125" style="1640"/>
    <col min="14337" max="14337" width="59" style="1640" customWidth="1"/>
    <col min="14338" max="14338" width="14.42578125" style="1640" customWidth="1"/>
    <col min="14339" max="14339" width="24.140625" style="1640" customWidth="1"/>
    <col min="14340" max="14340" width="15" style="1640" customWidth="1"/>
    <col min="14341" max="14341" width="11.5703125" style="1640" customWidth="1"/>
    <col min="14342" max="14342" width="17.85546875" style="1640" customWidth="1"/>
    <col min="14343" max="14343" width="18.85546875" style="1640" bestFit="1" customWidth="1"/>
    <col min="14344" max="14344" width="13.7109375" style="1640" bestFit="1" customWidth="1"/>
    <col min="14345" max="14592" width="11.42578125" style="1640"/>
    <col min="14593" max="14593" width="59" style="1640" customWidth="1"/>
    <col min="14594" max="14594" width="14.42578125" style="1640" customWidth="1"/>
    <col min="14595" max="14595" width="24.140625" style="1640" customWidth="1"/>
    <col min="14596" max="14596" width="15" style="1640" customWidth="1"/>
    <col min="14597" max="14597" width="11.5703125" style="1640" customWidth="1"/>
    <col min="14598" max="14598" width="17.85546875" style="1640" customWidth="1"/>
    <col min="14599" max="14599" width="18.85546875" style="1640" bestFit="1" customWidth="1"/>
    <col min="14600" max="14600" width="13.7109375" style="1640" bestFit="1" customWidth="1"/>
    <col min="14601" max="14848" width="11.42578125" style="1640"/>
    <col min="14849" max="14849" width="59" style="1640" customWidth="1"/>
    <col min="14850" max="14850" width="14.42578125" style="1640" customWidth="1"/>
    <col min="14851" max="14851" width="24.140625" style="1640" customWidth="1"/>
    <col min="14852" max="14852" width="15" style="1640" customWidth="1"/>
    <col min="14853" max="14853" width="11.5703125" style="1640" customWidth="1"/>
    <col min="14854" max="14854" width="17.85546875" style="1640" customWidth="1"/>
    <col min="14855" max="14855" width="18.85546875" style="1640" bestFit="1" customWidth="1"/>
    <col min="14856" max="14856" width="13.7109375" style="1640" bestFit="1" customWidth="1"/>
    <col min="14857" max="15104" width="11.42578125" style="1640"/>
    <col min="15105" max="15105" width="59" style="1640" customWidth="1"/>
    <col min="15106" max="15106" width="14.42578125" style="1640" customWidth="1"/>
    <col min="15107" max="15107" width="24.140625" style="1640" customWidth="1"/>
    <col min="15108" max="15108" width="15" style="1640" customWidth="1"/>
    <col min="15109" max="15109" width="11.5703125" style="1640" customWidth="1"/>
    <col min="15110" max="15110" width="17.85546875" style="1640" customWidth="1"/>
    <col min="15111" max="15111" width="18.85546875" style="1640" bestFit="1" customWidth="1"/>
    <col min="15112" max="15112" width="13.7109375" style="1640" bestFit="1" customWidth="1"/>
    <col min="15113" max="15360" width="11.42578125" style="1640"/>
    <col min="15361" max="15361" width="59" style="1640" customWidth="1"/>
    <col min="15362" max="15362" width="14.42578125" style="1640" customWidth="1"/>
    <col min="15363" max="15363" width="24.140625" style="1640" customWidth="1"/>
    <col min="15364" max="15364" width="15" style="1640" customWidth="1"/>
    <col min="15365" max="15365" width="11.5703125" style="1640" customWidth="1"/>
    <col min="15366" max="15366" width="17.85546875" style="1640" customWidth="1"/>
    <col min="15367" max="15367" width="18.85546875" style="1640" bestFit="1" customWidth="1"/>
    <col min="15368" max="15368" width="13.7109375" style="1640" bestFit="1" customWidth="1"/>
    <col min="15369" max="15616" width="11.42578125" style="1640"/>
    <col min="15617" max="15617" width="59" style="1640" customWidth="1"/>
    <col min="15618" max="15618" width="14.42578125" style="1640" customWidth="1"/>
    <col min="15619" max="15619" width="24.140625" style="1640" customWidth="1"/>
    <col min="15620" max="15620" width="15" style="1640" customWidth="1"/>
    <col min="15621" max="15621" width="11.5703125" style="1640" customWidth="1"/>
    <col min="15622" max="15622" width="17.85546875" style="1640" customWidth="1"/>
    <col min="15623" max="15623" width="18.85546875" style="1640" bestFit="1" customWidth="1"/>
    <col min="15624" max="15624" width="13.7109375" style="1640" bestFit="1" customWidth="1"/>
    <col min="15625" max="15872" width="11.42578125" style="1640"/>
    <col min="15873" max="15873" width="59" style="1640" customWidth="1"/>
    <col min="15874" max="15874" width="14.42578125" style="1640" customWidth="1"/>
    <col min="15875" max="15875" width="24.140625" style="1640" customWidth="1"/>
    <col min="15876" max="15876" width="15" style="1640" customWidth="1"/>
    <col min="15877" max="15877" width="11.5703125" style="1640" customWidth="1"/>
    <col min="15878" max="15878" width="17.85546875" style="1640" customWidth="1"/>
    <col min="15879" max="15879" width="18.85546875" style="1640" bestFit="1" customWidth="1"/>
    <col min="15880" max="15880" width="13.7109375" style="1640" bestFit="1" customWidth="1"/>
    <col min="15881" max="16128" width="11.42578125" style="1640"/>
    <col min="16129" max="16129" width="59" style="1640" customWidth="1"/>
    <col min="16130" max="16130" width="14.42578125" style="1640" customWidth="1"/>
    <col min="16131" max="16131" width="24.140625" style="1640" customWidth="1"/>
    <col min="16132" max="16132" width="15" style="1640" customWidth="1"/>
    <col min="16133" max="16133" width="11.5703125" style="1640" customWidth="1"/>
    <col min="16134" max="16134" width="17.85546875" style="1640" customWidth="1"/>
    <col min="16135" max="16135" width="18.85546875" style="1640" bestFit="1" customWidth="1"/>
    <col min="16136" max="16136" width="13.7109375" style="1640" bestFit="1" customWidth="1"/>
    <col min="16137" max="16384" width="11.42578125" style="1640"/>
  </cols>
  <sheetData>
    <row r="1" spans="1:7" ht="61.5" customHeight="1">
      <c r="A1" s="2498"/>
      <c r="B1" s="2498"/>
      <c r="C1" s="2498"/>
      <c r="D1" s="2498"/>
      <c r="E1" s="2498"/>
    </row>
    <row r="2" spans="1:7" ht="14.25" customHeight="1">
      <c r="A2" s="2499" t="s">
        <v>1669</v>
      </c>
      <c r="B2" s="2499"/>
      <c r="C2" s="2499"/>
      <c r="D2" s="2499"/>
      <c r="E2" s="2499"/>
    </row>
    <row r="3" spans="1:7" ht="14.25" customHeight="1">
      <c r="A3" s="2500" t="s">
        <v>1670</v>
      </c>
      <c r="B3" s="2500"/>
      <c r="C3" s="2500"/>
      <c r="D3" s="2500"/>
      <c r="E3" s="2500"/>
    </row>
    <row r="4" spans="1:7" ht="14.25" customHeight="1">
      <c r="A4" s="2500" t="s">
        <v>1671</v>
      </c>
      <c r="B4" s="2500"/>
      <c r="C4" s="2500"/>
      <c r="D4" s="2500"/>
      <c r="E4" s="2500"/>
    </row>
    <row r="5" spans="1:7" ht="14.25" customHeight="1">
      <c r="A5" s="2499" t="s">
        <v>1672</v>
      </c>
      <c r="B5" s="2499"/>
      <c r="C5" s="2499"/>
      <c r="D5" s="2499"/>
      <c r="E5" s="2499"/>
    </row>
    <row r="6" spans="1:7" s="1642" customFormat="1" ht="14.25" customHeight="1" thickBot="1">
      <c r="A6" s="1641"/>
      <c r="B6" s="1641"/>
      <c r="C6" s="1641"/>
      <c r="D6" s="1641"/>
      <c r="E6" s="1641"/>
    </row>
    <row r="7" spans="1:7" ht="14.25" customHeight="1" thickTop="1" thickBot="1">
      <c r="A7" s="2501" t="s">
        <v>1673</v>
      </c>
      <c r="B7" s="2501" t="s">
        <v>1674</v>
      </c>
      <c r="C7" s="2503" t="s">
        <v>1675</v>
      </c>
      <c r="D7" s="2504"/>
      <c r="E7" s="2502"/>
    </row>
    <row r="8" spans="1:7" ht="14.25" customHeight="1" thickTop="1">
      <c r="A8" s="2502"/>
      <c r="B8" s="2502"/>
      <c r="C8" s="1643" t="s">
        <v>1676</v>
      </c>
      <c r="D8" s="1643" t="s">
        <v>1677</v>
      </c>
      <c r="E8" s="1643" t="s">
        <v>1678</v>
      </c>
    </row>
    <row r="9" spans="1:7" s="1642" customFormat="1" ht="14.25" customHeight="1">
      <c r="A9" s="1644" t="s">
        <v>1679</v>
      </c>
      <c r="B9" s="1645"/>
      <c r="C9" s="1646">
        <f>C10</f>
        <v>39920138270.790001</v>
      </c>
      <c r="D9" s="1645">
        <f>D10</f>
        <v>0.17351806944371259</v>
      </c>
      <c r="E9" s="1647">
        <v>0.2</v>
      </c>
    </row>
    <row r="10" spans="1:7" s="1642" customFormat="1" ht="14.25" customHeight="1">
      <c r="A10" s="1648" t="s">
        <v>1680</v>
      </c>
      <c r="B10" s="1649"/>
      <c r="C10" s="1650">
        <f>C11</f>
        <v>39920138270.790001</v>
      </c>
      <c r="D10" s="1651">
        <f>C10/C89</f>
        <v>0.17351806944371259</v>
      </c>
      <c r="E10" s="1652"/>
    </row>
    <row r="11" spans="1:7" s="1642" customFormat="1" ht="14.25" customHeight="1">
      <c r="A11" s="1653" t="s">
        <v>949</v>
      </c>
      <c r="B11" s="1649" t="s">
        <v>1681</v>
      </c>
      <c r="C11" s="1654">
        <v>39920138270.790001</v>
      </c>
      <c r="D11" s="1649">
        <f>C11/C10</f>
        <v>1</v>
      </c>
      <c r="E11" s="1652"/>
    </row>
    <row r="12" spans="1:7" ht="14.25" customHeight="1">
      <c r="A12" s="1655" t="s">
        <v>1682</v>
      </c>
      <c r="B12" s="1656"/>
      <c r="C12" s="1657">
        <f>C13</f>
        <v>108177483938.58</v>
      </c>
      <c r="D12" s="1656">
        <f>D13</f>
        <v>0.47020749384616706</v>
      </c>
      <c r="E12" s="1658">
        <v>0.5</v>
      </c>
      <c r="F12" s="1659"/>
      <c r="G12" s="1659"/>
    </row>
    <row r="13" spans="1:7" ht="14.25" customHeight="1">
      <c r="A13" s="1648" t="s">
        <v>1683</v>
      </c>
      <c r="B13" s="1649"/>
      <c r="C13" s="1650">
        <f>C15+C16+C14</f>
        <v>108177483938.58</v>
      </c>
      <c r="D13" s="1651">
        <f>C13/C89</f>
        <v>0.47020749384616706</v>
      </c>
      <c r="E13" s="1652"/>
    </row>
    <row r="14" spans="1:7" ht="14.25" customHeight="1">
      <c r="A14" s="1653" t="s">
        <v>1684</v>
      </c>
      <c r="B14" s="1649" t="s">
        <v>1685</v>
      </c>
      <c r="C14" s="1654">
        <v>136348219</v>
      </c>
      <c r="D14" s="1649">
        <f>C14/C12</f>
        <v>1.2604121859352405E-3</v>
      </c>
      <c r="E14" s="1652"/>
    </row>
    <row r="15" spans="1:7" ht="14.25" customHeight="1">
      <c r="A15" s="1653" t="s">
        <v>1686</v>
      </c>
      <c r="B15" s="1649" t="s">
        <v>1681</v>
      </c>
      <c r="C15" s="1654">
        <v>4213678115.3099999</v>
      </c>
      <c r="D15" s="1649">
        <f>C15/C12</f>
        <v>3.8951526342601968E-2</v>
      </c>
      <c r="E15" s="1652"/>
    </row>
    <row r="16" spans="1:7" ht="14.25" customHeight="1">
      <c r="A16" s="1653" t="s">
        <v>1687</v>
      </c>
      <c r="B16" s="1649" t="s">
        <v>1681</v>
      </c>
      <c r="C16" s="1654">
        <v>103827457604.27</v>
      </c>
      <c r="D16" s="1649">
        <f>C16/C12</f>
        <v>0.95978806147146278</v>
      </c>
      <c r="E16" s="1652"/>
    </row>
    <row r="17" spans="1:6" ht="14.25" customHeight="1">
      <c r="A17" s="1655" t="s">
        <v>1688</v>
      </c>
      <c r="B17" s="1660"/>
      <c r="C17" s="1661">
        <f>C18+C20+C23+C25+C27+C29+C31+C33+C36+C39+C41+C43+C45+C47</f>
        <v>66389947696.442505</v>
      </c>
      <c r="D17" s="1660">
        <f>D18+D20+D23+D25+D27+D29+D31+D33+D36+D39+D41+D43+D45+D47</f>
        <v>0.2885725364129052</v>
      </c>
      <c r="E17" s="1658"/>
      <c r="F17" s="1659"/>
    </row>
    <row r="18" spans="1:6" ht="14.25" hidden="1" customHeight="1">
      <c r="A18" s="1648" t="s">
        <v>1689</v>
      </c>
      <c r="B18" s="1649"/>
      <c r="C18" s="1662">
        <f>C19</f>
        <v>0</v>
      </c>
      <c r="D18" s="1651">
        <f>C18/C89</f>
        <v>0</v>
      </c>
      <c r="E18" s="1663">
        <v>0</v>
      </c>
      <c r="F18" s="1659"/>
    </row>
    <row r="19" spans="1:6" ht="14.25" hidden="1" customHeight="1">
      <c r="A19" s="1653" t="s">
        <v>962</v>
      </c>
      <c r="B19" s="1649"/>
      <c r="C19" s="1654"/>
      <c r="D19" s="1649" t="e">
        <f>C19/C18</f>
        <v>#DIV/0!</v>
      </c>
      <c r="E19" s="1664"/>
      <c r="F19" s="1659"/>
    </row>
    <row r="20" spans="1:6" ht="14.25" customHeight="1">
      <c r="A20" s="1665" t="s">
        <v>1690</v>
      </c>
      <c r="B20" s="1649"/>
      <c r="C20" s="1662">
        <f>C21+C22</f>
        <v>1338231165</v>
      </c>
      <c r="D20" s="1651">
        <f>C20/C89</f>
        <v>5.8167956895609999E-3</v>
      </c>
      <c r="E20" s="1666">
        <v>9.8929557933280662E-2</v>
      </c>
      <c r="F20" s="1659"/>
    </row>
    <row r="21" spans="1:6" ht="14.25" customHeight="1">
      <c r="A21" s="1667" t="s">
        <v>962</v>
      </c>
      <c r="B21" s="1649" t="s">
        <v>1691</v>
      </c>
      <c r="C21" s="1654">
        <v>942179263.73000002</v>
      </c>
      <c r="D21" s="1649">
        <f>C21/C20</f>
        <v>0.70404821556371389</v>
      </c>
      <c r="E21" s="1666"/>
      <c r="F21" s="1659"/>
    </row>
    <row r="22" spans="1:6" ht="14.25" customHeight="1">
      <c r="A22" s="1667" t="s">
        <v>950</v>
      </c>
      <c r="B22" s="1649" t="s">
        <v>1692</v>
      </c>
      <c r="C22" s="1654">
        <v>396051901.26999998</v>
      </c>
      <c r="D22" s="1649">
        <f>C22/C20</f>
        <v>0.29595178443628606</v>
      </c>
      <c r="E22" s="1666"/>
      <c r="F22" s="1659"/>
    </row>
    <row r="23" spans="1:6" ht="14.25" customHeight="1">
      <c r="A23" s="1648" t="s">
        <v>402</v>
      </c>
      <c r="B23" s="1649"/>
      <c r="C23" s="1662">
        <f>C24</f>
        <v>7106188742.2980003</v>
      </c>
      <c r="D23" s="1651">
        <f>C23/C89</f>
        <v>3.088797296497419E-2</v>
      </c>
      <c r="E23" s="1666">
        <v>0.15</v>
      </c>
    </row>
    <row r="24" spans="1:6" ht="14.25" customHeight="1">
      <c r="A24" s="1653" t="s">
        <v>962</v>
      </c>
      <c r="B24" s="1649" t="s">
        <v>1685</v>
      </c>
      <c r="C24" s="1654">
        <v>7106188742.2980003</v>
      </c>
      <c r="D24" s="1649">
        <f>C24/C23</f>
        <v>1</v>
      </c>
      <c r="E24" s="1664"/>
    </row>
    <row r="25" spans="1:6" ht="14.25" customHeight="1">
      <c r="A25" s="1648" t="s">
        <v>1693</v>
      </c>
      <c r="B25" s="1649"/>
      <c r="C25" s="1662">
        <f>C26</f>
        <v>84434652.480000004</v>
      </c>
      <c r="D25" s="1651">
        <f>C25/C89</f>
        <v>3.6700619103818659E-4</v>
      </c>
      <c r="E25" s="1666">
        <v>0.105</v>
      </c>
    </row>
    <row r="26" spans="1:6" ht="14.25" customHeight="1">
      <c r="A26" s="1653" t="s">
        <v>962</v>
      </c>
      <c r="B26" s="1649" t="s">
        <v>1691</v>
      </c>
      <c r="C26" s="1654">
        <v>84434652.480000004</v>
      </c>
      <c r="D26" s="1649">
        <f>C26/C25</f>
        <v>1</v>
      </c>
      <c r="E26" s="1666"/>
    </row>
    <row r="27" spans="1:6" ht="14.25" customHeight="1" thickBot="1">
      <c r="A27" s="1648" t="s">
        <v>1694</v>
      </c>
      <c r="B27" s="1649"/>
      <c r="C27" s="1662">
        <f>C28</f>
        <v>235729540.31999999</v>
      </c>
      <c r="D27" s="1651">
        <f>C27/C89</f>
        <v>1.0246290849425645E-3</v>
      </c>
      <c r="E27" s="1668">
        <v>0.105</v>
      </c>
    </row>
    <row r="28" spans="1:6" ht="14.25" customHeight="1" thickTop="1" thickBot="1">
      <c r="A28" s="1653" t="s">
        <v>962</v>
      </c>
      <c r="B28" s="1649" t="s">
        <v>1691</v>
      </c>
      <c r="C28" s="1654">
        <v>235729540.31999999</v>
      </c>
      <c r="D28" s="1649">
        <f>C28/C27</f>
        <v>1</v>
      </c>
      <c r="E28" s="1669"/>
    </row>
    <row r="29" spans="1:6" ht="14.25" customHeight="1" thickTop="1">
      <c r="A29" s="1648" t="s">
        <v>405</v>
      </c>
      <c r="B29" s="1649"/>
      <c r="C29" s="1662">
        <f>C30</f>
        <v>22488258033.381001</v>
      </c>
      <c r="D29" s="1651">
        <f>C29/C89</f>
        <v>9.7748136357522455E-2</v>
      </c>
      <c r="E29" s="1670">
        <v>0.15</v>
      </c>
    </row>
    <row r="30" spans="1:6" ht="14.25" customHeight="1">
      <c r="A30" s="1653" t="s">
        <v>962</v>
      </c>
      <c r="B30" s="1649" t="s">
        <v>1685</v>
      </c>
      <c r="C30" s="1654">
        <v>22488258033.381001</v>
      </c>
      <c r="D30" s="1649">
        <f>C30/C29</f>
        <v>1</v>
      </c>
      <c r="E30" s="1666"/>
    </row>
    <row r="31" spans="1:6" ht="14.25" customHeight="1">
      <c r="A31" s="1648" t="s">
        <v>1695</v>
      </c>
      <c r="B31" s="1649"/>
      <c r="C31" s="1662">
        <f>C32</f>
        <v>3911695856.4379997</v>
      </c>
      <c r="D31" s="1651">
        <f>C31/C89</f>
        <v>1.7002694445994448E-2</v>
      </c>
      <c r="E31" s="1666">
        <v>0.13500000000000001</v>
      </c>
    </row>
    <row r="32" spans="1:6" ht="14.25" customHeight="1" thickBot="1">
      <c r="A32" s="1653" t="s">
        <v>1696</v>
      </c>
      <c r="B32" s="1649" t="s">
        <v>1697</v>
      </c>
      <c r="C32" s="1654">
        <v>3911695856.4379997</v>
      </c>
      <c r="D32" s="1649">
        <f>C32/C31</f>
        <v>1</v>
      </c>
      <c r="E32" s="1664"/>
    </row>
    <row r="33" spans="1:7" ht="14.25" customHeight="1" thickTop="1" thickBot="1">
      <c r="A33" s="1671" t="s">
        <v>965</v>
      </c>
      <c r="B33" s="1649"/>
      <c r="C33" s="1662">
        <f>C34+C35</f>
        <v>2517597071.2375002</v>
      </c>
      <c r="D33" s="1651">
        <f>C33/C89</f>
        <v>1.0943062884076302E-2</v>
      </c>
      <c r="E33" s="1669">
        <v>0.13033868899577467</v>
      </c>
    </row>
    <row r="34" spans="1:7" ht="14.25" customHeight="1" thickTop="1" thickBot="1">
      <c r="A34" s="1653" t="s">
        <v>962</v>
      </c>
      <c r="B34" s="1649" t="s">
        <v>1697</v>
      </c>
      <c r="C34" s="1654">
        <v>2294654389.4375</v>
      </c>
      <c r="D34" s="1649">
        <f>C34/C33</f>
        <v>0.91144624199518354</v>
      </c>
      <c r="E34" s="1669"/>
    </row>
    <row r="35" spans="1:7" ht="14.25" customHeight="1" thickTop="1">
      <c r="A35" s="1653" t="s">
        <v>1698</v>
      </c>
      <c r="B35" s="1649" t="s">
        <v>1692</v>
      </c>
      <c r="C35" s="1654">
        <v>222942681.80000001</v>
      </c>
      <c r="D35" s="1649">
        <f>C35/C33</f>
        <v>8.8553758004816366E-2</v>
      </c>
      <c r="E35" s="1670"/>
    </row>
    <row r="36" spans="1:7" ht="14.25" customHeight="1">
      <c r="A36" s="1648" t="s">
        <v>404</v>
      </c>
      <c r="B36" s="1649"/>
      <c r="C36" s="1662">
        <f>C37+C38</f>
        <v>21903324187.308002</v>
      </c>
      <c r="D36" s="1651">
        <f>C36/C89</f>
        <v>9.5205645371284106E-2</v>
      </c>
      <c r="E36" s="1666">
        <v>0.13610725783600375</v>
      </c>
    </row>
    <row r="37" spans="1:7" ht="14.25" customHeight="1">
      <c r="A37" s="1653" t="s">
        <v>962</v>
      </c>
      <c r="B37" s="1649" t="s">
        <v>1685</v>
      </c>
      <c r="C37" s="1654">
        <v>12856660499.518002</v>
      </c>
      <c r="D37" s="1649">
        <f>C37/C36</f>
        <v>0.58697302699687304</v>
      </c>
      <c r="E37" s="1664"/>
    </row>
    <row r="38" spans="1:7" ht="14.25" customHeight="1">
      <c r="A38" s="1653" t="s">
        <v>1698</v>
      </c>
      <c r="B38" s="1649" t="s">
        <v>1699</v>
      </c>
      <c r="C38" s="1654">
        <v>9046663687.7900009</v>
      </c>
      <c r="D38" s="1649">
        <f>C38/C36</f>
        <v>0.41302697300312702</v>
      </c>
      <c r="E38" s="1664"/>
    </row>
    <row r="39" spans="1:7" ht="14.25" customHeight="1">
      <c r="A39" s="1648" t="s">
        <v>1700</v>
      </c>
      <c r="B39" s="1649"/>
      <c r="C39" s="1662">
        <f>C40</f>
        <v>431752015.74000001</v>
      </c>
      <c r="D39" s="1651">
        <f>C39/C89</f>
        <v>1.8766662515408577E-3</v>
      </c>
      <c r="E39" s="1666">
        <v>0.105</v>
      </c>
    </row>
    <row r="40" spans="1:7" ht="14.25" customHeight="1">
      <c r="A40" s="1653" t="s">
        <v>962</v>
      </c>
      <c r="B40" s="1649" t="s">
        <v>1691</v>
      </c>
      <c r="C40" s="1654">
        <v>431752015.74000001</v>
      </c>
      <c r="D40" s="1649">
        <f>C40/C39</f>
        <v>1</v>
      </c>
      <c r="E40" s="1664"/>
    </row>
    <row r="41" spans="1:7" ht="14.25" customHeight="1">
      <c r="A41" s="1648" t="s">
        <v>1701</v>
      </c>
      <c r="B41" s="1649"/>
      <c r="C41" s="1662">
        <f>C42</f>
        <v>2114238127.74</v>
      </c>
      <c r="D41" s="1651">
        <f>C41/C89</f>
        <v>9.1898108113059457E-3</v>
      </c>
      <c r="E41" s="1666">
        <v>0.105</v>
      </c>
    </row>
    <row r="42" spans="1:7" ht="14.25" customHeight="1">
      <c r="A42" s="1653" t="s">
        <v>962</v>
      </c>
      <c r="B42" s="1649" t="s">
        <v>1691</v>
      </c>
      <c r="C42" s="1654">
        <v>2114238127.74</v>
      </c>
      <c r="D42" s="1649">
        <f>C42/C41</f>
        <v>1</v>
      </c>
      <c r="E42" s="1664"/>
    </row>
    <row r="43" spans="1:7" ht="14.25" customHeight="1">
      <c r="A43" s="1648" t="s">
        <v>1702</v>
      </c>
      <c r="B43" s="1649"/>
      <c r="C43" s="1662">
        <f>C44</f>
        <v>244453736.50999999</v>
      </c>
      <c r="D43" s="1651">
        <f>C43/C89</f>
        <v>1.062549937572593E-3</v>
      </c>
      <c r="E43" s="1666">
        <v>0.105</v>
      </c>
    </row>
    <row r="44" spans="1:7" ht="14.25" customHeight="1">
      <c r="A44" s="1653" t="s">
        <v>962</v>
      </c>
      <c r="B44" s="1649" t="s">
        <v>1691</v>
      </c>
      <c r="C44" s="1654">
        <v>244453736.50999999</v>
      </c>
      <c r="D44" s="1649">
        <f>C44/C43</f>
        <v>1</v>
      </c>
      <c r="E44" s="1664"/>
    </row>
    <row r="45" spans="1:7" ht="14.25" customHeight="1">
      <c r="A45" s="1648" t="s">
        <v>1703</v>
      </c>
      <c r="B45" s="1649"/>
      <c r="C45" s="1662">
        <f>C46</f>
        <v>1973171662.0400002</v>
      </c>
      <c r="D45" s="1651">
        <f>C45/C89</f>
        <v>8.5766470836286246E-3</v>
      </c>
      <c r="E45" s="1666">
        <v>0.15</v>
      </c>
    </row>
    <row r="46" spans="1:7" ht="14.25" customHeight="1">
      <c r="A46" s="1653" t="s">
        <v>962</v>
      </c>
      <c r="B46" s="1649" t="s">
        <v>1685</v>
      </c>
      <c r="C46" s="1654">
        <v>1973171662.0400002</v>
      </c>
      <c r="D46" s="1649">
        <f>C46/C45</f>
        <v>1</v>
      </c>
      <c r="E46" s="1672"/>
      <c r="F46" s="1673"/>
      <c r="G46" s="1674"/>
    </row>
    <row r="47" spans="1:7" ht="14.25" customHeight="1">
      <c r="A47" s="1648" t="s">
        <v>1704</v>
      </c>
      <c r="B47" s="1649"/>
      <c r="C47" s="1662">
        <f>C48</f>
        <v>2040872905.9499998</v>
      </c>
      <c r="D47" s="1651">
        <f>C47/C89</f>
        <v>8.870919339463889E-3</v>
      </c>
      <c r="E47" s="1666">
        <v>0.15</v>
      </c>
    </row>
    <row r="48" spans="1:7" ht="14.25" customHeight="1">
      <c r="A48" s="1653" t="s">
        <v>962</v>
      </c>
      <c r="B48" s="1649" t="s">
        <v>1685</v>
      </c>
      <c r="C48" s="1654">
        <v>2040872905.9499998</v>
      </c>
      <c r="D48" s="1649">
        <f>C48/C47</f>
        <v>1</v>
      </c>
      <c r="E48" s="1672"/>
      <c r="F48" s="1673"/>
    </row>
    <row r="49" spans="1:6" ht="14.25" customHeight="1">
      <c r="A49" s="1675" t="s">
        <v>1705</v>
      </c>
      <c r="B49" s="1676"/>
      <c r="C49" s="1661">
        <f>C50+C52+C55+C58</f>
        <v>8707165451.7649994</v>
      </c>
      <c r="D49" s="1660">
        <f>C49/C89</f>
        <v>3.7846826312792611E-2</v>
      </c>
      <c r="E49" s="1677"/>
    </row>
    <row r="50" spans="1:6" ht="14.25" customHeight="1">
      <c r="A50" s="1665" t="s">
        <v>1706</v>
      </c>
      <c r="B50" s="1649"/>
      <c r="C50" s="1662">
        <f>C51</f>
        <v>283131394.35000002</v>
      </c>
      <c r="D50" s="1651">
        <f>C50/C89</f>
        <v>1.2306674043377817E-3</v>
      </c>
      <c r="E50" s="1666">
        <v>0.15</v>
      </c>
    </row>
    <row r="51" spans="1:6" ht="14.25" customHeight="1" thickBot="1">
      <c r="A51" s="1667" t="s">
        <v>962</v>
      </c>
      <c r="B51" s="1649" t="s">
        <v>1685</v>
      </c>
      <c r="C51" s="1654">
        <v>283131394.35000002</v>
      </c>
      <c r="D51" s="1649">
        <f>C51/C50</f>
        <v>1</v>
      </c>
      <c r="E51" s="1666"/>
    </row>
    <row r="52" spans="1:6" ht="14.25" customHeight="1" thickTop="1" thickBot="1">
      <c r="A52" s="1665" t="s">
        <v>1707</v>
      </c>
      <c r="B52" s="1649"/>
      <c r="C52" s="1662">
        <f>C53+C54</f>
        <v>2885158474.0349998</v>
      </c>
      <c r="D52" s="1651">
        <f>C52/C89</f>
        <v>1.2540716293561419E-2</v>
      </c>
      <c r="E52" s="1669">
        <v>0.105</v>
      </c>
      <c r="F52" s="1659"/>
    </row>
    <row r="53" spans="1:6" ht="14.25" customHeight="1" thickTop="1" thickBot="1">
      <c r="A53" s="1667" t="s">
        <v>962</v>
      </c>
      <c r="B53" s="1649" t="s">
        <v>1691</v>
      </c>
      <c r="C53" s="1654">
        <v>2183154707.8149996</v>
      </c>
      <c r="D53" s="1649">
        <f>C53/C52</f>
        <v>0.75668450362859196</v>
      </c>
      <c r="E53" s="1669"/>
    </row>
    <row r="54" spans="1:6" ht="14.25" customHeight="1" thickTop="1" thickBot="1">
      <c r="A54" s="1667" t="s">
        <v>950</v>
      </c>
      <c r="B54" s="1649" t="s">
        <v>1692</v>
      </c>
      <c r="C54" s="1654">
        <v>702003766.22000003</v>
      </c>
      <c r="D54" s="1649">
        <f>C54/C52</f>
        <v>0.24331549637140798</v>
      </c>
      <c r="E54" s="1669"/>
    </row>
    <row r="55" spans="1:6" ht="14.25" customHeight="1" thickTop="1" thickBot="1">
      <c r="A55" s="1665" t="s">
        <v>1708</v>
      </c>
      <c r="B55" s="1649"/>
      <c r="C55" s="1662">
        <f>C57+C56</f>
        <v>660685348.79999995</v>
      </c>
      <c r="D55" s="1651">
        <f>C55/C89</f>
        <v>2.8717547383197771E-3</v>
      </c>
      <c r="E55" s="1669">
        <v>0.12</v>
      </c>
    </row>
    <row r="56" spans="1:6" ht="14.25" hidden="1" customHeight="1" thickTop="1" thickBot="1">
      <c r="A56" s="1667" t="s">
        <v>962</v>
      </c>
      <c r="B56" s="1649" t="s">
        <v>1697</v>
      </c>
      <c r="C56" s="1654">
        <v>0</v>
      </c>
      <c r="D56" s="1649">
        <f>C56/C55</f>
        <v>0</v>
      </c>
      <c r="E56" s="1669"/>
    </row>
    <row r="57" spans="1:6" ht="14.25" customHeight="1" thickTop="1" thickBot="1">
      <c r="A57" s="1667" t="s">
        <v>950</v>
      </c>
      <c r="B57" s="1649" t="s">
        <v>1699</v>
      </c>
      <c r="C57" s="1654">
        <v>660685348.79999995</v>
      </c>
      <c r="D57" s="1649">
        <f>C57/C55</f>
        <v>1</v>
      </c>
      <c r="E57" s="1669"/>
    </row>
    <row r="58" spans="1:6" ht="14.25" customHeight="1" thickTop="1" thickBot="1">
      <c r="A58" s="1665" t="s">
        <v>1709</v>
      </c>
      <c r="B58" s="1649"/>
      <c r="C58" s="1662">
        <f>C59+C60</f>
        <v>4878190234.5799999</v>
      </c>
      <c r="D58" s="1651">
        <f>C58/C89</f>
        <v>2.1203687876573632E-2</v>
      </c>
      <c r="E58" s="1669">
        <v>0.13500000000000001</v>
      </c>
    </row>
    <row r="59" spans="1:6" ht="14.25" customHeight="1" thickTop="1" thickBot="1">
      <c r="A59" s="1667" t="s">
        <v>962</v>
      </c>
      <c r="B59" s="1649" t="s">
        <v>1697</v>
      </c>
      <c r="C59" s="1654">
        <v>3534642545.4800005</v>
      </c>
      <c r="D59" s="1649">
        <f>C59/C58</f>
        <v>0.72458071036754568</v>
      </c>
      <c r="E59" s="1669"/>
    </row>
    <row r="60" spans="1:6" ht="14.25" customHeight="1" thickTop="1">
      <c r="A60" s="1667" t="s">
        <v>950</v>
      </c>
      <c r="B60" s="1649" t="s">
        <v>1699</v>
      </c>
      <c r="C60" s="1654">
        <v>1343547689.0999999</v>
      </c>
      <c r="D60" s="1649">
        <f>C60/C58</f>
        <v>0.27541928963245443</v>
      </c>
      <c r="E60" s="1670"/>
    </row>
    <row r="61" spans="1:6" ht="14.25" customHeight="1">
      <c r="A61" s="1655" t="s">
        <v>1222</v>
      </c>
      <c r="B61" s="1676"/>
      <c r="C61" s="1678">
        <f>C64+C67+C69+C62</f>
        <v>862345035.33000004</v>
      </c>
      <c r="D61" s="1679">
        <f>D64+D67+D69+D62</f>
        <v>3.7482947756801591E-3</v>
      </c>
      <c r="E61" s="1678"/>
    </row>
    <row r="62" spans="1:6" ht="14.25" hidden="1" customHeight="1">
      <c r="A62" s="1665" t="s">
        <v>1710</v>
      </c>
      <c r="B62" s="1649"/>
      <c r="C62" s="1662">
        <f>C63</f>
        <v>0</v>
      </c>
      <c r="D62" s="1651">
        <f>C62/C89</f>
        <v>0</v>
      </c>
      <c r="E62" s="1666">
        <v>0</v>
      </c>
    </row>
    <row r="63" spans="1:6" ht="14.25" hidden="1" customHeight="1">
      <c r="A63" s="1667" t="s">
        <v>962</v>
      </c>
      <c r="B63" s="1649"/>
      <c r="C63" s="1654"/>
      <c r="D63" s="1649" t="e">
        <f>C63/C62</f>
        <v>#DIV/0!</v>
      </c>
      <c r="E63" s="1666"/>
    </row>
    <row r="64" spans="1:6" ht="14.25" customHeight="1">
      <c r="A64" s="1665" t="s">
        <v>1711</v>
      </c>
      <c r="B64" s="1649"/>
      <c r="C64" s="1662">
        <f>C66+C65</f>
        <v>441398389.70000005</v>
      </c>
      <c r="D64" s="1651">
        <f>C64/C89</f>
        <v>1.9185954697043144E-3</v>
      </c>
      <c r="E64" s="1666">
        <v>0.12014817073790052</v>
      </c>
    </row>
    <row r="65" spans="1:6" ht="14.25" customHeight="1">
      <c r="A65" s="1667" t="s">
        <v>962</v>
      </c>
      <c r="B65" s="1649" t="s">
        <v>1697</v>
      </c>
      <c r="C65" s="1654">
        <v>441398389.70000005</v>
      </c>
      <c r="D65" s="1649">
        <f>C65/C64</f>
        <v>1</v>
      </c>
      <c r="E65" s="1666"/>
    </row>
    <row r="66" spans="1:6" ht="14.25" hidden="1" customHeight="1">
      <c r="A66" s="1667" t="s">
        <v>1698</v>
      </c>
      <c r="B66" s="1649" t="s">
        <v>1692</v>
      </c>
      <c r="C66" s="1654"/>
      <c r="D66" s="1649">
        <f>C66/C64</f>
        <v>0</v>
      </c>
      <c r="E66" s="1666"/>
    </row>
    <row r="67" spans="1:6" ht="14.25" hidden="1" customHeight="1">
      <c r="A67" s="1665" t="s">
        <v>1712</v>
      </c>
      <c r="B67" s="1649"/>
      <c r="C67" s="1662">
        <f>C68</f>
        <v>0</v>
      </c>
      <c r="D67" s="1651">
        <f>C67/C89</f>
        <v>0</v>
      </c>
      <c r="E67" s="1666">
        <v>0</v>
      </c>
    </row>
    <row r="68" spans="1:6" ht="14.25" hidden="1" customHeight="1">
      <c r="A68" s="1667" t="s">
        <v>962</v>
      </c>
      <c r="B68" s="1649"/>
      <c r="C68" s="1654"/>
      <c r="D68" s="1649" t="e">
        <f>C68/C67</f>
        <v>#DIV/0!</v>
      </c>
      <c r="E68" s="1666"/>
    </row>
    <row r="69" spans="1:6" ht="14.25" customHeight="1">
      <c r="A69" s="1665" t="s">
        <v>1713</v>
      </c>
      <c r="B69" s="1649"/>
      <c r="C69" s="1662">
        <f>C70</f>
        <v>420946645.63</v>
      </c>
      <c r="D69" s="1651">
        <f>C69/C89</f>
        <v>1.8296993059758444E-3</v>
      </c>
      <c r="E69" s="1666">
        <v>0.105</v>
      </c>
    </row>
    <row r="70" spans="1:6" ht="14.25" customHeight="1">
      <c r="A70" s="1680" t="s">
        <v>962</v>
      </c>
      <c r="B70" s="1649" t="s">
        <v>1691</v>
      </c>
      <c r="C70" s="1654">
        <v>420946645.63</v>
      </c>
      <c r="D70" s="1649">
        <f>C70/C69</f>
        <v>1</v>
      </c>
      <c r="E70" s="1666"/>
    </row>
    <row r="71" spans="1:6" ht="14.25" customHeight="1">
      <c r="A71" s="1655" t="s">
        <v>1714</v>
      </c>
      <c r="B71" s="1676"/>
      <c r="C71" s="1678">
        <f>C72+C73+C74</f>
        <v>1926179746.6399999</v>
      </c>
      <c r="D71" s="1679">
        <f>C71/C89</f>
        <v>8.3723906157687263E-3</v>
      </c>
      <c r="E71" s="1681">
        <v>0.14312706559701535</v>
      </c>
      <c r="F71" s="1682"/>
    </row>
    <row r="72" spans="1:6" ht="14.25" customHeight="1" thickBot="1">
      <c r="A72" s="1653" t="s">
        <v>962</v>
      </c>
      <c r="B72" s="1649" t="s">
        <v>1685</v>
      </c>
      <c r="C72" s="1683">
        <v>870792210.26999998</v>
      </c>
      <c r="D72" s="1649">
        <f>C72/C71</f>
        <v>0.45208252853296654</v>
      </c>
      <c r="E72" s="1668"/>
    </row>
    <row r="73" spans="1:6" ht="14.25" customHeight="1" thickTop="1" thickBot="1">
      <c r="A73" s="1653" t="s">
        <v>950</v>
      </c>
      <c r="B73" s="1649" t="s">
        <v>1699</v>
      </c>
      <c r="C73" s="1683">
        <v>174519126.99000001</v>
      </c>
      <c r="D73" s="1649">
        <f>C73/C71</f>
        <v>9.0603759744867354E-2</v>
      </c>
      <c r="E73" s="1669"/>
    </row>
    <row r="74" spans="1:6" ht="14.25" customHeight="1" thickTop="1">
      <c r="A74" s="1653" t="s">
        <v>1684</v>
      </c>
      <c r="B74" s="1649" t="s">
        <v>1699</v>
      </c>
      <c r="C74" s="1683">
        <v>880868409.37999988</v>
      </c>
      <c r="D74" s="1649">
        <f>C74/C71</f>
        <v>0.45731371172216612</v>
      </c>
      <c r="E74" s="1670"/>
    </row>
    <row r="75" spans="1:6" ht="14.25" customHeight="1">
      <c r="A75" s="1684" t="s">
        <v>450</v>
      </c>
      <c r="B75" s="1685"/>
      <c r="C75" s="1661">
        <f>C76+C78+C80+C82</f>
        <v>3737023972.9499998</v>
      </c>
      <c r="D75" s="1660">
        <f>D76+D78+D80+D82</f>
        <v>1.6243460402180727E-2</v>
      </c>
      <c r="E75" s="1658"/>
      <c r="F75" s="1659"/>
    </row>
    <row r="76" spans="1:6" ht="14.25" customHeight="1">
      <c r="A76" s="1648" t="s">
        <v>1715</v>
      </c>
      <c r="B76" s="1649"/>
      <c r="C76" s="1662">
        <f>C77</f>
        <v>823412850.42999995</v>
      </c>
      <c r="D76" s="1651">
        <f>C76/C89</f>
        <v>3.5790709739676107E-3</v>
      </c>
      <c r="E76" s="1666">
        <v>8.0000000000000016E-2</v>
      </c>
    </row>
    <row r="77" spans="1:6" ht="14.25" customHeight="1">
      <c r="A77" s="1653" t="s">
        <v>950</v>
      </c>
      <c r="B77" s="1649" t="s">
        <v>1699</v>
      </c>
      <c r="C77" s="1654">
        <v>823412850.42999995</v>
      </c>
      <c r="D77" s="1649">
        <f>C77/C76</f>
        <v>1</v>
      </c>
      <c r="E77" s="1666"/>
    </row>
    <row r="78" spans="1:6" ht="18" customHeight="1">
      <c r="A78" s="1686" t="s">
        <v>1716</v>
      </c>
      <c r="B78" s="1649"/>
      <c r="C78" s="1662">
        <f>C79</f>
        <v>1709204293.0100002</v>
      </c>
      <c r="D78" s="1651">
        <f>C78/C89</f>
        <v>7.4292786061066858E-3</v>
      </c>
      <c r="E78" s="1666">
        <v>9.0000000000000011E-2</v>
      </c>
    </row>
    <row r="79" spans="1:6" ht="14.25" customHeight="1">
      <c r="A79" s="1653" t="s">
        <v>950</v>
      </c>
      <c r="B79" s="1649" t="s">
        <v>1717</v>
      </c>
      <c r="C79" s="1654">
        <v>1709204293.0100002</v>
      </c>
      <c r="D79" s="1649">
        <f>C79/C78</f>
        <v>1</v>
      </c>
      <c r="E79" s="1666"/>
    </row>
    <row r="80" spans="1:6" ht="17.25" customHeight="1">
      <c r="A80" s="1686" t="s">
        <v>1718</v>
      </c>
      <c r="B80" s="1649"/>
      <c r="C80" s="1662">
        <f>C81</f>
        <v>1204406829.51</v>
      </c>
      <c r="D80" s="1651">
        <f>C80/C89</f>
        <v>5.2351108221064318E-3</v>
      </c>
      <c r="E80" s="1666">
        <v>8.0000000000000016E-2</v>
      </c>
    </row>
    <row r="81" spans="1:8" ht="14.25" customHeight="1">
      <c r="A81" s="1653" t="s">
        <v>951</v>
      </c>
      <c r="B81" s="1649" t="s">
        <v>1699</v>
      </c>
      <c r="C81" s="1654">
        <v>1204406829.51</v>
      </c>
      <c r="D81" s="1649">
        <f>C81/C80</f>
        <v>1</v>
      </c>
      <c r="E81" s="1666"/>
      <c r="F81" s="1659"/>
    </row>
    <row r="82" spans="1:8" ht="14.25" hidden="1" customHeight="1">
      <c r="A82" s="1648" t="s">
        <v>1719</v>
      </c>
      <c r="B82" s="1649"/>
      <c r="C82" s="1662">
        <f>C83</f>
        <v>0</v>
      </c>
      <c r="D82" s="1651">
        <f>C82/C89</f>
        <v>0</v>
      </c>
      <c r="E82" s="1666">
        <v>0.06</v>
      </c>
      <c r="F82" s="1659"/>
    </row>
    <row r="83" spans="1:8" ht="14.25" hidden="1" customHeight="1">
      <c r="A83" s="1653" t="s">
        <v>950</v>
      </c>
      <c r="B83" s="1649" t="s">
        <v>1692</v>
      </c>
      <c r="C83" s="1654"/>
      <c r="D83" s="1649" t="e">
        <f>C83/C82</f>
        <v>#DIV/0!</v>
      </c>
      <c r="E83" s="1668"/>
      <c r="F83" s="1659"/>
    </row>
    <row r="84" spans="1:8" ht="14.25" customHeight="1">
      <c r="A84" s="1687" t="s">
        <v>1720</v>
      </c>
      <c r="B84" s="1676"/>
      <c r="C84" s="1678">
        <f>C85</f>
        <v>343007847.39999998</v>
      </c>
      <c r="D84" s="1679">
        <f>D85</f>
        <v>1.4909281897062361E-3</v>
      </c>
      <c r="E84" s="1688"/>
      <c r="F84" s="1659"/>
    </row>
    <row r="85" spans="1:8" ht="14.25" customHeight="1">
      <c r="A85" s="1665" t="s">
        <v>1721</v>
      </c>
      <c r="B85" s="1649"/>
      <c r="C85" s="1662">
        <f>C86+C87</f>
        <v>343007847.39999998</v>
      </c>
      <c r="D85" s="1651">
        <f>C85/C89</f>
        <v>1.4909281897062361E-3</v>
      </c>
      <c r="E85" s="1666">
        <v>0.1</v>
      </c>
      <c r="F85" s="1659"/>
    </row>
    <row r="86" spans="1:8" ht="14.25" customHeight="1">
      <c r="A86" s="1667" t="s">
        <v>1722</v>
      </c>
      <c r="B86" s="1649" t="s">
        <v>1681</v>
      </c>
      <c r="C86" s="1654">
        <v>343007847.39999998</v>
      </c>
      <c r="D86" s="1649">
        <f>C86/C85</f>
        <v>1</v>
      </c>
      <c r="E86" s="1666"/>
      <c r="F86" s="1659"/>
    </row>
    <row r="87" spans="1:8" ht="14.25" hidden="1" customHeight="1">
      <c r="A87" s="1667" t="s">
        <v>1723</v>
      </c>
      <c r="B87" s="1649" t="s">
        <v>1681</v>
      </c>
      <c r="C87" s="1654"/>
      <c r="D87" s="1649">
        <f>C87/C85</f>
        <v>0</v>
      </c>
      <c r="E87" s="1666"/>
      <c r="F87" s="1659"/>
    </row>
    <row r="88" spans="1:8" ht="14.25" hidden="1" customHeight="1">
      <c r="A88" s="1689" t="s">
        <v>1724</v>
      </c>
      <c r="B88" s="1685" t="s">
        <v>1681</v>
      </c>
      <c r="C88" s="1661"/>
      <c r="D88" s="1660">
        <f>C88/C89</f>
        <v>0</v>
      </c>
      <c r="E88" s="1658"/>
      <c r="F88" s="1659"/>
    </row>
    <row r="89" spans="1:8" ht="14.25" customHeight="1">
      <c r="A89" s="1689" t="s">
        <v>1725</v>
      </c>
      <c r="B89" s="1685"/>
      <c r="C89" s="1678">
        <f>C9+C12+C17+C49+C61+C71+C75+C88+C84+0.25</f>
        <v>230063291960.14752</v>
      </c>
      <c r="D89" s="1660">
        <f>D9+D12+D17+D49+D61+D71+D75+D88+D84</f>
        <v>0.9999999999989132</v>
      </c>
      <c r="E89" s="1658"/>
      <c r="F89" s="1659"/>
      <c r="G89" s="1690"/>
    </row>
    <row r="90" spans="1:8" ht="28.5" customHeight="1">
      <c r="A90" s="2495" t="s">
        <v>1726</v>
      </c>
      <c r="B90" s="2495"/>
      <c r="C90" s="2495"/>
      <c r="D90" s="2495"/>
      <c r="E90" s="2495"/>
      <c r="F90" s="1691"/>
      <c r="G90" s="1690"/>
      <c r="H90" s="1682"/>
    </row>
    <row r="91" spans="1:8" ht="28.5" customHeight="1">
      <c r="A91" s="2496" t="s">
        <v>1727</v>
      </c>
      <c r="B91" s="2496"/>
      <c r="C91" s="2496"/>
      <c r="D91" s="2496"/>
      <c r="E91" s="2496"/>
      <c r="F91" s="1691"/>
      <c r="G91" s="1682"/>
    </row>
    <row r="92" spans="1:8" ht="15.75" customHeight="1">
      <c r="A92" s="2497" t="s">
        <v>1728</v>
      </c>
      <c r="B92" s="2497"/>
      <c r="C92" s="2497"/>
      <c r="D92" s="2497"/>
      <c r="E92" s="2497"/>
      <c r="F92" s="1691"/>
    </row>
    <row r="93" spans="1:8" ht="14.25" customHeight="1">
      <c r="A93" s="2497" t="s">
        <v>1729</v>
      </c>
      <c r="B93" s="2497"/>
      <c r="C93" s="2497"/>
      <c r="D93" s="2497"/>
      <c r="E93" s="2497"/>
      <c r="F93" s="1691"/>
    </row>
    <row r="94" spans="1:8">
      <c r="A94" s="1692"/>
    </row>
    <row r="98" spans="1:3">
      <c r="C98" s="1693"/>
    </row>
    <row r="100" spans="1:3">
      <c r="A100" s="1694"/>
    </row>
    <row r="101" spans="1:3">
      <c r="A101" s="1694"/>
    </row>
    <row r="102" spans="1:3">
      <c r="A102" s="1694"/>
    </row>
  </sheetData>
  <sheetProtection password="84D0" sheet="1" objects="1" scenarios="1"/>
  <mergeCells count="12">
    <mergeCell ref="A90:E90"/>
    <mergeCell ref="A91:E91"/>
    <mergeCell ref="A92:E92"/>
    <mergeCell ref="A93:E93"/>
    <mergeCell ref="A1:E1"/>
    <mergeCell ref="A2:E2"/>
    <mergeCell ref="A3:E3"/>
    <mergeCell ref="A4:E4"/>
    <mergeCell ref="A5:E5"/>
    <mergeCell ref="A7:A8"/>
    <mergeCell ref="B7:B8"/>
    <mergeCell ref="C7:E7"/>
  </mergeCells>
  <pageMargins left="0.26" right="0.27" top="0.28000000000000003" bottom="0.36" header="0" footer="0"/>
  <pageSetup scale="62" orientation="portrait"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9" tint="-0.249977111117893"/>
  </sheetPr>
  <dimension ref="A1:S56"/>
  <sheetViews>
    <sheetView showGridLines="0" view="pageBreakPreview" zoomScale="70" zoomScaleNormal="100" zoomScaleSheetLayoutView="70" workbookViewId="0">
      <selection activeCell="L20" sqref="L20"/>
    </sheetView>
  </sheetViews>
  <sheetFormatPr baseColWidth="10" defaultColWidth="11.42578125" defaultRowHeight="15"/>
  <cols>
    <col min="1" max="1" width="13.42578125" style="140" customWidth="1"/>
    <col min="2" max="2" width="12.85546875" style="140" customWidth="1"/>
    <col min="3" max="3" width="14.85546875" style="140" customWidth="1"/>
    <col min="4" max="12" width="11.42578125" style="140"/>
    <col min="13" max="13" width="10.85546875" style="140" customWidth="1"/>
    <col min="14" max="14" width="18" style="140" customWidth="1"/>
    <col min="15" max="15" width="11.140625" style="140" customWidth="1"/>
    <col min="16" max="16" width="10.7109375" style="140" hidden="1" customWidth="1"/>
    <col min="17" max="17" width="0.28515625" style="140" customWidth="1"/>
    <col min="18" max="16384" width="11.42578125" style="140"/>
  </cols>
  <sheetData>
    <row r="1" spans="1:19" ht="72" customHeight="1">
      <c r="A1" s="2305" t="s">
        <v>1917</v>
      </c>
      <c r="B1" s="2306"/>
      <c r="C1" s="2306"/>
      <c r="D1" s="2306"/>
      <c r="E1" s="2306"/>
      <c r="F1" s="2306"/>
      <c r="G1" s="2306"/>
      <c r="H1" s="2306"/>
      <c r="I1" s="2306"/>
      <c r="J1" s="2306"/>
      <c r="K1" s="2306"/>
      <c r="L1" s="2306"/>
      <c r="M1" s="2306"/>
      <c r="N1" s="2306"/>
      <c r="O1" s="2306"/>
      <c r="P1" s="2306"/>
      <c r="Q1" s="2306"/>
      <c r="R1" s="2306"/>
      <c r="S1" s="2306"/>
    </row>
    <row r="2" spans="1:19" ht="42.75" customHeight="1">
      <c r="A2" s="2508" t="s">
        <v>1985</v>
      </c>
      <c r="B2" s="2508"/>
      <c r="C2" s="2508"/>
      <c r="D2" s="2508"/>
      <c r="E2" s="2508"/>
      <c r="F2" s="2508"/>
      <c r="G2" s="2508"/>
      <c r="H2" s="2508"/>
      <c r="I2" s="2508"/>
      <c r="J2" s="2508"/>
      <c r="K2" s="2508"/>
      <c r="L2" s="2508"/>
      <c r="M2" s="2508"/>
      <c r="N2" s="2508"/>
      <c r="O2" s="2508"/>
      <c r="P2" s="208"/>
      <c r="Q2" s="208"/>
    </row>
    <row r="3" spans="1:19" ht="31.5" customHeight="1">
      <c r="A3" s="2505" t="s">
        <v>248</v>
      </c>
      <c r="B3" s="2506"/>
      <c r="C3" s="2507"/>
      <c r="D3" s="208"/>
      <c r="E3" s="208"/>
      <c r="F3" s="208"/>
      <c r="G3" s="208"/>
      <c r="H3" s="208"/>
      <c r="I3" s="208"/>
      <c r="J3" s="208"/>
      <c r="K3" s="208"/>
      <c r="L3" s="208"/>
      <c r="M3" s="208"/>
      <c r="N3" s="208"/>
      <c r="O3" s="208"/>
      <c r="P3" s="208"/>
      <c r="Q3" s="208"/>
    </row>
    <row r="4" spans="1:19" ht="33.75" customHeight="1">
      <c r="A4" s="1121" t="s">
        <v>51</v>
      </c>
      <c r="B4" s="1122" t="s">
        <v>247</v>
      </c>
      <c r="C4" s="1122" t="s">
        <v>246</v>
      </c>
      <c r="D4" s="208"/>
      <c r="E4" s="208"/>
      <c r="F4" s="208"/>
      <c r="G4" s="208"/>
      <c r="H4" s="208"/>
      <c r="I4" s="208"/>
      <c r="J4" s="208"/>
      <c r="K4" s="208"/>
      <c r="L4" s="208"/>
      <c r="M4" s="208"/>
      <c r="N4" s="208"/>
      <c r="O4" s="208"/>
      <c r="P4" s="208"/>
      <c r="Q4" s="208"/>
    </row>
    <row r="5" spans="1:19" ht="15.75" hidden="1">
      <c r="A5" s="1123">
        <v>37956</v>
      </c>
      <c r="B5" s="222">
        <v>0.24099999999999999</v>
      </c>
      <c r="C5" s="222">
        <v>0.23569999999999999</v>
      </c>
      <c r="D5" s="208"/>
      <c r="E5" s="208"/>
      <c r="F5" s="208"/>
      <c r="G5" s="208"/>
      <c r="H5" s="208"/>
      <c r="I5" s="208"/>
      <c r="J5" s="208"/>
      <c r="K5" s="208"/>
      <c r="L5" s="208"/>
      <c r="M5" s="208"/>
      <c r="N5" s="208"/>
      <c r="O5" s="208"/>
      <c r="P5" s="208"/>
      <c r="Q5" s="208"/>
    </row>
    <row r="6" spans="1:19" ht="15.75" hidden="1">
      <c r="A6" s="1123">
        <v>38139</v>
      </c>
      <c r="B6" s="222">
        <v>0.25180000000000002</v>
      </c>
      <c r="C6" s="222">
        <v>0.24979999999999999</v>
      </c>
      <c r="D6" s="208"/>
      <c r="E6" s="208"/>
      <c r="F6" s="208"/>
      <c r="G6" s="208"/>
      <c r="H6" s="208"/>
      <c r="I6" s="208"/>
      <c r="J6" s="208"/>
      <c r="K6" s="208"/>
      <c r="L6" s="208"/>
      <c r="M6" s="208"/>
      <c r="N6" s="208"/>
      <c r="O6" s="208"/>
      <c r="P6" s="208"/>
      <c r="Q6" s="208"/>
    </row>
    <row r="7" spans="1:19" ht="15.75" hidden="1">
      <c r="A7" s="1123">
        <v>38322</v>
      </c>
      <c r="B7" s="222">
        <v>0.22989999999999999</v>
      </c>
      <c r="C7" s="222">
        <v>0.2384</v>
      </c>
      <c r="D7" s="208"/>
      <c r="E7" s="208"/>
      <c r="F7" s="208"/>
      <c r="G7" s="208"/>
      <c r="H7" s="208"/>
      <c r="I7" s="208"/>
      <c r="J7" s="208"/>
      <c r="K7" s="208"/>
      <c r="L7" s="208"/>
      <c r="M7" s="208"/>
      <c r="N7" s="208"/>
      <c r="O7" s="208"/>
      <c r="P7" s="208"/>
      <c r="Q7" s="208"/>
    </row>
    <row r="8" spans="1:19" ht="15.75" hidden="1">
      <c r="A8" s="1123">
        <v>38504</v>
      </c>
      <c r="B8" s="222">
        <v>0.19919999999999999</v>
      </c>
      <c r="C8" s="222">
        <v>0.2041</v>
      </c>
      <c r="D8" s="208"/>
      <c r="E8" s="208"/>
      <c r="F8" s="208"/>
      <c r="G8" s="208"/>
      <c r="H8" s="208"/>
      <c r="I8" s="208"/>
      <c r="J8" s="208"/>
      <c r="K8" s="208"/>
      <c r="L8" s="208"/>
      <c r="M8" s="208"/>
      <c r="N8" s="208"/>
      <c r="O8" s="208"/>
      <c r="P8" s="208"/>
      <c r="Q8" s="208"/>
    </row>
    <row r="9" spans="1:19" ht="15.75">
      <c r="A9" s="1123">
        <v>38687</v>
      </c>
      <c r="B9" s="222">
        <v>0.1709</v>
      </c>
      <c r="C9" s="222">
        <v>0.1696</v>
      </c>
      <c r="D9" s="208"/>
      <c r="E9" s="208"/>
      <c r="F9" s="208"/>
      <c r="G9" s="208"/>
      <c r="H9" s="208"/>
      <c r="I9" s="208"/>
      <c r="J9" s="208"/>
      <c r="K9" s="208"/>
      <c r="L9" s="208"/>
      <c r="M9" s="208"/>
      <c r="N9" s="208"/>
      <c r="O9" s="208"/>
      <c r="P9" s="208"/>
      <c r="Q9" s="208"/>
    </row>
    <row r="10" spans="1:19" ht="15.75" hidden="1">
      <c r="A10" s="1123">
        <v>38869</v>
      </c>
      <c r="B10" s="222">
        <v>0.13300000000000001</v>
      </c>
      <c r="C10" s="222">
        <v>0.13469999999999999</v>
      </c>
      <c r="D10" s="208"/>
      <c r="E10" s="208"/>
      <c r="F10" s="208"/>
      <c r="G10" s="208"/>
      <c r="H10" s="208"/>
      <c r="I10" s="208"/>
      <c r="J10" s="208"/>
      <c r="K10" s="208"/>
      <c r="L10" s="208"/>
      <c r="M10" s="208"/>
      <c r="N10" s="208"/>
      <c r="O10" s="208"/>
      <c r="P10" s="208"/>
      <c r="Q10" s="208"/>
    </row>
    <row r="11" spans="1:19" ht="15.75">
      <c r="A11" s="1123">
        <v>39052</v>
      </c>
      <c r="B11" s="222">
        <v>0.1147</v>
      </c>
      <c r="C11" s="222">
        <v>0.1148</v>
      </c>
      <c r="D11" s="208"/>
      <c r="E11" s="208"/>
      <c r="F11" s="208"/>
      <c r="G11" s="208"/>
      <c r="H11" s="208"/>
      <c r="I11" s="208"/>
      <c r="J11" s="208"/>
      <c r="K11" s="208"/>
      <c r="L11" s="208"/>
      <c r="M11" s="208"/>
      <c r="N11" s="208"/>
      <c r="O11" s="208"/>
      <c r="P11" s="208"/>
      <c r="Q11" s="208"/>
    </row>
    <row r="12" spans="1:19" ht="15.75" hidden="1">
      <c r="A12" s="1123">
        <v>39234</v>
      </c>
      <c r="B12" s="222">
        <v>9.4399999999999998E-2</v>
      </c>
      <c r="C12" s="222">
        <v>9.4200000000000006E-2</v>
      </c>
      <c r="D12" s="208"/>
      <c r="E12" s="208"/>
      <c r="F12" s="208"/>
      <c r="G12" s="208"/>
      <c r="H12" s="208"/>
      <c r="I12" s="208"/>
      <c r="J12" s="208"/>
      <c r="K12" s="208"/>
      <c r="L12" s="208"/>
      <c r="M12" s="208"/>
      <c r="N12" s="208"/>
      <c r="O12" s="208"/>
      <c r="P12" s="208"/>
      <c r="Q12" s="208"/>
    </row>
    <row r="13" spans="1:19" ht="15.75" hidden="1">
      <c r="A13" s="1123">
        <v>39417</v>
      </c>
      <c r="B13" s="222">
        <v>8.48E-2</v>
      </c>
      <c r="C13" s="222">
        <v>8.4400000000000003E-2</v>
      </c>
      <c r="D13" s="208"/>
      <c r="E13" s="208"/>
      <c r="F13" s="208"/>
      <c r="G13" s="208"/>
      <c r="H13" s="208"/>
      <c r="I13" s="208"/>
      <c r="J13" s="208"/>
      <c r="K13" s="208"/>
      <c r="L13" s="208"/>
      <c r="M13" s="208"/>
      <c r="N13" s="208"/>
      <c r="O13" s="208"/>
      <c r="P13" s="208"/>
      <c r="Q13" s="208"/>
    </row>
    <row r="14" spans="1:19" ht="15.75">
      <c r="A14" s="1123">
        <v>39600</v>
      </c>
      <c r="B14" s="222">
        <v>8.6699999999999999E-2</v>
      </c>
      <c r="C14" s="222">
        <v>9.06E-2</v>
      </c>
      <c r="D14" s="208"/>
      <c r="E14" s="208"/>
      <c r="F14" s="208"/>
      <c r="G14" s="208"/>
      <c r="H14" s="208"/>
      <c r="I14" s="208"/>
      <c r="J14" s="208"/>
      <c r="K14" s="208"/>
      <c r="L14" s="208"/>
      <c r="M14" s="208"/>
      <c r="N14" s="208"/>
      <c r="O14" s="208"/>
      <c r="P14" s="208"/>
      <c r="Q14" s="208"/>
    </row>
    <row r="15" spans="1:19" ht="15.75">
      <c r="A15" s="1123">
        <v>39783</v>
      </c>
      <c r="B15" s="222">
        <v>0.1208</v>
      </c>
      <c r="C15" s="222">
        <v>0.13009999999999999</v>
      </c>
      <c r="D15" s="208"/>
      <c r="E15" s="208"/>
      <c r="F15" s="208"/>
      <c r="G15" s="208"/>
      <c r="H15" s="208"/>
      <c r="I15" s="208"/>
      <c r="J15" s="208"/>
      <c r="K15" s="208"/>
      <c r="L15" s="208"/>
      <c r="M15" s="208"/>
      <c r="N15" s="208"/>
      <c r="O15" s="208"/>
      <c r="P15" s="208"/>
      <c r="Q15" s="208"/>
    </row>
    <row r="16" spans="1:19" ht="15.75">
      <c r="A16" s="1123">
        <v>39965</v>
      </c>
      <c r="B16" s="222">
        <v>0.15529999999999999</v>
      </c>
      <c r="C16" s="222">
        <v>0.161</v>
      </c>
      <c r="D16" s="208"/>
      <c r="E16" s="208"/>
      <c r="F16" s="208"/>
      <c r="G16" s="208"/>
      <c r="H16" s="208"/>
      <c r="I16" s="208"/>
      <c r="J16" s="208"/>
      <c r="K16" s="208"/>
      <c r="L16" s="208"/>
      <c r="M16" s="208"/>
      <c r="N16" s="208"/>
      <c r="O16" s="208"/>
      <c r="P16" s="208"/>
      <c r="Q16" s="208"/>
    </row>
    <row r="17" spans="1:17" ht="15.75">
      <c r="A17" s="1123">
        <v>40148</v>
      </c>
      <c r="B17" s="222">
        <v>0.1404</v>
      </c>
      <c r="C17" s="222">
        <v>0.14330000000000001</v>
      </c>
      <c r="D17" s="208"/>
      <c r="E17" s="208"/>
      <c r="F17" s="208"/>
      <c r="G17" s="208"/>
      <c r="H17" s="208"/>
      <c r="I17" s="208"/>
      <c r="J17" s="208"/>
      <c r="K17" s="208"/>
      <c r="L17" s="208"/>
      <c r="M17" s="208"/>
      <c r="N17" s="208"/>
      <c r="O17" s="208"/>
      <c r="P17" s="208"/>
      <c r="Q17" s="208"/>
    </row>
    <row r="18" spans="1:17" ht="15.75">
      <c r="A18" s="1123">
        <v>40330</v>
      </c>
      <c r="B18" s="222">
        <v>0.11609999999999999</v>
      </c>
      <c r="C18" s="222">
        <v>0.1183</v>
      </c>
      <c r="D18" s="208"/>
      <c r="E18" s="208"/>
      <c r="F18" s="208"/>
      <c r="G18" s="208"/>
      <c r="H18" s="208"/>
      <c r="I18" s="208"/>
      <c r="J18" s="208"/>
      <c r="K18" s="208"/>
      <c r="L18" s="208"/>
      <c r="M18" s="208"/>
      <c r="N18" s="208"/>
      <c r="O18" s="208"/>
      <c r="P18" s="208"/>
      <c r="Q18" s="208"/>
    </row>
    <row r="19" spans="1:17" customFormat="1" ht="15.75">
      <c r="A19" s="1123">
        <v>40513</v>
      </c>
      <c r="B19" s="222">
        <v>0.108409960162953</v>
      </c>
      <c r="C19" s="222">
        <v>0.11057333531076501</v>
      </c>
      <c r="D19" s="148"/>
      <c r="E19" s="148"/>
      <c r="F19" s="148"/>
      <c r="G19" s="148"/>
      <c r="H19" s="148"/>
      <c r="I19" s="148"/>
      <c r="J19" s="148"/>
      <c r="K19" s="148"/>
      <c r="L19" s="148"/>
      <c r="M19" s="148"/>
      <c r="N19" s="148"/>
      <c r="O19" s="209"/>
      <c r="P19" s="148"/>
      <c r="Q19" s="148"/>
    </row>
    <row r="20" spans="1:17" ht="15.75">
      <c r="A20" s="1123">
        <v>40695</v>
      </c>
      <c r="B20" s="222">
        <v>0.113957126516463</v>
      </c>
      <c r="C20" s="222">
        <v>0.115288967128472</v>
      </c>
      <c r="D20" s="208"/>
      <c r="E20" s="209"/>
      <c r="F20" s="209"/>
      <c r="G20" s="209"/>
      <c r="H20" s="209"/>
      <c r="I20" s="209"/>
      <c r="J20" s="209"/>
      <c r="K20" s="209"/>
      <c r="L20" s="209"/>
      <c r="M20" s="209"/>
      <c r="N20" s="209"/>
      <c r="O20" s="208"/>
      <c r="P20" s="208"/>
      <c r="Q20" s="208"/>
    </row>
    <row r="21" spans="1:17" ht="15.75">
      <c r="A21" s="1123">
        <v>40878</v>
      </c>
      <c r="B21" s="222">
        <v>0.12479999999999999</v>
      </c>
      <c r="C21" s="222">
        <v>0.12659999999999999</v>
      </c>
      <c r="D21" s="148"/>
      <c r="E21" s="148"/>
      <c r="F21" s="148"/>
      <c r="G21" s="148"/>
      <c r="H21" s="148"/>
      <c r="I21" s="148"/>
      <c r="J21" s="148"/>
      <c r="K21" s="148"/>
      <c r="L21" s="148"/>
      <c r="M21" s="148"/>
      <c r="N21" s="148"/>
      <c r="O21" s="148"/>
      <c r="P21" s="208"/>
      <c r="Q21" s="208"/>
    </row>
    <row r="22" spans="1:17" ht="15.75" hidden="1">
      <c r="A22" s="1123">
        <v>40909</v>
      </c>
      <c r="B22" s="222">
        <v>0.1268</v>
      </c>
      <c r="C22" s="222">
        <v>0.12740000000000001</v>
      </c>
      <c r="D22" s="208"/>
      <c r="E22" s="208"/>
      <c r="F22" s="208"/>
      <c r="G22" s="208"/>
      <c r="H22" s="208"/>
      <c r="I22" s="208"/>
      <c r="J22" s="208"/>
      <c r="K22" s="208"/>
      <c r="L22" s="208"/>
      <c r="M22" s="208"/>
      <c r="N22" s="208"/>
      <c r="O22" s="208"/>
      <c r="P22" s="208"/>
      <c r="Q22" s="208"/>
    </row>
    <row r="23" spans="1:17" ht="15.75" hidden="1">
      <c r="A23" s="1123">
        <v>40940</v>
      </c>
      <c r="B23" s="222">
        <v>0.12870000000000001</v>
      </c>
      <c r="C23" s="222">
        <v>0.13070000000000001</v>
      </c>
      <c r="D23" s="208"/>
      <c r="E23" s="208"/>
      <c r="F23" s="208"/>
      <c r="G23" s="208"/>
      <c r="H23" s="208"/>
      <c r="I23" s="208"/>
      <c r="J23" s="208"/>
      <c r="K23" s="208"/>
      <c r="L23" s="208"/>
      <c r="M23" s="208"/>
      <c r="N23" s="208"/>
      <c r="O23" s="208"/>
      <c r="P23" s="208"/>
      <c r="Q23" s="208"/>
    </row>
    <row r="24" spans="1:17" ht="15.75" hidden="1">
      <c r="A24" s="1123">
        <v>40969</v>
      </c>
      <c r="B24" s="222">
        <v>0.13020000000000001</v>
      </c>
      <c r="C24" s="222">
        <v>0.13250000000000001</v>
      </c>
      <c r="D24" s="208"/>
      <c r="E24" s="208"/>
      <c r="F24" s="208"/>
      <c r="G24" s="208"/>
      <c r="H24" s="208"/>
      <c r="I24" s="208"/>
      <c r="J24" s="208"/>
      <c r="K24" s="208"/>
      <c r="L24" s="208"/>
      <c r="M24" s="208"/>
      <c r="N24" s="208"/>
      <c r="O24" s="208"/>
      <c r="P24" s="208"/>
      <c r="Q24" s="208"/>
    </row>
    <row r="25" spans="1:17" ht="15.75" hidden="1">
      <c r="A25" s="1123">
        <v>41000</v>
      </c>
      <c r="B25" s="222">
        <v>0.12909999999999999</v>
      </c>
      <c r="C25" s="222">
        <v>0.13170000000000001</v>
      </c>
      <c r="D25" s="208"/>
      <c r="E25" s="208"/>
      <c r="F25" s="208"/>
      <c r="G25" s="208"/>
      <c r="H25" s="208"/>
      <c r="I25" s="208"/>
      <c r="J25" s="208"/>
      <c r="K25" s="208"/>
      <c r="L25" s="208"/>
      <c r="M25" s="208"/>
      <c r="N25" s="208"/>
      <c r="O25" s="208"/>
      <c r="P25" s="208"/>
      <c r="Q25" s="208"/>
    </row>
    <row r="26" spans="1:17" ht="15.75" hidden="1">
      <c r="A26" s="1123">
        <v>41030</v>
      </c>
      <c r="B26" s="222">
        <v>0.13</v>
      </c>
      <c r="C26" s="222">
        <v>0.13289999999999999</v>
      </c>
      <c r="D26" s="208"/>
      <c r="E26" s="208"/>
      <c r="F26" s="208"/>
      <c r="G26" s="208"/>
      <c r="H26" s="208"/>
      <c r="I26" s="208"/>
      <c r="J26" s="208"/>
      <c r="K26" s="208"/>
      <c r="L26" s="208"/>
      <c r="M26" s="208"/>
      <c r="N26" s="208"/>
      <c r="O26" s="208"/>
      <c r="P26" s="208"/>
      <c r="Q26" s="208"/>
    </row>
    <row r="27" spans="1:17" ht="15.75">
      <c r="A27" s="1123">
        <v>41061</v>
      </c>
      <c r="B27" s="222">
        <v>0.13100000000000001</v>
      </c>
      <c r="C27" s="222">
        <v>0.1343</v>
      </c>
      <c r="D27" s="208"/>
      <c r="E27" s="208"/>
      <c r="F27" s="208"/>
      <c r="G27" s="208"/>
      <c r="H27" s="208"/>
      <c r="I27" s="208"/>
      <c r="J27" s="208"/>
      <c r="K27" s="208"/>
      <c r="L27" s="208"/>
      <c r="M27" s="208"/>
      <c r="N27" s="208"/>
      <c r="O27" s="208"/>
      <c r="P27" s="208"/>
      <c r="Q27" s="208"/>
    </row>
    <row r="28" spans="1:17" ht="15.75" hidden="1">
      <c r="A28" s="1123">
        <v>41091</v>
      </c>
      <c r="B28" s="222">
        <v>0.13519999999999999</v>
      </c>
      <c r="C28" s="222">
        <v>0.13800000000000001</v>
      </c>
      <c r="D28" s="208"/>
      <c r="E28" s="208"/>
      <c r="F28" s="208"/>
      <c r="G28" s="208"/>
      <c r="H28" s="208"/>
      <c r="I28" s="208"/>
      <c r="J28" s="208"/>
      <c r="K28" s="208"/>
      <c r="L28" s="208"/>
      <c r="M28" s="208"/>
      <c r="N28" s="208"/>
      <c r="O28" s="208"/>
      <c r="P28" s="208"/>
      <c r="Q28" s="208"/>
    </row>
    <row r="29" spans="1:17" ht="15.75" hidden="1">
      <c r="A29" s="1123">
        <v>41122</v>
      </c>
      <c r="B29" s="222">
        <v>0.1346</v>
      </c>
      <c r="C29" s="222">
        <v>0.13800000000000001</v>
      </c>
      <c r="D29" s="208"/>
      <c r="E29" s="208"/>
      <c r="F29" s="208"/>
      <c r="G29" s="208"/>
      <c r="H29" s="208"/>
      <c r="I29" s="208"/>
      <c r="J29" s="208"/>
      <c r="K29" s="208"/>
      <c r="L29" s="208"/>
      <c r="M29" s="208"/>
      <c r="N29" s="208"/>
      <c r="O29" s="208"/>
      <c r="P29" s="208"/>
      <c r="Q29" s="208"/>
    </row>
    <row r="30" spans="1:17" ht="15.75" hidden="1">
      <c r="A30" s="1123">
        <v>41153</v>
      </c>
      <c r="B30" s="222">
        <v>0.1351</v>
      </c>
      <c r="C30" s="222">
        <v>0.1386</v>
      </c>
      <c r="D30" s="208"/>
      <c r="E30" s="208"/>
      <c r="F30" s="208"/>
      <c r="G30" s="208"/>
      <c r="H30" s="208"/>
      <c r="I30" s="208"/>
      <c r="J30" s="208"/>
      <c r="K30" s="208"/>
      <c r="L30" s="208"/>
      <c r="M30" s="208"/>
      <c r="N30" s="208"/>
      <c r="O30" s="208"/>
      <c r="P30" s="208"/>
      <c r="Q30" s="208"/>
    </row>
    <row r="31" spans="1:17" ht="15.75" hidden="1">
      <c r="A31" s="1123">
        <v>41183</v>
      </c>
      <c r="B31" s="838">
        <v>0.13669999999999999</v>
      </c>
      <c r="C31" s="838">
        <v>0.14080000000000001</v>
      </c>
      <c r="D31" s="208"/>
      <c r="E31" s="208"/>
      <c r="F31" s="208"/>
      <c r="G31" s="208"/>
      <c r="H31" s="208"/>
      <c r="I31" s="208"/>
      <c r="J31" s="208"/>
      <c r="K31" s="208"/>
      <c r="L31" s="208"/>
      <c r="M31" s="208"/>
      <c r="N31" s="208"/>
      <c r="O31" s="208"/>
      <c r="P31" s="208"/>
      <c r="Q31" s="208"/>
    </row>
    <row r="32" spans="1:17" ht="15.75" hidden="1">
      <c r="A32" s="1123">
        <v>41214</v>
      </c>
      <c r="B32" s="838">
        <v>0.1447</v>
      </c>
      <c r="C32" s="838">
        <v>0.1472</v>
      </c>
      <c r="D32" s="208"/>
      <c r="E32" s="208"/>
      <c r="F32" s="208"/>
      <c r="G32" s="208"/>
      <c r="H32" s="208"/>
      <c r="I32" s="208"/>
      <c r="J32" s="208"/>
      <c r="K32" s="208"/>
      <c r="L32" s="208"/>
      <c r="M32" s="208"/>
      <c r="N32" s="208"/>
      <c r="O32" s="208"/>
      <c r="P32" s="208"/>
      <c r="Q32" s="208"/>
    </row>
    <row r="33" spans="1:17" ht="15.75">
      <c r="A33" s="1123">
        <v>41244</v>
      </c>
      <c r="B33" s="838">
        <v>0.14269999999999999</v>
      </c>
      <c r="C33" s="838">
        <v>0.1454</v>
      </c>
      <c r="D33" s="208"/>
      <c r="E33" s="208"/>
      <c r="F33" s="208"/>
      <c r="G33" s="208"/>
      <c r="H33" s="208"/>
      <c r="I33" s="208"/>
      <c r="J33" s="208"/>
      <c r="K33" s="208"/>
      <c r="L33" s="208"/>
      <c r="M33" s="208"/>
      <c r="N33" s="208"/>
      <c r="O33" s="208"/>
      <c r="P33" s="208"/>
      <c r="Q33" s="208"/>
    </row>
    <row r="34" spans="1:17" ht="15.75" hidden="1">
      <c r="A34" s="1123">
        <v>41275</v>
      </c>
      <c r="B34" s="838">
        <v>0.1409</v>
      </c>
      <c r="C34" s="838">
        <v>0.14360000000000001</v>
      </c>
      <c r="D34" s="208"/>
      <c r="E34" s="208"/>
      <c r="F34" s="208"/>
      <c r="G34" s="208"/>
      <c r="H34" s="208"/>
      <c r="I34" s="208"/>
      <c r="J34" s="208"/>
      <c r="K34" s="208"/>
      <c r="L34" s="208"/>
      <c r="M34" s="208"/>
      <c r="N34" s="208"/>
      <c r="O34" s="208"/>
      <c r="P34" s="208"/>
      <c r="Q34" s="208"/>
    </row>
    <row r="35" spans="1:17" ht="15.75" hidden="1">
      <c r="A35" s="1123">
        <v>41306</v>
      </c>
      <c r="B35" s="838">
        <v>0.14199999999999999</v>
      </c>
      <c r="C35" s="838">
        <v>0.14580000000000001</v>
      </c>
      <c r="D35" s="208"/>
      <c r="E35" s="208"/>
      <c r="F35" s="208"/>
      <c r="G35" s="208"/>
      <c r="H35" s="208"/>
      <c r="I35" s="208"/>
      <c r="J35" s="208"/>
      <c r="K35" s="208"/>
      <c r="L35" s="208"/>
      <c r="M35" s="208"/>
      <c r="N35" s="208"/>
      <c r="O35" s="208"/>
      <c r="P35" s="208"/>
      <c r="Q35" s="208"/>
    </row>
    <row r="36" spans="1:17" ht="15.75" hidden="1">
      <c r="A36" s="1123">
        <v>41334</v>
      </c>
      <c r="B36" s="838">
        <v>0.14480000000000001</v>
      </c>
      <c r="C36" s="838">
        <v>0.1479</v>
      </c>
    </row>
    <row r="37" spans="1:17" ht="15.75" hidden="1">
      <c r="A37" s="1123">
        <v>41365</v>
      </c>
      <c r="B37" s="838">
        <v>0.1477</v>
      </c>
      <c r="C37" s="838">
        <v>0.15110000000000001</v>
      </c>
    </row>
    <row r="38" spans="1:17" ht="15.75" hidden="1">
      <c r="A38" s="1123">
        <v>41395</v>
      </c>
      <c r="B38" s="838">
        <v>0.14810000000000001</v>
      </c>
      <c r="C38" s="838">
        <v>0.15129999999999999</v>
      </c>
    </row>
    <row r="39" spans="1:17" ht="15.75">
      <c r="A39" s="1123">
        <v>41426</v>
      </c>
      <c r="B39" s="838">
        <v>0.15329999999999999</v>
      </c>
      <c r="C39" s="838">
        <v>0.15759999999999999</v>
      </c>
    </row>
    <row r="40" spans="1:17" ht="15.75" hidden="1">
      <c r="A40" s="1123">
        <v>41456</v>
      </c>
      <c r="B40" s="838">
        <v>0.15479999999999999</v>
      </c>
      <c r="C40" s="838">
        <v>0.15840000000000001</v>
      </c>
    </row>
    <row r="41" spans="1:17" ht="15.75" hidden="1">
      <c r="A41" s="1123">
        <v>41487</v>
      </c>
      <c r="B41" s="838">
        <v>0.1517</v>
      </c>
      <c r="C41" s="838">
        <v>0.1545</v>
      </c>
    </row>
    <row r="42" spans="1:17" ht="15.75" hidden="1">
      <c r="A42" s="1123">
        <v>41518</v>
      </c>
      <c r="B42" s="838">
        <v>0.14349999999999999</v>
      </c>
      <c r="C42" s="838">
        <v>0.14680000000000001</v>
      </c>
    </row>
    <row r="43" spans="1:17" ht="15.75" hidden="1">
      <c r="A43" s="1123">
        <v>41548</v>
      </c>
      <c r="B43" s="838">
        <v>0.13850000000000001</v>
      </c>
      <c r="C43" s="838">
        <v>0.1411</v>
      </c>
    </row>
    <row r="44" spans="1:17" ht="15.75" hidden="1">
      <c r="A44" s="1123">
        <v>41579</v>
      </c>
      <c r="B44" s="838">
        <v>0.13170000000000001</v>
      </c>
      <c r="C44" s="838">
        <v>0.13519999999999999</v>
      </c>
    </row>
    <row r="45" spans="1:17" ht="15.75">
      <c r="A45" s="1123">
        <v>41609</v>
      </c>
      <c r="B45" s="838">
        <v>0.132289709655253</v>
      </c>
      <c r="C45" s="838">
        <v>0.133732017269869</v>
      </c>
    </row>
    <row r="46" spans="1:17" ht="15.75" hidden="1">
      <c r="A46" s="1123">
        <v>41640</v>
      </c>
      <c r="B46" s="838">
        <v>0.13262888735529499</v>
      </c>
      <c r="C46" s="838">
        <v>0.13435685682335999</v>
      </c>
    </row>
    <row r="47" spans="1:17" ht="15.75" hidden="1">
      <c r="A47" s="1123">
        <v>41671</v>
      </c>
      <c r="B47" s="838">
        <v>0.13070000000000001</v>
      </c>
      <c r="C47" s="838">
        <v>0.13150000000000001</v>
      </c>
    </row>
    <row r="48" spans="1:17" ht="15.75" hidden="1">
      <c r="A48" s="1123">
        <v>41699</v>
      </c>
      <c r="B48" s="838">
        <v>0.12620000000000001</v>
      </c>
      <c r="C48" s="838">
        <v>0.12820000000000001</v>
      </c>
      <c r="I48" s="703"/>
    </row>
    <row r="49" spans="1:3" ht="15.75" hidden="1">
      <c r="A49" s="1123">
        <v>41760</v>
      </c>
      <c r="B49" s="838">
        <v>0.1179</v>
      </c>
      <c r="C49" s="838">
        <v>0.1203</v>
      </c>
    </row>
    <row r="50" spans="1:3" ht="15.75">
      <c r="A50" s="1123">
        <v>41791</v>
      </c>
      <c r="B50" s="838">
        <v>0.116663916655663</v>
      </c>
      <c r="C50" s="838">
        <v>0.117645839774349</v>
      </c>
    </row>
    <row r="51" spans="1:3" ht="15.75">
      <c r="A51" s="1123">
        <v>41821</v>
      </c>
      <c r="B51" s="838">
        <v>0.116796791263615</v>
      </c>
      <c r="C51" s="838">
        <v>0.118568283938031</v>
      </c>
    </row>
    <row r="52" spans="1:3" ht="15.75">
      <c r="A52" s="1123">
        <v>41852</v>
      </c>
      <c r="B52" s="838">
        <v>0.1173</v>
      </c>
      <c r="C52" s="838">
        <v>0.1198</v>
      </c>
    </row>
    <row r="53" spans="1:3" ht="15.75">
      <c r="A53" s="1123">
        <v>41883</v>
      </c>
      <c r="B53" s="838">
        <v>0.122677017308136</v>
      </c>
      <c r="C53" s="838">
        <v>0.124578929225971</v>
      </c>
    </row>
    <row r="54" spans="1:3" ht="15.75">
      <c r="A54" s="1123">
        <v>41913</v>
      </c>
      <c r="B54" s="838">
        <v>0.123037759368956</v>
      </c>
      <c r="C54" s="838">
        <v>0.125103490001607</v>
      </c>
    </row>
    <row r="55" spans="1:3" ht="15.75">
      <c r="A55" s="1123">
        <v>41944</v>
      </c>
      <c r="B55" s="838">
        <v>0.1196</v>
      </c>
      <c r="C55" s="838">
        <v>0.12239999999999999</v>
      </c>
    </row>
    <row r="56" spans="1:3" ht="15.75">
      <c r="A56" s="1123">
        <v>41974</v>
      </c>
      <c r="B56" s="838">
        <v>0.1202</v>
      </c>
      <c r="C56" s="838">
        <v>0.12479999999999999</v>
      </c>
    </row>
  </sheetData>
  <mergeCells count="3">
    <mergeCell ref="A3:C3"/>
    <mergeCell ref="A2:O2"/>
    <mergeCell ref="A1:S1"/>
  </mergeCells>
  <printOptions horizontalCentered="1" verticalCentered="1"/>
  <pageMargins left="0.4" right="0.4" top="0.25" bottom="0.25" header="0.3" footer="0.3"/>
  <pageSetup scale="48"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55" zoomScaleNormal="100" zoomScaleSheetLayoutView="55" workbookViewId="0">
      <selection activeCell="T29" sqref="T29"/>
    </sheetView>
  </sheetViews>
  <sheetFormatPr baseColWidth="10" defaultColWidth="11.42578125" defaultRowHeight="15"/>
  <cols>
    <col min="1" max="1" width="15.5703125" style="1330" customWidth="1"/>
    <col min="2" max="4" width="18.42578125" style="1330" customWidth="1"/>
    <col min="5" max="5" width="14.28515625" style="1330" customWidth="1"/>
    <col min="6" max="12" width="13.5703125" style="1330" customWidth="1"/>
    <col min="13" max="13" width="23.140625" style="1330" customWidth="1"/>
    <col min="14" max="14" width="22.140625" style="1330" customWidth="1"/>
    <col min="15" max="15" width="13.5703125" style="1330" customWidth="1"/>
    <col min="16" max="16" width="11.42578125" style="1330" hidden="1" customWidth="1"/>
    <col min="17" max="17" width="0.28515625" style="1330" customWidth="1"/>
    <col min="18" max="18" width="11.42578125" style="1330"/>
    <col min="19" max="19" width="12.7109375" style="1330" customWidth="1"/>
    <col min="20" max="21" width="15.28515625" style="1330" customWidth="1"/>
    <col min="22" max="22" width="15.85546875" style="1330" customWidth="1"/>
    <col min="23" max="16384" width="11.42578125" style="1330"/>
  </cols>
  <sheetData>
    <row r="1" spans="1:17" ht="86.25" customHeight="1">
      <c r="A1" s="2509" t="s">
        <v>1986</v>
      </c>
      <c r="B1" s="2510"/>
      <c r="C1" s="2510"/>
      <c r="D1" s="2510"/>
      <c r="E1" s="2510"/>
      <c r="F1" s="2510"/>
      <c r="G1" s="2510"/>
      <c r="H1" s="2510"/>
      <c r="I1" s="2510"/>
      <c r="J1" s="2510"/>
      <c r="K1" s="2510"/>
      <c r="L1" s="2510"/>
      <c r="M1" s="2510"/>
      <c r="N1" s="2510"/>
      <c r="O1" s="2510"/>
      <c r="P1" s="2510"/>
      <c r="Q1" s="2511"/>
    </row>
    <row r="2" spans="1:17" ht="3.75" customHeight="1">
      <c r="A2" s="2512"/>
      <c r="B2" s="2512"/>
      <c r="C2" s="2512"/>
      <c r="D2" s="2512"/>
      <c r="E2" s="2512"/>
      <c r="F2" s="2512"/>
      <c r="G2" s="2512"/>
      <c r="H2" s="2512"/>
      <c r="I2" s="2512"/>
      <c r="J2" s="2512"/>
      <c r="K2" s="2512"/>
      <c r="L2" s="2512"/>
      <c r="M2" s="2512"/>
      <c r="N2" s="2512"/>
      <c r="O2" s="2512"/>
      <c r="P2" s="1331"/>
      <c r="Q2" s="1331"/>
    </row>
    <row r="3" spans="1:17" ht="44.25" customHeight="1">
      <c r="A3" s="2513" t="s">
        <v>1888</v>
      </c>
      <c r="B3" s="2514"/>
      <c r="C3" s="2514"/>
      <c r="D3" s="2515"/>
      <c r="E3" s="1331"/>
      <c r="F3" s="1331"/>
      <c r="G3" s="1331"/>
      <c r="H3" s="1331"/>
      <c r="I3" s="1331"/>
      <c r="J3" s="1331"/>
      <c r="K3" s="1331"/>
      <c r="L3" s="1331"/>
      <c r="M3" s="1331"/>
      <c r="N3" s="1331"/>
      <c r="O3" s="1331"/>
      <c r="P3" s="1331"/>
      <c r="Q3" s="1331"/>
    </row>
    <row r="4" spans="1:17" ht="45.75" customHeight="1">
      <c r="A4" s="1636" t="s">
        <v>51</v>
      </c>
      <c r="B4" s="1637" t="s">
        <v>1434</v>
      </c>
      <c r="C4" s="1637" t="s">
        <v>1843</v>
      </c>
      <c r="D4" s="1637" t="s">
        <v>1435</v>
      </c>
      <c r="E4" s="1331"/>
      <c r="F4" s="1331"/>
      <c r="G4" s="1331"/>
      <c r="H4" s="1331"/>
      <c r="I4" s="1331"/>
      <c r="J4" s="1331"/>
      <c r="K4" s="1331"/>
      <c r="L4" s="1331"/>
      <c r="M4" s="1331"/>
      <c r="N4" s="1331"/>
      <c r="O4" s="1331"/>
      <c r="P4" s="1331"/>
      <c r="Q4" s="1331"/>
    </row>
    <row r="5" spans="1:17" ht="18.75" hidden="1">
      <c r="A5" s="1638">
        <v>37956</v>
      </c>
      <c r="B5" s="1700">
        <v>0.23569999999999999</v>
      </c>
      <c r="C5" s="1700">
        <v>0.42655027092113201</v>
      </c>
      <c r="D5" s="1991">
        <f>B5-C5</f>
        <v>-0.19085027092113202</v>
      </c>
      <c r="E5" s="1331"/>
      <c r="F5" s="1331"/>
      <c r="G5" s="1331"/>
      <c r="H5" s="1331"/>
      <c r="I5" s="1331"/>
      <c r="J5" s="1331"/>
      <c r="K5" s="1331"/>
      <c r="L5" s="1331"/>
      <c r="M5" s="1331"/>
      <c r="N5" s="1331"/>
      <c r="O5" s="1331"/>
      <c r="P5" s="1331"/>
      <c r="Q5" s="1331"/>
    </row>
    <row r="6" spans="1:17" ht="18.75" hidden="1">
      <c r="A6" s="1638">
        <v>38322</v>
      </c>
      <c r="B6" s="1700">
        <v>0.2384</v>
      </c>
      <c r="C6" s="1700">
        <v>0.28740240557079555</v>
      </c>
      <c r="D6" s="1991">
        <f t="shared" ref="D6:D14" si="0">B6-C6</f>
        <v>-4.9002405570795549E-2</v>
      </c>
      <c r="E6" s="1331"/>
      <c r="F6" s="1331"/>
      <c r="G6" s="1331"/>
      <c r="H6" s="1331"/>
      <c r="I6" s="1331"/>
      <c r="J6" s="1331"/>
      <c r="K6" s="1331"/>
      <c r="L6" s="1331"/>
      <c r="M6" s="1331"/>
      <c r="N6" s="1331"/>
      <c r="O6" s="1331"/>
      <c r="P6" s="1331"/>
      <c r="Q6" s="1331"/>
    </row>
    <row r="7" spans="1:17" ht="18.75">
      <c r="A7" s="1638">
        <v>38687</v>
      </c>
      <c r="B7" s="1700">
        <v>0.1696</v>
      </c>
      <c r="C7" s="1700">
        <v>7.4373053597770911E-2</v>
      </c>
      <c r="D7" s="1991">
        <f t="shared" si="0"/>
        <v>9.522694640222909E-2</v>
      </c>
      <c r="E7" s="1331"/>
      <c r="F7" s="1331"/>
      <c r="G7" s="1331"/>
      <c r="H7" s="1331"/>
      <c r="I7" s="1331"/>
      <c r="J7" s="1331"/>
      <c r="K7" s="1331"/>
      <c r="L7" s="1331"/>
      <c r="M7" s="1331"/>
      <c r="N7" s="1331"/>
      <c r="O7" s="1331"/>
      <c r="P7" s="1331"/>
      <c r="Q7" s="1331"/>
    </row>
    <row r="8" spans="1:17" ht="18.75">
      <c r="A8" s="1638">
        <v>39052</v>
      </c>
      <c r="B8" s="1700">
        <v>0.1148</v>
      </c>
      <c r="C8" s="1700">
        <v>5.0001907013997426E-2</v>
      </c>
      <c r="D8" s="1991">
        <f t="shared" si="0"/>
        <v>6.4798092986002573E-2</v>
      </c>
      <c r="E8" s="1331"/>
      <c r="F8" s="1331"/>
      <c r="G8" s="1331"/>
      <c r="H8" s="1762"/>
      <c r="I8" s="1331"/>
      <c r="J8" s="1331"/>
      <c r="K8" s="1331"/>
      <c r="L8" s="1331"/>
      <c r="M8" s="1331"/>
      <c r="N8" s="1331"/>
      <c r="O8" s="1331"/>
      <c r="P8" s="1331"/>
      <c r="Q8" s="1331"/>
    </row>
    <row r="9" spans="1:17" ht="18.75">
      <c r="A9" s="1638">
        <v>39417</v>
      </c>
      <c r="B9" s="1700">
        <v>8.4400000000000003E-2</v>
      </c>
      <c r="C9" s="1700">
        <v>8.8775880857246747E-2</v>
      </c>
      <c r="D9" s="1991">
        <f t="shared" si="0"/>
        <v>-4.3758808572467445E-3</v>
      </c>
      <c r="E9" s="1331"/>
      <c r="F9" s="1331"/>
      <c r="G9" s="1331"/>
      <c r="H9" s="1331"/>
      <c r="I9" s="1331"/>
      <c r="J9" s="1331"/>
      <c r="K9" s="1331"/>
      <c r="L9" s="1331"/>
      <c r="M9" s="1331"/>
      <c r="N9" s="1331"/>
      <c r="O9" s="1331"/>
      <c r="P9" s="1331"/>
      <c r="Q9" s="1331"/>
    </row>
    <row r="10" spans="1:17" ht="18.75">
      <c r="A10" s="1638">
        <v>39783</v>
      </c>
      <c r="B10" s="1700">
        <v>0.13009999999999999</v>
      </c>
      <c r="C10" s="1700">
        <v>4.517248281844255E-2</v>
      </c>
      <c r="D10" s="1991">
        <f t="shared" si="0"/>
        <v>8.4927517181557444E-2</v>
      </c>
      <c r="E10" s="1331"/>
      <c r="F10" s="1331"/>
      <c r="G10" s="1331"/>
      <c r="H10" s="1331"/>
      <c r="I10" s="1331"/>
      <c r="J10" s="1331"/>
      <c r="K10" s="1331"/>
      <c r="L10" s="1331"/>
      <c r="M10" s="1331"/>
      <c r="N10" s="1331"/>
      <c r="O10" s="1331"/>
      <c r="P10" s="1331"/>
      <c r="Q10" s="1331"/>
    </row>
    <row r="11" spans="1:17" ht="18.75">
      <c r="A11" s="1638">
        <v>40148</v>
      </c>
      <c r="B11" s="1700">
        <v>0.14330000000000001</v>
      </c>
      <c r="C11" s="1700">
        <v>5.7648110316649515E-2</v>
      </c>
      <c r="D11" s="1991">
        <f t="shared" si="0"/>
        <v>8.5651889683350496E-2</v>
      </c>
      <c r="E11" s="1331"/>
      <c r="F11" s="1331"/>
      <c r="G11" s="1331"/>
      <c r="H11" s="1331"/>
      <c r="I11" s="1331"/>
      <c r="J11" s="1331"/>
      <c r="K11" s="1331"/>
      <c r="L11" s="1331"/>
      <c r="M11" s="1331"/>
      <c r="N11" s="1331"/>
      <c r="O11" s="1331"/>
      <c r="P11" s="1331"/>
      <c r="Q11" s="1331"/>
    </row>
    <row r="12" spans="1:17" s="1332" customFormat="1" ht="18.75">
      <c r="A12" s="1638">
        <v>40513</v>
      </c>
      <c r="B12" s="1700">
        <v>0.11057333531076501</v>
      </c>
      <c r="C12" s="1700">
        <v>6.2383050642844218E-2</v>
      </c>
      <c r="D12" s="1991">
        <f t="shared" si="0"/>
        <v>4.8190284667920788E-2</v>
      </c>
      <c r="E12" s="1333"/>
      <c r="F12" s="1333"/>
      <c r="G12" s="1333"/>
      <c r="H12" s="1333"/>
      <c r="I12" s="1333"/>
      <c r="J12" s="1333"/>
      <c r="K12" s="1333"/>
      <c r="L12" s="1333"/>
      <c r="M12" s="1333"/>
      <c r="N12" s="1333"/>
      <c r="O12" s="1334"/>
      <c r="P12" s="1333"/>
      <c r="Q12" s="1333"/>
    </row>
    <row r="13" spans="1:17" ht="18.75">
      <c r="A13" s="1638">
        <v>40878</v>
      </c>
      <c r="B13" s="1700">
        <v>0.12659999999999999</v>
      </c>
      <c r="C13" s="1700">
        <v>7.7600000000000002E-2</v>
      </c>
      <c r="D13" s="1991">
        <f t="shared" si="0"/>
        <v>4.8999999999999988E-2</v>
      </c>
      <c r="E13" s="1333"/>
      <c r="F13" s="1333"/>
      <c r="G13" s="1333"/>
      <c r="H13" s="1333"/>
      <c r="I13" s="1333"/>
      <c r="J13" s="1333"/>
      <c r="K13" s="1333"/>
      <c r="L13" s="1333"/>
      <c r="M13" s="1333"/>
      <c r="N13" s="1333"/>
      <c r="O13" s="1333"/>
      <c r="P13" s="1331"/>
      <c r="Q13" s="1331"/>
    </row>
    <row r="14" spans="1:17" ht="18.75">
      <c r="A14" s="1638">
        <v>41244</v>
      </c>
      <c r="B14" s="1700">
        <v>0.14269999999999999</v>
      </c>
      <c r="C14" s="1700">
        <v>3.9100000000000003E-2</v>
      </c>
      <c r="D14" s="1991">
        <f t="shared" si="0"/>
        <v>0.1036</v>
      </c>
      <c r="E14" s="1331"/>
      <c r="F14" s="1331"/>
      <c r="G14" s="1331"/>
      <c r="H14" s="1331"/>
      <c r="I14" s="1331"/>
      <c r="J14" s="1331"/>
      <c r="K14" s="1331"/>
      <c r="L14" s="1331"/>
      <c r="M14" s="1331"/>
      <c r="N14" s="1331"/>
      <c r="O14" s="1331"/>
      <c r="P14" s="1331"/>
      <c r="Q14" s="1331"/>
    </row>
    <row r="15" spans="1:17" ht="18.75">
      <c r="A15" s="1638">
        <v>41609</v>
      </c>
      <c r="B15" s="1700">
        <f>+'V.5.3 Rent. nom. de los FP'!B45</f>
        <v>0.132289709655253</v>
      </c>
      <c r="C15" s="1700">
        <v>3.8800000000000001E-2</v>
      </c>
      <c r="D15" s="1991">
        <f>B15-C15</f>
        <v>9.3489709655252995E-2</v>
      </c>
      <c r="E15" s="1331"/>
      <c r="F15" s="1331"/>
      <c r="G15" s="1331"/>
      <c r="H15" s="1331"/>
      <c r="I15" s="1331"/>
      <c r="J15" s="1331"/>
      <c r="K15" s="1331"/>
      <c r="L15" s="1331"/>
      <c r="M15" s="1331"/>
      <c r="N15" s="1331"/>
      <c r="O15" s="1331"/>
      <c r="P15" s="1331"/>
      <c r="Q15" s="1331"/>
    </row>
    <row r="16" spans="1:17" ht="18.75">
      <c r="A16" s="1638">
        <v>41974</v>
      </c>
      <c r="B16" s="1700">
        <v>0.1202</v>
      </c>
      <c r="C16" s="1700">
        <v>1.5800000000000002E-2</v>
      </c>
      <c r="D16" s="1991">
        <f>B16-C16</f>
        <v>0.10439999999999999</v>
      </c>
      <c r="E16" s="1331"/>
      <c r="F16" s="1331"/>
      <c r="G16" s="1331"/>
      <c r="H16" s="1331"/>
      <c r="I16" s="1331"/>
      <c r="J16" s="1331"/>
      <c r="K16" s="1331"/>
      <c r="L16" s="1331"/>
      <c r="M16" s="1331"/>
      <c r="N16" s="1331"/>
      <c r="O16" s="1331"/>
      <c r="P16" s="1331"/>
      <c r="Q16" s="1331"/>
    </row>
    <row r="17" spans="1:20">
      <c r="A17" s="1331"/>
      <c r="B17" s="1331"/>
      <c r="C17" s="1331"/>
      <c r="D17" s="1331"/>
      <c r="E17" s="1331"/>
      <c r="F17" s="1331"/>
      <c r="G17" s="1331"/>
      <c r="H17" s="1331"/>
      <c r="I17" s="1331"/>
      <c r="J17" s="1331"/>
      <c r="K17" s="1331"/>
      <c r="L17" s="1331"/>
      <c r="M17" s="1331"/>
      <c r="N17" s="1331"/>
      <c r="O17" s="1331"/>
      <c r="P17" s="1331"/>
      <c r="Q17" s="1331"/>
    </row>
    <row r="18" spans="1:20">
      <c r="A18" s="1331"/>
      <c r="B18" s="1331"/>
      <c r="C18" s="1331"/>
      <c r="D18" s="1331"/>
      <c r="E18" s="1331"/>
      <c r="F18" s="1331"/>
      <c r="G18" s="1331"/>
      <c r="H18" s="1331"/>
      <c r="I18" s="1331"/>
      <c r="J18" s="1331"/>
      <c r="K18" s="1331"/>
      <c r="L18" s="1331"/>
      <c r="M18" s="1331"/>
      <c r="N18" s="1331"/>
      <c r="O18" s="1331"/>
      <c r="P18" s="1331"/>
      <c r="Q18" s="1331"/>
    </row>
    <row r="19" spans="1:20">
      <c r="A19" s="1331"/>
      <c r="B19" s="1331"/>
      <c r="C19" s="1331"/>
      <c r="D19" s="1331"/>
      <c r="E19" s="1331"/>
      <c r="F19" s="1331"/>
      <c r="G19" s="1331"/>
      <c r="H19" s="1331"/>
      <c r="I19" s="1331"/>
      <c r="J19" s="1331"/>
      <c r="K19" s="1331"/>
      <c r="L19" s="1331"/>
      <c r="M19" s="1331"/>
      <c r="N19" s="1331"/>
      <c r="O19" s="1331"/>
      <c r="P19" s="1331"/>
      <c r="Q19" s="1331"/>
    </row>
    <row r="20" spans="1:20">
      <c r="A20" s="1331"/>
      <c r="B20" s="1331"/>
      <c r="C20" s="1331"/>
      <c r="D20" s="1331"/>
      <c r="E20" s="1331"/>
      <c r="F20" s="1331"/>
      <c r="G20" s="1331"/>
      <c r="H20" s="1331"/>
      <c r="I20" s="1331"/>
      <c r="J20" s="1331"/>
      <c r="K20" s="1331"/>
      <c r="L20" s="1331"/>
      <c r="M20" s="1331"/>
      <c r="N20" s="1331"/>
      <c r="O20" s="1331"/>
      <c r="P20" s="1331"/>
      <c r="Q20" s="1331"/>
      <c r="S20" s="77"/>
      <c r="T20" s="77"/>
    </row>
    <row r="21" spans="1:20">
      <c r="S21" s="77"/>
      <c r="T21" s="77"/>
    </row>
    <row r="27" spans="1:20">
      <c r="S27" s="2153"/>
    </row>
    <row r="28" spans="1:20">
      <c r="S28" s="2153"/>
    </row>
    <row r="29" spans="1:20">
      <c r="S29" s="2153"/>
    </row>
    <row r="30" spans="1:20">
      <c r="S30" s="2153"/>
    </row>
    <row r="31" spans="1:20">
      <c r="S31" s="2153"/>
    </row>
    <row r="32" spans="1:20">
      <c r="S32" s="2153"/>
    </row>
    <row r="33" spans="19:19">
      <c r="S33" s="2154"/>
    </row>
    <row r="34" spans="19:19">
      <c r="S34" s="2154"/>
    </row>
    <row r="35" spans="19:19">
      <c r="S35" s="2154"/>
    </row>
    <row r="36" spans="19:19">
      <c r="S36" s="2154"/>
    </row>
    <row r="37" spans="19:19">
      <c r="S37" s="2155"/>
    </row>
    <row r="38" spans="19:19">
      <c r="S38" s="2155"/>
    </row>
  </sheetData>
  <mergeCells count="3">
    <mergeCell ref="A1:Q1"/>
    <mergeCell ref="A2:O2"/>
    <mergeCell ref="A3:D3"/>
  </mergeCells>
  <printOptions horizontalCentered="1" verticalCentered="1"/>
  <pageMargins left="0.4" right="0.4" top="0.25" bottom="0.25" header="0.3" footer="0.3"/>
  <pageSetup scale="5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N17" sqref="N17"/>
    </sheetView>
  </sheetViews>
  <sheetFormatPr baseColWidth="10" defaultColWidth="11.42578125" defaultRowHeight="15"/>
  <cols>
    <col min="1" max="6" width="11.42578125" style="128"/>
    <col min="7" max="7" width="8.85546875" style="128" customWidth="1"/>
    <col min="8" max="16384" width="11.42578125" style="128"/>
  </cols>
  <sheetData/>
  <pageMargins left="0.7" right="0.7" top="0.75" bottom="0.75" header="0.3" footer="0.3"/>
  <pageSetup scale="77" orientation="landscape" r:id="rId1"/>
  <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4">
    <tabColor theme="0" tint="-0.499984740745262"/>
  </sheetPr>
  <dimension ref="A1:P37"/>
  <sheetViews>
    <sheetView showGridLines="0" view="pageBreakPreview" zoomScale="70" zoomScaleNormal="100" zoomScaleSheetLayoutView="70" workbookViewId="0">
      <selection activeCell="B10" sqref="B10"/>
    </sheetView>
  </sheetViews>
  <sheetFormatPr baseColWidth="10" defaultColWidth="11.42578125" defaultRowHeight="15"/>
  <cols>
    <col min="1" max="1" width="13.28515625" style="86" customWidth="1"/>
    <col min="2" max="2" width="21" style="86" customWidth="1"/>
    <col min="3" max="3" width="18.140625" style="86" customWidth="1"/>
    <col min="4" max="4" width="18.7109375" style="86" customWidth="1"/>
    <col min="5" max="5" width="19.42578125" style="86" customWidth="1"/>
    <col min="6" max="6" width="16.85546875" style="86" customWidth="1"/>
    <col min="7" max="8" width="11.42578125" style="86"/>
    <col min="9" max="9" width="16.85546875" style="86" bestFit="1" customWidth="1"/>
    <col min="10" max="10" width="15" style="86" bestFit="1" customWidth="1"/>
    <col min="11" max="13" width="11.42578125" style="86"/>
    <col min="14" max="14" width="24.7109375" style="86" customWidth="1"/>
    <col min="15" max="16384" width="11.42578125" style="86"/>
  </cols>
  <sheetData>
    <row r="1" spans="1:16" customFormat="1" ht="92.25" customHeight="1">
      <c r="A1" s="2516" t="s">
        <v>1987</v>
      </c>
      <c r="B1" s="2516"/>
      <c r="C1" s="2516"/>
      <c r="D1" s="2516"/>
      <c r="E1" s="2516"/>
      <c r="F1" s="2516"/>
      <c r="G1" s="2516"/>
      <c r="H1" s="2516"/>
      <c r="I1" s="2516"/>
      <c r="J1" s="2516"/>
      <c r="K1" s="2516"/>
      <c r="L1" s="2516"/>
      <c r="M1" s="2516"/>
      <c r="N1" s="2516"/>
    </row>
    <row r="2" spans="1:16" s="128" customFormat="1" ht="3" customHeight="1">
      <c r="A2" s="148"/>
      <c r="B2" s="148"/>
      <c r="C2" s="148"/>
      <c r="D2" s="148"/>
      <c r="E2" s="148"/>
      <c r="F2" s="148"/>
      <c r="G2" s="148"/>
      <c r="H2" s="148"/>
      <c r="I2" s="148"/>
      <c r="J2" s="148"/>
      <c r="K2" s="148"/>
      <c r="L2" s="148"/>
      <c r="M2" s="148"/>
      <c r="N2" s="148"/>
    </row>
    <row r="3" spans="1:16" customFormat="1" ht="40.5" customHeight="1">
      <c r="A3" s="992" t="s">
        <v>0</v>
      </c>
      <c r="B3" s="993" t="s">
        <v>964</v>
      </c>
      <c r="C3" s="993" t="s">
        <v>408</v>
      </c>
      <c r="D3" s="993" t="s">
        <v>1014</v>
      </c>
      <c r="E3" s="993" t="s">
        <v>408</v>
      </c>
      <c r="F3" s="993" t="s">
        <v>1237</v>
      </c>
      <c r="G3" s="23"/>
      <c r="H3" s="23"/>
      <c r="I3" s="714"/>
      <c r="J3" s="23"/>
      <c r="K3" s="23"/>
      <c r="L3" s="23"/>
      <c r="M3" s="23"/>
      <c r="N3" s="27"/>
    </row>
    <row r="4" spans="1:16" customFormat="1" ht="18.75">
      <c r="A4" s="994" t="s">
        <v>9</v>
      </c>
      <c r="B4" s="995">
        <v>1566047</v>
      </c>
      <c r="C4" s="996"/>
      <c r="D4" s="997">
        <v>1188229</v>
      </c>
      <c r="E4" s="996"/>
      <c r="F4" s="996">
        <f t="shared" ref="F4:F9" si="0">D4/B4</f>
        <v>0.75874415007978691</v>
      </c>
      <c r="G4" s="23"/>
      <c r="H4" s="23"/>
      <c r="I4" s="27"/>
    </row>
    <row r="5" spans="1:16" customFormat="1" ht="18.75">
      <c r="A5" s="994" t="s">
        <v>10</v>
      </c>
      <c r="B5" s="995">
        <v>1560994</v>
      </c>
      <c r="C5" s="996">
        <f t="shared" ref="C5:C10" si="1">B5/B4-1</f>
        <v>-3.226595370381613E-3</v>
      </c>
      <c r="D5" s="995">
        <v>1227725</v>
      </c>
      <c r="E5" s="996">
        <f t="shared" ref="E5:E10" si="2">D5/D4-1</f>
        <v>3.323938399079629E-2</v>
      </c>
      <c r="F5" s="996">
        <f t="shared" si="0"/>
        <v>0.78650206214758034</v>
      </c>
      <c r="G5" s="24"/>
      <c r="H5" s="24"/>
      <c r="I5" s="27"/>
    </row>
    <row r="6" spans="1:16" customFormat="1" ht="18.75">
      <c r="A6" s="994" t="s">
        <v>187</v>
      </c>
      <c r="B6" s="995">
        <v>1631129</v>
      </c>
      <c r="C6" s="996">
        <f t="shared" si="1"/>
        <v>4.4929705046912405E-2</v>
      </c>
      <c r="D6" s="995">
        <v>1299087</v>
      </c>
      <c r="E6" s="996">
        <f t="shared" si="2"/>
        <v>5.8125394530534225E-2</v>
      </c>
      <c r="F6" s="996">
        <f t="shared" si="0"/>
        <v>0.79643424891593495</v>
      </c>
      <c r="G6" s="28"/>
      <c r="H6" s="28"/>
      <c r="I6" s="28"/>
      <c r="J6" s="28"/>
      <c r="K6" s="28"/>
      <c r="L6" s="28"/>
      <c r="M6" s="28"/>
      <c r="N6" s="28"/>
    </row>
    <row r="7" spans="1:16" customFormat="1" ht="18.75">
      <c r="A7" s="994" t="s">
        <v>509</v>
      </c>
      <c r="B7" s="995">
        <v>1686216</v>
      </c>
      <c r="C7" s="998">
        <f t="shared" si="1"/>
        <v>3.3772313532528742E-2</v>
      </c>
      <c r="D7" s="999">
        <v>1367790</v>
      </c>
      <c r="E7" s="998">
        <f t="shared" si="2"/>
        <v>5.2885603504615242E-2</v>
      </c>
      <c r="F7" s="998">
        <f t="shared" si="0"/>
        <v>0.81115942441537736</v>
      </c>
    </row>
    <row r="8" spans="1:16" customFormat="1" ht="18.75">
      <c r="A8" s="994" t="s">
        <v>1067</v>
      </c>
      <c r="B8" s="995">
        <v>1716228</v>
      </c>
      <c r="C8" s="998">
        <f t="shared" si="1"/>
        <v>1.7798431517670243E-2</v>
      </c>
      <c r="D8" s="1000">
        <v>1430273</v>
      </c>
      <c r="E8" s="998">
        <f t="shared" si="2"/>
        <v>4.5681720147098703E-2</v>
      </c>
      <c r="F8" s="998">
        <f t="shared" si="0"/>
        <v>0.83338169520599825</v>
      </c>
      <c r="K8" t="s">
        <v>36</v>
      </c>
    </row>
    <row r="9" spans="1:16" customFormat="1" ht="18.75">
      <c r="A9" s="994" t="s">
        <v>1643</v>
      </c>
      <c r="B9" s="995">
        <v>1769801</v>
      </c>
      <c r="C9" s="998">
        <f t="shared" si="1"/>
        <v>3.1215549449140845E-2</v>
      </c>
      <c r="D9" s="1000">
        <v>1530322</v>
      </c>
      <c r="E9" s="998">
        <f t="shared" si="2"/>
        <v>6.9950981386071032E-2</v>
      </c>
      <c r="F9" s="998">
        <f t="shared" si="0"/>
        <v>0.864685916665207</v>
      </c>
      <c r="G9" s="28"/>
      <c r="H9" s="28"/>
      <c r="I9" s="28"/>
      <c r="J9" s="28"/>
      <c r="K9" s="28"/>
      <c r="L9" s="28"/>
      <c r="M9" s="28"/>
      <c r="N9" s="28"/>
    </row>
    <row r="10" spans="1:16" customFormat="1" ht="18.75">
      <c r="A10" s="994" t="s">
        <v>1907</v>
      </c>
      <c r="B10" s="995">
        <v>1865496</v>
      </c>
      <c r="C10" s="998">
        <f t="shared" si="1"/>
        <v>5.4071050926064679E-2</v>
      </c>
      <c r="D10" s="1000">
        <v>1651202</v>
      </c>
      <c r="E10" s="998">
        <f t="shared" si="2"/>
        <v>7.8989911927032308E-2</v>
      </c>
      <c r="F10" s="998">
        <f>D10/B10</f>
        <v>0.88512760145291114</v>
      </c>
      <c r="G10" s="28"/>
      <c r="H10" s="28"/>
      <c r="I10" s="28"/>
      <c r="J10" s="28"/>
      <c r="K10" s="28"/>
      <c r="L10" s="28"/>
      <c r="M10" s="28"/>
      <c r="N10" s="28"/>
    </row>
    <row r="11" spans="1:16" customFormat="1">
      <c r="B11" s="28"/>
      <c r="C11" s="28"/>
      <c r="D11" s="28"/>
      <c r="E11" s="28"/>
      <c r="F11" s="28"/>
      <c r="G11" s="28"/>
      <c r="H11" s="28"/>
      <c r="I11" s="28"/>
      <c r="J11" s="28"/>
      <c r="K11" s="28"/>
      <c r="L11" s="28"/>
      <c r="M11" s="28"/>
      <c r="N11" s="28"/>
    </row>
    <row r="12" spans="1:16" customFormat="1">
      <c r="B12" s="28"/>
      <c r="C12" s="28"/>
      <c r="D12" s="28"/>
      <c r="E12" s="28"/>
      <c r="F12" s="28"/>
      <c r="G12" s="28"/>
      <c r="H12" s="28"/>
      <c r="I12" s="28"/>
      <c r="J12" s="28"/>
      <c r="K12" s="28"/>
      <c r="L12" s="28"/>
      <c r="M12" s="28"/>
      <c r="N12" s="28"/>
    </row>
    <row r="13" spans="1:16" customFormat="1">
      <c r="B13" s="28"/>
      <c r="C13" s="28"/>
      <c r="D13" s="28"/>
      <c r="E13" s="28"/>
      <c r="F13" s="28"/>
      <c r="G13" s="28"/>
      <c r="H13" s="28"/>
      <c r="I13" s="28"/>
      <c r="J13" s="28"/>
      <c r="K13" s="28"/>
      <c r="L13" s="28"/>
      <c r="M13" s="28"/>
      <c r="N13" s="28"/>
      <c r="P13" t="s">
        <v>36</v>
      </c>
    </row>
    <row r="14" spans="1:16" customFormat="1">
      <c r="B14" s="28"/>
      <c r="C14" s="28"/>
      <c r="D14" s="28"/>
      <c r="E14" s="28"/>
      <c r="F14" s="28"/>
      <c r="G14" s="28"/>
      <c r="H14" s="28"/>
      <c r="I14" s="28"/>
      <c r="J14" s="28"/>
      <c r="K14" s="28"/>
      <c r="L14" s="28"/>
      <c r="M14" s="28"/>
      <c r="N14" s="28"/>
    </row>
    <row r="15" spans="1:16" customFormat="1">
      <c r="B15" s="28"/>
      <c r="C15" s="28"/>
      <c r="D15" s="28"/>
      <c r="E15" s="28"/>
      <c r="F15" s="28"/>
      <c r="G15" s="28"/>
      <c r="H15" s="28"/>
      <c r="I15" s="28"/>
      <c r="J15" s="28"/>
      <c r="K15" s="28"/>
      <c r="L15" s="28"/>
      <c r="M15" s="28"/>
      <c r="N15" s="28"/>
    </row>
    <row r="16" spans="1:16" customFormat="1">
      <c r="B16" s="28"/>
      <c r="C16" s="28"/>
      <c r="D16" s="28"/>
      <c r="E16" s="28"/>
      <c r="F16" s="28"/>
      <c r="G16" s="28"/>
      <c r="H16" s="28"/>
      <c r="I16" s="28"/>
      <c r="J16" s="28"/>
      <c r="K16" s="28"/>
      <c r="L16" s="28"/>
      <c r="M16" s="28"/>
      <c r="N16" s="28"/>
    </row>
    <row r="17" spans="2:14" customFormat="1">
      <c r="B17" s="28"/>
      <c r="C17" s="28"/>
      <c r="D17" s="28"/>
      <c r="E17" s="28"/>
      <c r="F17" s="28"/>
      <c r="G17" s="28"/>
      <c r="H17" s="28"/>
      <c r="I17" s="28"/>
      <c r="J17" s="28"/>
      <c r="K17" s="28"/>
      <c r="L17" s="28"/>
      <c r="M17" s="28"/>
      <c r="N17" s="28"/>
    </row>
    <row r="18" spans="2:14" customFormat="1">
      <c r="B18" s="28"/>
      <c r="C18" s="28"/>
      <c r="D18" s="28"/>
      <c r="E18" s="28"/>
      <c r="F18" s="28"/>
      <c r="G18" s="28"/>
      <c r="H18" s="28"/>
      <c r="I18" s="28"/>
      <c r="J18" s="28"/>
      <c r="K18" s="28"/>
      <c r="L18" s="28"/>
      <c r="M18" s="28"/>
      <c r="N18" s="28"/>
    </row>
    <row r="19" spans="2:14" customFormat="1">
      <c r="B19" s="28"/>
      <c r="C19" s="28"/>
      <c r="D19" s="28"/>
      <c r="E19" s="28"/>
      <c r="F19" s="28"/>
      <c r="G19" s="28"/>
      <c r="H19" s="28"/>
      <c r="I19" s="28"/>
      <c r="J19" s="28"/>
      <c r="K19" s="28"/>
      <c r="L19" s="28"/>
      <c r="M19" s="28"/>
      <c r="N19" s="28"/>
    </row>
    <row r="20" spans="2:14" customFormat="1">
      <c r="B20" s="28"/>
      <c r="C20" s="28"/>
      <c r="D20" s="28"/>
      <c r="E20" s="28"/>
      <c r="F20" s="28"/>
      <c r="G20" s="28"/>
      <c r="H20" s="28"/>
      <c r="I20" s="28"/>
      <c r="J20" s="28"/>
      <c r="K20" s="28"/>
      <c r="L20" s="28"/>
      <c r="M20" s="28"/>
      <c r="N20" s="28"/>
    </row>
    <row r="21" spans="2:14" customFormat="1">
      <c r="B21" s="28"/>
      <c r="C21" s="28"/>
      <c r="D21" s="28"/>
      <c r="E21" s="28"/>
      <c r="F21" s="28"/>
      <c r="G21" s="28"/>
      <c r="H21" s="28"/>
      <c r="I21" s="28"/>
      <c r="J21" s="28"/>
      <c r="K21" s="28"/>
      <c r="L21" s="28"/>
      <c r="M21" s="28"/>
      <c r="N21" s="28"/>
    </row>
    <row r="22" spans="2:14" customFormat="1">
      <c r="B22" s="28"/>
      <c r="C22" s="28"/>
      <c r="D22" s="28"/>
      <c r="E22" s="28"/>
      <c r="F22" s="28"/>
      <c r="G22" s="28"/>
      <c r="H22" s="28"/>
      <c r="I22" s="28"/>
      <c r="J22" s="28"/>
      <c r="K22" s="28"/>
      <c r="L22" s="28"/>
      <c r="M22" s="28"/>
      <c r="N22" s="28"/>
    </row>
    <row r="23" spans="2:14" customFormat="1">
      <c r="B23" s="28"/>
      <c r="C23" s="28"/>
      <c r="D23" s="28"/>
      <c r="E23" s="28"/>
      <c r="F23" s="28"/>
      <c r="G23" s="28"/>
      <c r="H23" s="28"/>
      <c r="I23" s="28"/>
      <c r="J23" s="28"/>
      <c r="K23" s="28"/>
      <c r="L23" s="28"/>
      <c r="M23" s="28"/>
      <c r="N23" s="28"/>
    </row>
    <row r="24" spans="2:14" customFormat="1">
      <c r="B24" s="28"/>
      <c r="C24" s="28"/>
      <c r="D24" s="28"/>
      <c r="E24" s="28"/>
      <c r="F24" s="28"/>
      <c r="G24" s="28"/>
      <c r="H24" s="28"/>
      <c r="I24" s="28"/>
      <c r="J24" s="28"/>
      <c r="K24" s="28"/>
      <c r="L24" s="28"/>
      <c r="M24" s="28"/>
      <c r="N24" s="28"/>
    </row>
    <row r="25" spans="2:14" customFormat="1">
      <c r="B25" s="28"/>
      <c r="C25" s="28"/>
      <c r="D25" s="28"/>
      <c r="E25" s="28"/>
      <c r="F25" s="28"/>
      <c r="G25" s="28"/>
      <c r="H25" s="28"/>
      <c r="I25" s="28"/>
      <c r="J25" s="28"/>
      <c r="K25" s="28"/>
      <c r="L25" s="28"/>
      <c r="M25" s="28"/>
      <c r="N25" s="28"/>
    </row>
    <row r="26" spans="2:14" customFormat="1">
      <c r="B26" s="28"/>
      <c r="C26" s="28"/>
      <c r="D26" s="28"/>
      <c r="E26" s="28"/>
      <c r="F26" s="28"/>
      <c r="G26" s="28"/>
      <c r="H26" s="28"/>
      <c r="I26" s="28"/>
      <c r="J26" s="28"/>
      <c r="K26" s="28"/>
      <c r="L26" s="28"/>
      <c r="M26" s="28"/>
      <c r="N26" s="28"/>
    </row>
    <row r="27" spans="2:14" customFormat="1">
      <c r="B27" s="28"/>
      <c r="C27" s="28"/>
      <c r="D27" s="28"/>
      <c r="E27" s="28"/>
      <c r="F27" s="28"/>
      <c r="G27" s="28"/>
      <c r="H27" s="28"/>
      <c r="I27" s="28"/>
      <c r="J27" s="28"/>
      <c r="K27" s="28"/>
      <c r="L27" s="28"/>
      <c r="M27" s="28"/>
      <c r="N27" s="28"/>
    </row>
    <row r="28" spans="2:14" customFormat="1">
      <c r="B28" s="28"/>
      <c r="C28" s="28"/>
      <c r="D28" s="28"/>
      <c r="E28" s="28"/>
      <c r="F28" s="28"/>
      <c r="G28" s="28"/>
      <c r="H28" s="28"/>
      <c r="I28" s="28"/>
      <c r="J28" s="28"/>
      <c r="K28" s="28"/>
      <c r="L28" s="28"/>
      <c r="M28" s="28"/>
      <c r="N28" s="28"/>
    </row>
    <row r="29" spans="2:14" customFormat="1">
      <c r="B29" s="28"/>
      <c r="C29" s="28"/>
      <c r="D29" s="28"/>
      <c r="E29" s="28"/>
      <c r="F29" s="28"/>
      <c r="G29" s="28"/>
      <c r="H29" s="28"/>
      <c r="I29" s="28"/>
      <c r="J29" s="28"/>
      <c r="K29" s="28"/>
      <c r="L29" s="28"/>
      <c r="M29" s="28"/>
      <c r="N29" s="28"/>
    </row>
    <row r="30" spans="2:14" customFormat="1">
      <c r="B30" s="28"/>
      <c r="C30" s="28"/>
      <c r="D30" s="28"/>
      <c r="E30" s="28"/>
      <c r="F30" s="28"/>
      <c r="G30" s="28"/>
      <c r="H30" s="28"/>
      <c r="I30" s="28"/>
      <c r="J30" s="28"/>
      <c r="K30" s="28"/>
      <c r="L30" s="28"/>
      <c r="M30" s="28"/>
      <c r="N30" s="28"/>
    </row>
    <row r="31" spans="2:14" customFormat="1">
      <c r="B31" s="28"/>
      <c r="C31" s="28"/>
      <c r="D31" s="28"/>
      <c r="E31" s="28"/>
      <c r="F31" s="28"/>
      <c r="G31" s="28"/>
      <c r="H31" s="28"/>
      <c r="I31" s="28"/>
      <c r="J31" s="28"/>
      <c r="K31" s="28"/>
      <c r="L31" s="28"/>
      <c r="M31" s="28"/>
      <c r="N31" s="28"/>
    </row>
    <row r="32" spans="2:14" customFormat="1">
      <c r="C32" s="128"/>
      <c r="E32" s="128"/>
    </row>
    <row r="33" spans="3:5" customFormat="1">
      <c r="C33" s="128"/>
      <c r="E33" s="128"/>
    </row>
    <row r="34" spans="3:5" customFormat="1">
      <c r="C34" s="128"/>
      <c r="E34" s="128"/>
    </row>
    <row r="35" spans="3:5" customFormat="1">
      <c r="C35" s="128"/>
      <c r="E35" s="128"/>
    </row>
    <row r="36" spans="3:5" customFormat="1">
      <c r="C36" s="128"/>
      <c r="E36" s="128"/>
    </row>
    <row r="37" spans="3:5" customFormat="1">
      <c r="C37" s="128"/>
      <c r="E37" s="128"/>
    </row>
  </sheetData>
  <mergeCells count="1">
    <mergeCell ref="A1:N1"/>
  </mergeCells>
  <printOptions horizontalCentered="1" verticalCentered="1"/>
  <pageMargins left="0.4" right="0.4" top="0.25" bottom="0.25" header="0.31496062992126" footer="0.31496062992126"/>
  <pageSetup scale="59" orientation="landscape" r:id="rId1"/>
  <drawing r:id="rId2"/>
  <legacy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tint="0.34998626667073579"/>
  </sheetPr>
  <dimension ref="A1:BT50"/>
  <sheetViews>
    <sheetView showGridLines="0" view="pageBreakPreview" zoomScale="70" zoomScaleNormal="100" zoomScaleSheetLayoutView="70" workbookViewId="0">
      <selection activeCell="K18" sqref="K18"/>
    </sheetView>
  </sheetViews>
  <sheetFormatPr baseColWidth="10" defaultColWidth="11.5703125" defaultRowHeight="15"/>
  <cols>
    <col min="1" max="1" width="13.28515625" customWidth="1"/>
    <col min="2" max="2" width="16.85546875" customWidth="1"/>
    <col min="3" max="3" width="15.5703125" customWidth="1"/>
    <col min="4" max="4" width="14.85546875" customWidth="1"/>
    <col min="5" max="5" width="15.140625" customWidth="1"/>
    <col min="6" max="6" width="16.28515625" customWidth="1"/>
    <col min="7" max="7" width="13.140625" bestFit="1" customWidth="1"/>
    <col min="8" max="8" width="13.28515625" customWidth="1"/>
    <col min="9" max="9" width="14.28515625" bestFit="1" customWidth="1"/>
    <col min="10" max="10" width="27" customWidth="1"/>
    <col min="11" max="11" width="31.5703125" customWidth="1"/>
    <col min="12" max="12" width="22.140625" customWidth="1"/>
    <col min="13" max="13" width="11.42578125" customWidth="1"/>
    <col min="14" max="62" width="11.42578125" style="128" customWidth="1"/>
    <col min="63" max="63" width="14.28515625" bestFit="1" customWidth="1"/>
    <col min="65" max="65" width="19.140625" customWidth="1"/>
    <col min="66" max="66" width="20.85546875" customWidth="1"/>
    <col min="69" max="72" width="0" hidden="1" customWidth="1"/>
  </cols>
  <sheetData>
    <row r="1" spans="1:72" ht="91.5" customHeight="1">
      <c r="A1" s="2517" t="s">
        <v>1988</v>
      </c>
      <c r="B1" s="2518"/>
      <c r="C1" s="2518"/>
      <c r="D1" s="2518"/>
      <c r="E1" s="2518"/>
      <c r="F1" s="2518"/>
      <c r="G1" s="2518"/>
      <c r="H1" s="2518"/>
      <c r="I1" s="2518"/>
      <c r="J1" s="2518"/>
      <c r="K1" s="2518"/>
      <c r="L1" s="2519"/>
    </row>
    <row r="2" spans="1:72" s="59" customFormat="1" ht="3.75" customHeight="1">
      <c r="A2" s="700"/>
      <c r="B2" s="700"/>
      <c r="C2" s="700"/>
      <c r="D2" s="700"/>
      <c r="E2" s="700"/>
      <c r="F2" s="700"/>
      <c r="G2" s="700"/>
      <c r="H2" s="700"/>
      <c r="I2" s="700"/>
      <c r="J2" s="700"/>
      <c r="K2" s="700"/>
      <c r="L2" s="700"/>
    </row>
    <row r="3" spans="1:72" ht="48" customHeight="1">
      <c r="A3" s="2520" t="s">
        <v>1889</v>
      </c>
      <c r="B3" s="2521"/>
      <c r="C3" s="2521"/>
      <c r="D3" s="2521"/>
      <c r="E3" s="2521"/>
      <c r="F3" s="2522"/>
      <c r="G3" s="23"/>
      <c r="H3" s="30"/>
      <c r="I3" s="30"/>
      <c r="J3" s="91"/>
      <c r="K3" s="90"/>
      <c r="L3" s="90"/>
      <c r="BM3" s="151"/>
    </row>
    <row r="4" spans="1:72" ht="57.75" customHeight="1">
      <c r="A4" s="1124" t="s">
        <v>141</v>
      </c>
      <c r="B4" s="1124" t="s">
        <v>1330</v>
      </c>
      <c r="C4" s="1124" t="s">
        <v>142</v>
      </c>
      <c r="D4" s="1124" t="s">
        <v>170</v>
      </c>
      <c r="E4" s="1124" t="s">
        <v>88</v>
      </c>
      <c r="F4" s="1124" t="s">
        <v>171</v>
      </c>
      <c r="G4" s="23"/>
      <c r="K4" s="128"/>
      <c r="L4" s="87"/>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L4" s="2525" t="s">
        <v>141</v>
      </c>
    </row>
    <row r="5" spans="1:72" ht="20.100000000000001" customHeight="1">
      <c r="A5" s="1125" t="s">
        <v>143</v>
      </c>
      <c r="B5" s="1797">
        <f>+C5+E5</f>
        <v>21039</v>
      </c>
      <c r="C5" s="158">
        <v>12403</v>
      </c>
      <c r="D5" s="470">
        <f>C5/B5</f>
        <v>0.58952421693046242</v>
      </c>
      <c r="E5" s="158">
        <v>8636</v>
      </c>
      <c r="F5" s="1798">
        <f>+E5/B5</f>
        <v>0.41047578306953753</v>
      </c>
      <c r="G5" s="23"/>
      <c r="J5" s="682"/>
      <c r="K5" s="128"/>
      <c r="L5" s="87"/>
      <c r="BL5" s="2526"/>
      <c r="BM5" s="342" t="s">
        <v>88</v>
      </c>
      <c r="BN5" s="716" t="s">
        <v>142</v>
      </c>
      <c r="BQ5" s="2523" t="s">
        <v>140</v>
      </c>
      <c r="BR5" s="2524"/>
      <c r="BS5" s="2524"/>
    </row>
    <row r="6" spans="1:72" ht="20.100000000000001" customHeight="1">
      <c r="A6" s="1125" t="s">
        <v>63</v>
      </c>
      <c r="B6" s="1797">
        <f t="shared" ref="B6:B19" si="0">+C6+E6</f>
        <v>204036</v>
      </c>
      <c r="C6" s="158">
        <v>117780</v>
      </c>
      <c r="D6" s="470">
        <f t="shared" ref="D6:D19" si="1">C6/B6</f>
        <v>0.57725107333999881</v>
      </c>
      <c r="E6" s="158">
        <v>86256</v>
      </c>
      <c r="F6" s="1798">
        <f>E6/B5</f>
        <v>4.099814629972907</v>
      </c>
      <c r="G6" s="23"/>
      <c r="I6" s="128"/>
      <c r="K6" s="128"/>
      <c r="L6" s="87"/>
      <c r="BL6" s="374" t="s">
        <v>143</v>
      </c>
      <c r="BM6" s="346">
        <f t="shared" ref="BM6:BM20" si="2">E5*-1</f>
        <v>-8636</v>
      </c>
      <c r="BN6" s="344">
        <f t="shared" ref="BN6:BN20" si="3">+C5</f>
        <v>12403</v>
      </c>
      <c r="BQ6" s="172" t="s">
        <v>141</v>
      </c>
      <c r="BR6" s="172" t="s">
        <v>142</v>
      </c>
      <c r="BS6" s="172" t="s">
        <v>88</v>
      </c>
    </row>
    <row r="7" spans="1:72" ht="20.100000000000001" customHeight="1">
      <c r="A7" s="1125" t="s">
        <v>64</v>
      </c>
      <c r="B7" s="1797">
        <f t="shared" si="0"/>
        <v>255660</v>
      </c>
      <c r="C7" s="158">
        <v>143221</v>
      </c>
      <c r="D7" s="470">
        <f t="shared" si="1"/>
        <v>0.56020104826722994</v>
      </c>
      <c r="E7" s="158">
        <v>112439</v>
      </c>
      <c r="F7" s="1798">
        <f t="shared" ref="F7:F19" si="4">E7/B6</f>
        <v>0.55107432021800073</v>
      </c>
      <c r="G7" s="23"/>
      <c r="H7" s="128"/>
      <c r="I7" s="128"/>
      <c r="K7" s="128"/>
      <c r="L7" s="87"/>
      <c r="BL7" s="374" t="s">
        <v>63</v>
      </c>
      <c r="BM7" s="346">
        <f t="shared" si="2"/>
        <v>-86256</v>
      </c>
      <c r="BN7" s="344">
        <f t="shared" si="3"/>
        <v>117780</v>
      </c>
      <c r="BQ7" s="173" t="s">
        <v>143</v>
      </c>
      <c r="BR7" s="96">
        <v>13968</v>
      </c>
      <c r="BS7" s="96">
        <f>8829*-1</f>
        <v>-8829</v>
      </c>
    </row>
    <row r="8" spans="1:72" ht="20.100000000000001" customHeight="1">
      <c r="A8" s="1125" t="s">
        <v>65</v>
      </c>
      <c r="B8" s="1797">
        <f t="shared" si="0"/>
        <v>248124</v>
      </c>
      <c r="C8" s="158">
        <v>134561</v>
      </c>
      <c r="D8" s="470">
        <f t="shared" si="1"/>
        <v>0.54231352065902527</v>
      </c>
      <c r="E8" s="158">
        <v>113563</v>
      </c>
      <c r="F8" s="1798">
        <f t="shared" si="4"/>
        <v>0.44419541578659155</v>
      </c>
      <c r="G8" s="23"/>
      <c r="H8" s="128"/>
      <c r="I8" s="128"/>
      <c r="K8" s="128"/>
      <c r="L8" s="87"/>
      <c r="BL8" s="374" t="s">
        <v>64</v>
      </c>
      <c r="BM8" s="346">
        <f t="shared" si="2"/>
        <v>-112439</v>
      </c>
      <c r="BN8" s="344">
        <f t="shared" si="3"/>
        <v>143221</v>
      </c>
      <c r="BQ8" s="173" t="s">
        <v>63</v>
      </c>
      <c r="BR8" s="96">
        <v>94691</v>
      </c>
      <c r="BS8" s="96">
        <f>65301*-1</f>
        <v>-65301</v>
      </c>
    </row>
    <row r="9" spans="1:72" ht="20.100000000000001" customHeight="1">
      <c r="A9" s="1125" t="s">
        <v>66</v>
      </c>
      <c r="B9" s="1797">
        <f t="shared" si="0"/>
        <v>224923</v>
      </c>
      <c r="C9" s="158">
        <v>119986</v>
      </c>
      <c r="D9" s="470">
        <f t="shared" si="1"/>
        <v>0.53345367081178896</v>
      </c>
      <c r="E9" s="158">
        <v>104937</v>
      </c>
      <c r="F9" s="1798">
        <f t="shared" si="4"/>
        <v>0.4229216037142719</v>
      </c>
      <c r="G9" s="23"/>
      <c r="H9" s="128"/>
      <c r="I9" s="128"/>
      <c r="K9" s="128"/>
      <c r="L9" s="87"/>
      <c r="BL9" s="374" t="s">
        <v>65</v>
      </c>
      <c r="BM9" s="346">
        <f t="shared" si="2"/>
        <v>-113563</v>
      </c>
      <c r="BN9" s="344">
        <f t="shared" si="3"/>
        <v>134561</v>
      </c>
      <c r="BQ9" s="173" t="s">
        <v>64</v>
      </c>
      <c r="BR9" s="96">
        <v>114856</v>
      </c>
      <c r="BS9" s="96">
        <v>-87226</v>
      </c>
      <c r="BT9" s="96" t="e">
        <f t="shared" ref="BT9:BT21" si="5">BS9*$BL$7</f>
        <v>#VALUE!</v>
      </c>
    </row>
    <row r="10" spans="1:72" ht="20.100000000000001" customHeight="1">
      <c r="A10" s="1125" t="s">
        <v>67</v>
      </c>
      <c r="B10" s="1797">
        <f t="shared" si="0"/>
        <v>191475</v>
      </c>
      <c r="C10" s="158">
        <v>102056</v>
      </c>
      <c r="D10" s="470">
        <f t="shared" si="1"/>
        <v>0.5329990860425643</v>
      </c>
      <c r="E10" s="158">
        <v>89419</v>
      </c>
      <c r="F10" s="1798">
        <f t="shared" si="4"/>
        <v>0.39755382953277346</v>
      </c>
      <c r="G10" s="23"/>
      <c r="H10" s="128"/>
      <c r="I10" s="128"/>
      <c r="K10" s="128"/>
      <c r="L10" s="87"/>
      <c r="BL10" s="374" t="s">
        <v>66</v>
      </c>
      <c r="BM10" s="346">
        <f t="shared" si="2"/>
        <v>-104937</v>
      </c>
      <c r="BN10" s="344">
        <f t="shared" si="3"/>
        <v>119986</v>
      </c>
      <c r="BQ10" s="173" t="s">
        <v>65</v>
      </c>
      <c r="BR10" s="96">
        <v>110599</v>
      </c>
      <c r="BS10" s="96">
        <v>-88163</v>
      </c>
      <c r="BT10" s="96" t="e">
        <f t="shared" si="5"/>
        <v>#VALUE!</v>
      </c>
    </row>
    <row r="11" spans="1:72" ht="20.100000000000001" customHeight="1">
      <c r="A11" s="1125" t="s">
        <v>68</v>
      </c>
      <c r="B11" s="1797">
        <f t="shared" si="0"/>
        <v>164628</v>
      </c>
      <c r="C11" s="158">
        <v>88228</v>
      </c>
      <c r="D11" s="470">
        <f t="shared" si="1"/>
        <v>0.53592341521490872</v>
      </c>
      <c r="E11" s="158">
        <v>76400</v>
      </c>
      <c r="F11" s="1798">
        <f t="shared" si="4"/>
        <v>0.39900770335552943</v>
      </c>
      <c r="G11" s="23"/>
      <c r="H11" s="128"/>
      <c r="I11" s="128"/>
      <c r="K11" s="128"/>
      <c r="L11" s="87"/>
      <c r="BL11" s="374" t="s">
        <v>67</v>
      </c>
      <c r="BM11" s="346">
        <f t="shared" si="2"/>
        <v>-89419</v>
      </c>
      <c r="BN11" s="344">
        <f t="shared" si="3"/>
        <v>102056</v>
      </c>
      <c r="BQ11" s="173" t="s">
        <v>66</v>
      </c>
      <c r="BR11" s="96">
        <v>94068</v>
      </c>
      <c r="BS11" s="96">
        <v>-78209</v>
      </c>
      <c r="BT11" s="96" t="e">
        <f t="shared" si="5"/>
        <v>#VALUE!</v>
      </c>
    </row>
    <row r="12" spans="1:72" ht="20.100000000000001" customHeight="1">
      <c r="A12" s="1125" t="s">
        <v>69</v>
      </c>
      <c r="B12" s="1797">
        <f t="shared" si="0"/>
        <v>128635</v>
      </c>
      <c r="C12" s="158">
        <v>71224</v>
      </c>
      <c r="D12" s="470">
        <f t="shared" si="1"/>
        <v>0.55369067516616788</v>
      </c>
      <c r="E12" s="158">
        <v>57411</v>
      </c>
      <c r="F12" s="1798">
        <f t="shared" si="4"/>
        <v>0.34873168598294335</v>
      </c>
      <c r="G12" s="23"/>
      <c r="H12" s="128"/>
      <c r="I12" s="128"/>
      <c r="K12" s="128"/>
      <c r="L12" s="87"/>
      <c r="BL12" s="374" t="s">
        <v>68</v>
      </c>
      <c r="BM12" s="346">
        <f t="shared" si="2"/>
        <v>-76400</v>
      </c>
      <c r="BN12" s="344">
        <f t="shared" si="3"/>
        <v>88228</v>
      </c>
      <c r="BQ12" s="173" t="s">
        <v>67</v>
      </c>
      <c r="BR12" s="96">
        <v>82896</v>
      </c>
      <c r="BS12" s="96">
        <v>-70646</v>
      </c>
      <c r="BT12" s="96" t="e">
        <f t="shared" si="5"/>
        <v>#VALUE!</v>
      </c>
    </row>
    <row r="13" spans="1:72" ht="20.100000000000001" customHeight="1">
      <c r="A13" s="1125" t="s">
        <v>70</v>
      </c>
      <c r="B13" s="1797">
        <f t="shared" si="0"/>
        <v>92651</v>
      </c>
      <c r="C13" s="158">
        <v>54042</v>
      </c>
      <c r="D13" s="470">
        <f t="shared" si="1"/>
        <v>0.58328566340352506</v>
      </c>
      <c r="E13" s="158">
        <v>38609</v>
      </c>
      <c r="F13" s="1798">
        <f t="shared" si="4"/>
        <v>0.30014381777898708</v>
      </c>
      <c r="G13" s="23"/>
      <c r="H13" s="128"/>
      <c r="I13" s="128"/>
      <c r="K13" s="128"/>
      <c r="L13" s="87"/>
      <c r="BL13" s="374" t="s">
        <v>69</v>
      </c>
      <c r="BM13" s="346">
        <f t="shared" si="2"/>
        <v>-57411</v>
      </c>
      <c r="BN13" s="344">
        <f t="shared" si="3"/>
        <v>71224</v>
      </c>
      <c r="BQ13" s="173" t="s">
        <v>68</v>
      </c>
      <c r="BR13" s="96">
        <v>68381</v>
      </c>
      <c r="BS13" s="96">
        <v>-56998</v>
      </c>
      <c r="BT13" s="96" t="e">
        <f t="shared" si="5"/>
        <v>#VALUE!</v>
      </c>
    </row>
    <row r="14" spans="1:72" ht="20.100000000000001" customHeight="1">
      <c r="A14" s="1125" t="s">
        <v>71</v>
      </c>
      <c r="B14" s="1797">
        <f t="shared" si="0"/>
        <v>57381</v>
      </c>
      <c r="C14" s="158">
        <v>35146</v>
      </c>
      <c r="D14" s="470">
        <f t="shared" si="1"/>
        <v>0.61250239626357161</v>
      </c>
      <c r="E14" s="158">
        <v>22235</v>
      </c>
      <c r="F14" s="1798">
        <f t="shared" si="4"/>
        <v>0.23998661644234817</v>
      </c>
      <c r="G14" s="23"/>
      <c r="H14" s="128"/>
      <c r="I14" s="128"/>
      <c r="K14" s="128"/>
      <c r="L14" s="87"/>
      <c r="BL14" s="374" t="s">
        <v>70</v>
      </c>
      <c r="BM14" s="346">
        <f t="shared" si="2"/>
        <v>-38609</v>
      </c>
      <c r="BN14" s="344">
        <f t="shared" si="3"/>
        <v>54042</v>
      </c>
      <c r="BQ14" s="173" t="s">
        <v>69</v>
      </c>
      <c r="BR14" s="96">
        <v>53231</v>
      </c>
      <c r="BS14" s="96">
        <v>-40454</v>
      </c>
      <c r="BT14" s="96" t="e">
        <f t="shared" si="5"/>
        <v>#VALUE!</v>
      </c>
    </row>
    <row r="15" spans="1:72" ht="20.100000000000001" customHeight="1">
      <c r="A15" s="1125" t="s">
        <v>144</v>
      </c>
      <c r="B15" s="1797">
        <f t="shared" si="0"/>
        <v>31608</v>
      </c>
      <c r="C15" s="158">
        <v>20585</v>
      </c>
      <c r="D15" s="470">
        <f t="shared" si="1"/>
        <v>0.65125917489243235</v>
      </c>
      <c r="E15" s="158">
        <v>11023</v>
      </c>
      <c r="F15" s="1798">
        <f t="shared" si="4"/>
        <v>0.19210191526812012</v>
      </c>
      <c r="G15" s="23"/>
      <c r="H15" s="91"/>
      <c r="I15" s="128"/>
      <c r="K15" s="148"/>
      <c r="L15" s="87"/>
      <c r="BL15" s="374" t="s">
        <v>71</v>
      </c>
      <c r="BM15" s="346">
        <f t="shared" si="2"/>
        <v>-22235</v>
      </c>
      <c r="BN15" s="344">
        <f t="shared" si="3"/>
        <v>35146</v>
      </c>
      <c r="BQ15" s="173" t="s">
        <v>70</v>
      </c>
      <c r="BR15" s="96">
        <v>39299</v>
      </c>
      <c r="BS15" s="96">
        <v>-25509</v>
      </c>
      <c r="BT15" s="96" t="e">
        <f t="shared" si="5"/>
        <v>#VALUE!</v>
      </c>
    </row>
    <row r="16" spans="1:72" ht="20.100000000000001" customHeight="1">
      <c r="A16" s="1125" t="s">
        <v>145</v>
      </c>
      <c r="B16" s="1797">
        <f t="shared" si="0"/>
        <v>15926</v>
      </c>
      <c r="C16" s="158">
        <v>10817</v>
      </c>
      <c r="D16" s="470">
        <f t="shared" si="1"/>
        <v>0.67920381765666205</v>
      </c>
      <c r="E16" s="158">
        <v>5109</v>
      </c>
      <c r="F16" s="1798">
        <f t="shared" si="4"/>
        <v>0.16163629460895976</v>
      </c>
      <c r="G16" s="23"/>
      <c r="H16" s="30"/>
      <c r="I16" s="128"/>
      <c r="K16" s="148"/>
      <c r="L16" s="87"/>
      <c r="BL16" s="374" t="s">
        <v>144</v>
      </c>
      <c r="BM16" s="346">
        <f t="shared" si="2"/>
        <v>-11023</v>
      </c>
      <c r="BN16" s="344">
        <f t="shared" si="3"/>
        <v>20585</v>
      </c>
      <c r="BQ16" s="173" t="s">
        <v>71</v>
      </c>
      <c r="BR16" s="96">
        <v>25049</v>
      </c>
      <c r="BS16" s="96">
        <v>-13161</v>
      </c>
      <c r="BT16" s="96" t="e">
        <f t="shared" si="5"/>
        <v>#VALUE!</v>
      </c>
    </row>
    <row r="17" spans="1:72" ht="20.100000000000001" customHeight="1">
      <c r="A17" s="1125" t="s">
        <v>146</v>
      </c>
      <c r="B17" s="1797">
        <f t="shared" si="0"/>
        <v>8458</v>
      </c>
      <c r="C17" s="158">
        <v>5770</v>
      </c>
      <c r="D17" s="470">
        <f t="shared" si="1"/>
        <v>0.68219437219200751</v>
      </c>
      <c r="E17" s="158">
        <v>2688</v>
      </c>
      <c r="F17" s="1798">
        <f t="shared" si="4"/>
        <v>0.16878061032274269</v>
      </c>
      <c r="G17" s="23"/>
      <c r="H17" s="30"/>
      <c r="I17" s="128"/>
      <c r="K17" s="148"/>
      <c r="L17" s="87"/>
      <c r="BL17" s="374" t="s">
        <v>145</v>
      </c>
      <c r="BM17" s="346">
        <f t="shared" si="2"/>
        <v>-5109</v>
      </c>
      <c r="BN17" s="344">
        <f t="shared" si="3"/>
        <v>10817</v>
      </c>
      <c r="BQ17" s="173" t="s">
        <v>144</v>
      </c>
      <c r="BR17" s="96">
        <v>13405</v>
      </c>
      <c r="BS17" s="96">
        <v>-5601</v>
      </c>
      <c r="BT17" s="96" t="e">
        <f t="shared" si="5"/>
        <v>#VALUE!</v>
      </c>
    </row>
    <row r="18" spans="1:72" ht="20.100000000000001" customHeight="1">
      <c r="A18" s="1125" t="s">
        <v>147</v>
      </c>
      <c r="B18" s="1797">
        <f t="shared" si="0"/>
        <v>4112</v>
      </c>
      <c r="C18" s="158">
        <v>2818</v>
      </c>
      <c r="D18" s="470">
        <f t="shared" si="1"/>
        <v>0.68531128404669261</v>
      </c>
      <c r="E18" s="158">
        <v>1294</v>
      </c>
      <c r="F18" s="1798">
        <f t="shared" si="4"/>
        <v>0.15299125088673446</v>
      </c>
      <c r="G18" s="23"/>
      <c r="H18" s="30"/>
      <c r="I18" s="128"/>
      <c r="K18" s="27"/>
      <c r="L18" s="59"/>
      <c r="BL18" s="374" t="s">
        <v>146</v>
      </c>
      <c r="BM18" s="346">
        <f t="shared" si="2"/>
        <v>-2688</v>
      </c>
      <c r="BN18" s="344">
        <f t="shared" si="3"/>
        <v>5770</v>
      </c>
      <c r="BQ18" s="173" t="s">
        <v>145</v>
      </c>
      <c r="BR18" s="96">
        <v>7875</v>
      </c>
      <c r="BS18" s="96">
        <v>-2898</v>
      </c>
      <c r="BT18" s="96" t="e">
        <f t="shared" si="5"/>
        <v>#VALUE!</v>
      </c>
    </row>
    <row r="19" spans="1:72" ht="20.100000000000001" customHeight="1">
      <c r="A19" s="1125" t="s">
        <v>148</v>
      </c>
      <c r="B19" s="1797">
        <f t="shared" si="0"/>
        <v>2546</v>
      </c>
      <c r="C19" s="158">
        <v>1730</v>
      </c>
      <c r="D19" s="470">
        <f t="shared" si="1"/>
        <v>0.67949725058915944</v>
      </c>
      <c r="E19" s="158">
        <v>816</v>
      </c>
      <c r="F19" s="1798">
        <f t="shared" si="4"/>
        <v>0.19844357976653695</v>
      </c>
      <c r="G19" s="23"/>
      <c r="H19" s="30"/>
      <c r="I19" s="128"/>
      <c r="K19" s="27"/>
      <c r="L19" s="59"/>
      <c r="BL19" s="374" t="s">
        <v>147</v>
      </c>
      <c r="BM19" s="346">
        <f t="shared" si="2"/>
        <v>-1294</v>
      </c>
      <c r="BN19" s="344">
        <f t="shared" si="3"/>
        <v>2818</v>
      </c>
      <c r="BQ19" s="173" t="s">
        <v>146</v>
      </c>
      <c r="BR19" s="96">
        <v>3939</v>
      </c>
      <c r="BS19" s="96">
        <v>-1434</v>
      </c>
      <c r="BT19" s="96" t="e">
        <f t="shared" si="5"/>
        <v>#VALUE!</v>
      </c>
    </row>
    <row r="20" spans="1:72" ht="18" customHeight="1">
      <c r="A20" s="1126" t="s">
        <v>23</v>
      </c>
      <c r="B20" s="1127">
        <f>SUM(B5:B19)</f>
        <v>1651202</v>
      </c>
      <c r="C20" s="1127">
        <f>SUM(C5:C19)</f>
        <v>920367</v>
      </c>
      <c r="D20" s="1127"/>
      <c r="E20" s="1127">
        <f>SUM(E5:E19)</f>
        <v>730835</v>
      </c>
      <c r="F20" s="1127"/>
      <c r="G20" s="23"/>
      <c r="H20" s="30"/>
      <c r="I20" s="90"/>
      <c r="K20" s="27"/>
      <c r="BL20" s="374" t="s">
        <v>148</v>
      </c>
      <c r="BM20" s="346">
        <f t="shared" si="2"/>
        <v>-816</v>
      </c>
      <c r="BN20" s="344">
        <f t="shared" si="3"/>
        <v>1730</v>
      </c>
      <c r="BQ20" s="173" t="s">
        <v>147</v>
      </c>
      <c r="BR20" s="96">
        <v>1841</v>
      </c>
      <c r="BS20" s="96">
        <v>-673</v>
      </c>
      <c r="BT20" s="96" t="e">
        <f t="shared" si="5"/>
        <v>#VALUE!</v>
      </c>
    </row>
    <row r="21" spans="1:72">
      <c r="A21" s="28"/>
      <c r="B21" s="28"/>
      <c r="C21" s="28"/>
      <c r="D21" s="28"/>
      <c r="E21" s="28"/>
      <c r="F21" s="28"/>
      <c r="G21" s="28"/>
      <c r="H21" s="30"/>
      <c r="I21" s="89"/>
      <c r="K21" s="88"/>
      <c r="L21" s="59"/>
      <c r="BQ21" s="173" t="s">
        <v>148</v>
      </c>
      <c r="BR21" s="96">
        <v>855</v>
      </c>
      <c r="BS21" s="96">
        <v>-303</v>
      </c>
      <c r="BT21" s="96" t="e">
        <f t="shared" si="5"/>
        <v>#VALUE!</v>
      </c>
    </row>
    <row r="22" spans="1:72">
      <c r="B22" s="28"/>
      <c r="C22" s="28"/>
      <c r="D22" s="28"/>
      <c r="E22" s="28"/>
      <c r="F22" s="28"/>
      <c r="G22" s="28"/>
      <c r="H22" s="30"/>
      <c r="I22" s="58"/>
      <c r="K22" s="58"/>
      <c r="L22" s="58"/>
      <c r="BQ22" s="173" t="s">
        <v>23</v>
      </c>
      <c r="BR22" s="97">
        <f>SUM(BR7:BR21)</f>
        <v>724953</v>
      </c>
      <c r="BS22" s="97">
        <f>SUM(BS7:BS21)</f>
        <v>-545405</v>
      </c>
    </row>
    <row r="23" spans="1:72">
      <c r="B23" s="28"/>
      <c r="C23" s="28"/>
      <c r="D23" s="28"/>
      <c r="E23" s="28"/>
      <c r="F23" s="28"/>
      <c r="G23" s="28"/>
      <c r="H23" s="28"/>
      <c r="I23" s="28"/>
      <c r="K23" s="28"/>
      <c r="L23" s="28"/>
    </row>
    <row r="24" spans="1:72">
      <c r="B24" s="28"/>
      <c r="C24" s="28"/>
      <c r="D24" s="28"/>
      <c r="E24" s="28"/>
      <c r="F24" s="28"/>
      <c r="G24" s="28"/>
      <c r="H24" s="28"/>
      <c r="I24" s="28"/>
      <c r="J24" s="28"/>
      <c r="K24" s="28"/>
      <c r="L24" s="28"/>
    </row>
    <row r="25" spans="1:72">
      <c r="B25" s="28"/>
      <c r="C25" s="28"/>
      <c r="D25" s="28"/>
      <c r="E25" s="28"/>
      <c r="F25" s="28"/>
      <c r="G25" s="28"/>
      <c r="H25" s="28"/>
      <c r="I25" s="28"/>
      <c r="J25" s="28"/>
      <c r="K25" s="28"/>
      <c r="L25" s="28"/>
    </row>
    <row r="26" spans="1:72">
      <c r="B26" s="28"/>
      <c r="C26" s="28"/>
      <c r="D26" s="28"/>
      <c r="E26" s="28"/>
      <c r="F26" s="28"/>
      <c r="G26" s="28"/>
      <c r="H26" s="28"/>
      <c r="I26" s="28"/>
      <c r="J26" s="28"/>
      <c r="K26" s="28"/>
      <c r="L26" s="28"/>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row>
    <row r="27" spans="1:72">
      <c r="B27" s="28"/>
      <c r="C27" s="28"/>
      <c r="D27" s="28"/>
      <c r="E27" s="28"/>
      <c r="F27" s="28"/>
      <c r="G27" s="28"/>
      <c r="H27" s="28"/>
      <c r="I27" s="28"/>
      <c r="J27" s="28"/>
      <c r="K27" s="28"/>
      <c r="L27" s="28"/>
      <c r="M27" s="3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row>
    <row r="28" spans="1:72">
      <c r="B28" s="28"/>
      <c r="C28" s="28"/>
      <c r="D28" s="28"/>
      <c r="E28" s="28"/>
      <c r="F28" s="28"/>
      <c r="G28" s="28"/>
      <c r="H28" s="28"/>
      <c r="I28" s="28"/>
      <c r="J28" s="28"/>
      <c r="K28" s="28"/>
      <c r="L28" s="28"/>
      <c r="M28" s="3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row>
    <row r="29" spans="1:72">
      <c r="B29" s="28"/>
      <c r="C29" s="28"/>
      <c r="D29" s="28"/>
      <c r="E29" s="28"/>
      <c r="F29" s="28"/>
      <c r="G29" s="28"/>
      <c r="H29" s="28"/>
      <c r="I29" s="28"/>
      <c r="J29" s="28"/>
      <c r="K29" s="28"/>
      <c r="L29" s="28"/>
      <c r="M29" s="3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row>
    <row r="30" spans="1:72">
      <c r="B30" s="28"/>
      <c r="C30" s="28"/>
      <c r="D30" s="28"/>
      <c r="E30" s="28"/>
      <c r="F30" s="28"/>
      <c r="G30" s="28"/>
      <c r="H30" s="28"/>
      <c r="I30" s="28"/>
      <c r="J30" s="28"/>
      <c r="K30" s="28"/>
      <c r="L30" s="28"/>
      <c r="M30" s="3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row>
    <row r="31" spans="1:72">
      <c r="B31" s="28"/>
      <c r="C31" s="28"/>
      <c r="D31" s="28"/>
      <c r="E31" s="28"/>
      <c r="F31" s="28"/>
      <c r="G31" s="28"/>
      <c r="H31" s="28"/>
      <c r="I31" s="28"/>
      <c r="J31" s="28"/>
      <c r="K31" s="28"/>
      <c r="L31" s="28"/>
      <c r="M31" s="3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row>
    <row r="32" spans="1:72">
      <c r="B32" s="28"/>
      <c r="C32" s="28"/>
      <c r="D32" s="28"/>
      <c r="E32" s="28"/>
      <c r="F32" s="28"/>
      <c r="G32" s="28"/>
      <c r="H32" s="28"/>
      <c r="I32" s="28"/>
      <c r="J32" s="28"/>
      <c r="K32" s="28"/>
      <c r="L32" s="28"/>
      <c r="M32" s="3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row>
    <row r="33" spans="2:65">
      <c r="B33" s="28"/>
      <c r="C33" s="28"/>
      <c r="D33" s="28"/>
      <c r="E33" s="28"/>
      <c r="F33" s="28"/>
      <c r="G33" s="28"/>
      <c r="H33" s="28"/>
      <c r="I33" s="28"/>
      <c r="J33" s="28"/>
      <c r="K33" s="28"/>
      <c r="L33" s="28"/>
      <c r="M33" s="3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row>
    <row r="34" spans="2:65">
      <c r="B34" s="28"/>
      <c r="C34" s="28"/>
      <c r="D34" s="28"/>
      <c r="E34" s="28"/>
      <c r="F34" s="28"/>
      <c r="G34" s="28"/>
      <c r="H34" s="28"/>
      <c r="I34" s="28"/>
      <c r="J34" s="28"/>
      <c r="K34" s="28"/>
      <c r="L34" s="28"/>
      <c r="M34" s="3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row>
    <row r="35" spans="2:65">
      <c r="B35" s="28"/>
      <c r="C35" s="28"/>
      <c r="D35" s="28"/>
      <c r="E35" s="28"/>
      <c r="F35" s="28"/>
      <c r="G35" s="28"/>
      <c r="H35" s="28"/>
      <c r="I35" s="28"/>
      <c r="J35" s="28"/>
      <c r="K35" s="28"/>
      <c r="L35" s="28"/>
      <c r="M35" s="3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row>
    <row r="36" spans="2:65">
      <c r="B36" s="28"/>
      <c r="C36" s="28"/>
      <c r="D36" s="28"/>
      <c r="E36" s="28"/>
      <c r="F36" s="28"/>
      <c r="G36" s="28"/>
      <c r="H36" s="28"/>
      <c r="I36" s="28"/>
      <c r="J36" s="28"/>
      <c r="K36" s="28"/>
      <c r="L36" s="28"/>
      <c r="M36" s="3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31"/>
      <c r="BM36" s="31"/>
    </row>
    <row r="37" spans="2:65">
      <c r="B37" s="28"/>
      <c r="C37" s="28"/>
      <c r="D37" s="28"/>
      <c r="E37" s="28"/>
      <c r="F37" s="28"/>
      <c r="G37" s="28"/>
      <c r="H37" s="28"/>
      <c r="I37" s="28"/>
      <c r="J37" s="28"/>
      <c r="K37" s="28"/>
      <c r="L37" s="28"/>
      <c r="M37" s="3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31"/>
      <c r="BM37" s="31"/>
    </row>
    <row r="38" spans="2:65">
      <c r="B38" s="28"/>
      <c r="C38" s="28"/>
      <c r="D38" s="28"/>
      <c r="E38" s="28"/>
      <c r="F38" s="28"/>
      <c r="G38" s="28"/>
      <c r="H38" s="28"/>
      <c r="I38" s="28"/>
      <c r="J38" s="28"/>
      <c r="K38" s="28"/>
      <c r="L38" s="28"/>
      <c r="M38" s="3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31"/>
      <c r="BM38" s="31"/>
    </row>
    <row r="39" spans="2:65">
      <c r="B39" s="28"/>
      <c r="C39" s="28"/>
      <c r="D39" s="28"/>
      <c r="E39" s="28"/>
      <c r="F39" s="28"/>
      <c r="G39" s="28"/>
      <c r="H39" s="28"/>
      <c r="I39" s="28"/>
      <c r="J39" s="28"/>
      <c r="K39" s="28"/>
      <c r="L39" s="28"/>
      <c r="M39" s="3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31"/>
      <c r="BM39" s="31"/>
    </row>
    <row r="40" spans="2:65">
      <c r="B40" s="28"/>
      <c r="C40" s="28"/>
      <c r="D40" s="28"/>
      <c r="E40" s="28"/>
      <c r="F40" s="28"/>
      <c r="G40" s="28"/>
      <c r="H40" s="28"/>
      <c r="I40" s="28"/>
      <c r="J40" s="28"/>
      <c r="K40" s="28"/>
      <c r="L40" s="28"/>
      <c r="M40" s="3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31"/>
      <c r="BM40" s="31"/>
    </row>
    <row r="41" spans="2:65">
      <c r="B41" s="28"/>
      <c r="C41" s="28"/>
      <c r="D41" s="28"/>
      <c r="E41" s="28"/>
      <c r="F41" s="28"/>
      <c r="G41" s="28"/>
      <c r="H41" s="28"/>
      <c r="I41" s="28"/>
      <c r="J41" s="28"/>
      <c r="K41" s="28"/>
      <c r="L41" s="28"/>
      <c r="M41" s="3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31"/>
      <c r="BM41" s="31"/>
    </row>
    <row r="42" spans="2:65">
      <c r="B42" s="28"/>
      <c r="C42" s="28"/>
      <c r="D42" s="28"/>
      <c r="E42" s="28"/>
      <c r="F42" s="28"/>
      <c r="G42" s="28"/>
      <c r="H42" s="28"/>
      <c r="I42" s="28"/>
      <c r="J42" s="28"/>
      <c r="K42" s="28"/>
      <c r="L42" s="28"/>
      <c r="M42" s="3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31"/>
      <c r="BM42" s="31"/>
    </row>
    <row r="43" spans="2:65">
      <c r="B43" s="28"/>
      <c r="C43" s="28"/>
      <c r="D43" s="28"/>
      <c r="E43" s="28"/>
      <c r="F43" s="28"/>
      <c r="G43" s="28"/>
      <c r="H43" s="28"/>
      <c r="I43" s="28"/>
      <c r="J43" s="28"/>
      <c r="K43" s="28"/>
      <c r="L43" s="28"/>
      <c r="BK43" s="90"/>
      <c r="BL43" s="31"/>
      <c r="BM43" s="31"/>
    </row>
    <row r="44" spans="2:65">
      <c r="B44" s="28"/>
      <c r="C44" s="28"/>
      <c r="D44" s="28"/>
      <c r="E44" s="28"/>
      <c r="F44" s="28"/>
      <c r="G44" s="28"/>
      <c r="H44" s="28"/>
      <c r="I44" s="28"/>
      <c r="J44" s="28"/>
      <c r="K44" s="28"/>
      <c r="L44" s="28"/>
      <c r="BK44" s="90"/>
      <c r="BL44" s="31"/>
      <c r="BM44" s="31"/>
    </row>
    <row r="45" spans="2:65">
      <c r="B45" s="28"/>
      <c r="C45" s="28"/>
      <c r="D45" s="28"/>
      <c r="E45" s="28"/>
      <c r="F45" s="28"/>
      <c r="G45" s="28"/>
      <c r="H45" s="28"/>
      <c r="I45" s="28"/>
      <c r="J45" s="28"/>
      <c r="K45" s="28"/>
      <c r="L45" s="28"/>
      <c r="BK45" s="90"/>
      <c r="BL45" s="31"/>
      <c r="BM45" s="31"/>
    </row>
    <row r="46" spans="2:65">
      <c r="B46" s="28"/>
      <c r="C46" s="28"/>
      <c r="D46" s="28"/>
      <c r="E46" s="28"/>
      <c r="F46" s="28"/>
      <c r="G46" s="28"/>
      <c r="H46" s="28"/>
      <c r="I46" s="28"/>
      <c r="J46" s="28"/>
      <c r="K46" s="28"/>
      <c r="L46" s="28"/>
      <c r="BK46" s="90"/>
      <c r="BL46" s="31"/>
      <c r="BM46" s="31"/>
    </row>
    <row r="47" spans="2:65">
      <c r="B47" s="28"/>
      <c r="C47" s="28"/>
      <c r="D47" s="28"/>
      <c r="E47" s="28"/>
      <c r="F47" s="28"/>
      <c r="G47" s="28"/>
      <c r="H47" s="28"/>
      <c r="I47" s="28"/>
      <c r="J47" s="28"/>
      <c r="K47" s="28"/>
      <c r="L47" s="28"/>
      <c r="BK47" s="90"/>
      <c r="BL47" s="31"/>
      <c r="BM47" s="31"/>
    </row>
    <row r="48" spans="2:65">
      <c r="BK48" s="90"/>
      <c r="BL48" s="31"/>
      <c r="BM48" s="31"/>
    </row>
    <row r="49" spans="63:65">
      <c r="BK49" s="90"/>
      <c r="BL49" s="31"/>
      <c r="BM49" s="375"/>
    </row>
    <row r="50" spans="63:65" ht="15.75">
      <c r="BK50" s="376"/>
      <c r="BL50" s="31"/>
      <c r="BM50" s="375"/>
    </row>
  </sheetData>
  <mergeCells count="4">
    <mergeCell ref="A1:L1"/>
    <mergeCell ref="A3:F3"/>
    <mergeCell ref="BQ5:BS5"/>
    <mergeCell ref="BL4:BL5"/>
  </mergeCells>
  <printOptions horizontalCentered="1" verticalCentered="1"/>
  <pageMargins left="0.4" right="0.4" top="0.25" bottom="0.25" header="0.31496062992126" footer="0.31496062992126"/>
  <pageSetup scale="5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tint="0.34998626667073579"/>
  </sheetPr>
  <dimension ref="A1:V43"/>
  <sheetViews>
    <sheetView showGridLines="0" view="pageBreakPreview" topLeftCell="D1" zoomScale="70" zoomScaleNormal="85" zoomScaleSheetLayoutView="70" workbookViewId="0">
      <selection activeCell="P58" sqref="P58"/>
    </sheetView>
  </sheetViews>
  <sheetFormatPr baseColWidth="10" defaultColWidth="11.42578125" defaultRowHeight="15"/>
  <cols>
    <col min="1" max="1" width="11.42578125" style="87"/>
    <col min="2" max="2" width="16" style="87" customWidth="1"/>
    <col min="3" max="3" width="15" style="87" customWidth="1"/>
    <col min="4" max="4" width="16.28515625" style="87" customWidth="1"/>
    <col min="5" max="5" width="16.7109375" style="87" customWidth="1"/>
    <col min="6" max="6" width="15" style="87" customWidth="1"/>
    <col min="7" max="7" width="22" style="87" bestFit="1" customWidth="1"/>
    <col min="8" max="8" width="15.140625" style="87" bestFit="1" customWidth="1"/>
    <col min="9" max="9" width="14.140625" style="87" bestFit="1" customWidth="1"/>
    <col min="10" max="10" width="15.140625" style="87" bestFit="1" customWidth="1"/>
    <col min="11" max="16" width="11.42578125" style="87"/>
    <col min="17" max="17" width="15.140625" style="87" bestFit="1" customWidth="1"/>
    <col min="18" max="16384" width="11.42578125" style="87"/>
  </cols>
  <sheetData>
    <row r="1" spans="1:20" customFormat="1" ht="73.5" customHeight="1">
      <c r="A1" s="2530" t="s">
        <v>1989</v>
      </c>
      <c r="B1" s="2530"/>
      <c r="C1" s="2530"/>
      <c r="D1" s="2530"/>
      <c r="E1" s="2530"/>
      <c r="F1" s="2530"/>
      <c r="G1" s="2530"/>
      <c r="H1" s="2530"/>
      <c r="I1" s="2530"/>
      <c r="J1" s="2530"/>
      <c r="K1" s="2530"/>
      <c r="L1" s="2530"/>
      <c r="M1" s="2530"/>
      <c r="N1" s="2530"/>
    </row>
    <row r="2" spans="1:20" customFormat="1" ht="47.25" customHeight="1">
      <c r="A2" s="2531" t="s">
        <v>1918</v>
      </c>
      <c r="B2" s="2531"/>
      <c r="C2" s="2531"/>
      <c r="D2" s="2531"/>
      <c r="E2" s="2531"/>
      <c r="F2" s="2531"/>
      <c r="G2" s="2531"/>
      <c r="H2" s="2531"/>
      <c r="I2" s="2531"/>
      <c r="J2" s="2531"/>
      <c r="K2" s="2531"/>
      <c r="L2" s="2531"/>
      <c r="M2" s="2531"/>
      <c r="N2" s="2531"/>
    </row>
    <row r="3" spans="1:20" customFormat="1" ht="27" customHeight="1">
      <c r="A3" s="2527" t="s">
        <v>226</v>
      </c>
      <c r="B3" s="2527"/>
      <c r="C3" s="2527"/>
      <c r="D3" s="2527"/>
      <c r="E3" s="2527"/>
      <c r="F3" s="2527"/>
      <c r="G3" s="112"/>
      <c r="H3" s="112"/>
      <c r="I3" s="112"/>
      <c r="J3" s="112"/>
    </row>
    <row r="4" spans="1:20" customFormat="1" ht="25.5" customHeight="1">
      <c r="A4" s="2528" t="s">
        <v>51</v>
      </c>
      <c r="B4" s="2527" t="s">
        <v>222</v>
      </c>
      <c r="C4" s="2527"/>
      <c r="D4" s="2527"/>
      <c r="E4" s="2527"/>
      <c r="F4" s="2527"/>
      <c r="G4" s="112"/>
      <c r="H4" s="112"/>
      <c r="I4" s="112"/>
      <c r="J4" s="112"/>
      <c r="K4" s="128"/>
      <c r="L4" s="128"/>
      <c r="M4" s="128"/>
      <c r="Q4" s="1945"/>
      <c r="R4" s="1945"/>
      <c r="S4" s="1945"/>
      <c r="T4" s="1945"/>
    </row>
    <row r="5" spans="1:20" customFormat="1" ht="18.75">
      <c r="A5" s="2529"/>
      <c r="B5" s="1128" t="s">
        <v>232</v>
      </c>
      <c r="C5" s="1128" t="s">
        <v>233</v>
      </c>
      <c r="D5" s="1128" t="s">
        <v>234</v>
      </c>
      <c r="E5" s="1128" t="s">
        <v>235</v>
      </c>
      <c r="F5" s="1128" t="s">
        <v>236</v>
      </c>
      <c r="G5" s="112"/>
      <c r="H5" s="112"/>
      <c r="I5" s="112"/>
      <c r="J5" s="112"/>
      <c r="K5" s="128"/>
      <c r="L5" s="128"/>
      <c r="M5" s="128"/>
      <c r="Q5" s="1945"/>
      <c r="R5" s="1945"/>
      <c r="S5" s="1945"/>
      <c r="T5" s="1945"/>
    </row>
    <row r="6" spans="1:20" s="110" customFormat="1" ht="18.75" hidden="1">
      <c r="A6" s="1129" t="s">
        <v>1030</v>
      </c>
      <c r="B6" s="1130">
        <v>181454</v>
      </c>
      <c r="C6" s="1130">
        <v>489265</v>
      </c>
      <c r="D6" s="1130">
        <v>356294</v>
      </c>
      <c r="E6" s="1131">
        <v>329382</v>
      </c>
      <c r="F6" s="1132">
        <f t="shared" ref="F6:F14" si="0">SUM(B6:E6)</f>
        <v>1356395</v>
      </c>
      <c r="H6" s="112"/>
      <c r="I6" s="112"/>
      <c r="J6" s="112"/>
      <c r="K6" s="128"/>
      <c r="L6" s="128"/>
      <c r="M6" s="128"/>
      <c r="Q6" s="1945"/>
      <c r="R6" s="1945"/>
      <c r="S6" s="1945"/>
      <c r="T6" s="1945"/>
    </row>
    <row r="7" spans="1:20" s="110" customFormat="1" ht="18.75" hidden="1">
      <c r="A7" s="1129" t="s">
        <v>946</v>
      </c>
      <c r="B7" s="1130">
        <v>183187</v>
      </c>
      <c r="C7" s="1130">
        <v>496776</v>
      </c>
      <c r="D7" s="1130">
        <v>356636</v>
      </c>
      <c r="E7" s="1131">
        <v>331191</v>
      </c>
      <c r="F7" s="1132">
        <f t="shared" si="0"/>
        <v>1367790</v>
      </c>
      <c r="H7" s="112"/>
      <c r="I7" s="112"/>
      <c r="J7" s="112"/>
      <c r="K7" s="128"/>
      <c r="L7" s="128"/>
      <c r="M7" s="128"/>
      <c r="Q7" s="1945"/>
      <c r="R7" s="1945"/>
      <c r="S7" s="1945"/>
      <c r="T7" s="1945"/>
    </row>
    <row r="8" spans="1:20" s="110" customFormat="1" ht="18.75" hidden="1">
      <c r="A8" s="1133" t="s">
        <v>1031</v>
      </c>
      <c r="B8" s="1130">
        <v>186483</v>
      </c>
      <c r="C8" s="1130">
        <v>491532</v>
      </c>
      <c r="D8" s="1130">
        <v>359445</v>
      </c>
      <c r="E8" s="1131">
        <v>330278</v>
      </c>
      <c r="F8" s="1134">
        <f t="shared" si="0"/>
        <v>1367738</v>
      </c>
      <c r="H8" s="112"/>
      <c r="I8" s="112"/>
      <c r="J8" s="112"/>
      <c r="K8" s="128"/>
      <c r="L8" s="128"/>
      <c r="M8" s="128"/>
      <c r="O8" s="110">
        <f>+D20+E20</f>
        <v>701749</v>
      </c>
      <c r="Q8" s="1945"/>
      <c r="R8" s="1945"/>
      <c r="S8" s="1945"/>
      <c r="T8" s="1945"/>
    </row>
    <row r="9" spans="1:20" s="110" customFormat="1" ht="18.75" hidden="1" customHeight="1">
      <c r="A9" s="1133" t="s">
        <v>1032</v>
      </c>
      <c r="B9" s="1130">
        <v>191891</v>
      </c>
      <c r="C9" s="1130">
        <v>491348</v>
      </c>
      <c r="D9" s="1130">
        <v>356397</v>
      </c>
      <c r="E9" s="1131">
        <v>329939</v>
      </c>
      <c r="F9" s="1134">
        <f t="shared" si="0"/>
        <v>1369575</v>
      </c>
      <c r="H9" s="112"/>
      <c r="I9" s="112"/>
      <c r="J9" s="112"/>
      <c r="K9" s="128"/>
      <c r="L9" s="128"/>
      <c r="M9" s="128"/>
      <c r="O9" s="1001"/>
      <c r="Q9" s="1945"/>
      <c r="R9" s="1945"/>
      <c r="S9" s="1945"/>
      <c r="T9" s="1945"/>
    </row>
    <row r="10" spans="1:20" ht="18.75" hidden="1">
      <c r="A10" s="1133" t="s">
        <v>943</v>
      </c>
      <c r="B10" s="1130">
        <v>193209</v>
      </c>
      <c r="C10" s="1130">
        <v>497871</v>
      </c>
      <c r="D10" s="1130">
        <v>357838</v>
      </c>
      <c r="E10" s="1131">
        <v>332260</v>
      </c>
      <c r="F10" s="1134">
        <f t="shared" si="0"/>
        <v>1381178</v>
      </c>
      <c r="H10" s="112"/>
      <c r="I10" s="112"/>
      <c r="J10" s="112"/>
      <c r="K10" s="128"/>
      <c r="L10" s="128"/>
      <c r="M10" s="128"/>
      <c r="Q10" s="1945"/>
      <c r="R10" s="1945"/>
      <c r="S10" s="1945"/>
      <c r="T10" s="1945"/>
    </row>
    <row r="11" spans="1:20" ht="18.75" hidden="1">
      <c r="A11" s="1133" t="s">
        <v>957</v>
      </c>
      <c r="B11" s="1130">
        <v>196303</v>
      </c>
      <c r="C11" s="1130">
        <v>498763</v>
      </c>
      <c r="D11" s="1130">
        <v>360098</v>
      </c>
      <c r="E11" s="1131">
        <v>333019</v>
      </c>
      <c r="F11" s="1134">
        <f t="shared" si="0"/>
        <v>1388183</v>
      </c>
      <c r="H11" s="112"/>
      <c r="I11" s="112"/>
      <c r="J11" s="112"/>
      <c r="K11" s="128"/>
      <c r="L11" s="128"/>
      <c r="M11" s="128"/>
      <c r="Q11" s="1945"/>
      <c r="R11" s="1945"/>
      <c r="S11" s="1945"/>
      <c r="T11" s="1945"/>
    </row>
    <row r="12" spans="1:20" ht="18.75" hidden="1">
      <c r="A12" s="1133" t="s">
        <v>1033</v>
      </c>
      <c r="B12" s="1130">
        <v>197491</v>
      </c>
      <c r="C12" s="1130">
        <v>503300</v>
      </c>
      <c r="D12" s="1130">
        <v>363597</v>
      </c>
      <c r="E12" s="1130">
        <v>335269</v>
      </c>
      <c r="F12" s="1134">
        <f t="shared" si="0"/>
        <v>1399657</v>
      </c>
      <c r="H12" s="112"/>
      <c r="I12" s="112"/>
      <c r="J12" s="112"/>
      <c r="K12" s="128"/>
      <c r="L12" s="128"/>
      <c r="M12" s="128"/>
      <c r="Q12" s="1945"/>
      <c r="R12" s="1945"/>
      <c r="S12" s="1945"/>
      <c r="T12" s="1945"/>
    </row>
    <row r="13" spans="1:20" ht="18.75" hidden="1">
      <c r="A13" s="1133" t="s">
        <v>1034</v>
      </c>
      <c r="B13" s="1130">
        <v>199249</v>
      </c>
      <c r="C13" s="1130">
        <v>503409</v>
      </c>
      <c r="D13" s="1130">
        <v>363707</v>
      </c>
      <c r="E13" s="1130">
        <v>331492</v>
      </c>
      <c r="F13" s="1134">
        <f t="shared" si="0"/>
        <v>1397857</v>
      </c>
      <c r="H13" s="112"/>
      <c r="I13" s="112"/>
      <c r="J13" s="112"/>
      <c r="K13" s="128"/>
      <c r="L13" s="128"/>
      <c r="M13" s="128"/>
      <c r="Q13" s="1945"/>
      <c r="R13" s="1945"/>
      <c r="S13" s="1945"/>
      <c r="T13" s="1945"/>
    </row>
    <row r="14" spans="1:20" ht="18.75" hidden="1">
      <c r="A14" s="1133" t="s">
        <v>1035</v>
      </c>
      <c r="B14" s="1130">
        <v>198686</v>
      </c>
      <c r="C14" s="1130">
        <v>502841</v>
      </c>
      <c r="D14" s="1130">
        <v>362314</v>
      </c>
      <c r="E14" s="1130">
        <v>331024</v>
      </c>
      <c r="F14" s="1134">
        <f t="shared" si="0"/>
        <v>1394865</v>
      </c>
      <c r="H14" s="112"/>
      <c r="I14" s="112"/>
      <c r="J14" s="112"/>
      <c r="K14" s="128"/>
      <c r="L14" s="128"/>
      <c r="M14" s="128"/>
      <c r="Q14" s="1945"/>
      <c r="R14" s="1945"/>
      <c r="S14" s="1945"/>
      <c r="T14" s="1945"/>
    </row>
    <row r="15" spans="1:20" ht="18.75" hidden="1">
      <c r="A15" s="1133" t="s">
        <v>1022</v>
      </c>
      <c r="B15" s="1130">
        <v>204343</v>
      </c>
      <c r="C15" s="1130">
        <v>501740</v>
      </c>
      <c r="D15" s="1130">
        <v>361665</v>
      </c>
      <c r="E15" s="1130">
        <v>330418</v>
      </c>
      <c r="F15" s="1134">
        <f t="shared" ref="F15:F29" si="1">+B15+C15+D15+E15</f>
        <v>1398166</v>
      </c>
      <c r="H15" s="112"/>
      <c r="I15" s="112"/>
      <c r="J15" s="112"/>
      <c r="K15" s="128"/>
      <c r="L15" s="128"/>
      <c r="M15" s="128"/>
      <c r="P15" s="87">
        <f>D27+E27</f>
        <v>707687</v>
      </c>
      <c r="Q15" s="1945"/>
      <c r="R15" s="1945"/>
      <c r="S15" s="1945"/>
      <c r="T15" s="1945"/>
    </row>
    <row r="16" spans="1:20" ht="18.75" hidden="1">
      <c r="A16" s="1133" t="s">
        <v>1038</v>
      </c>
      <c r="B16" s="1130">
        <v>202976</v>
      </c>
      <c r="C16" s="1130">
        <v>509462</v>
      </c>
      <c r="D16" s="1130">
        <v>363533</v>
      </c>
      <c r="E16" s="1130">
        <v>327586</v>
      </c>
      <c r="F16" s="1134">
        <f t="shared" si="1"/>
        <v>1403557</v>
      </c>
      <c r="H16" s="112"/>
      <c r="I16" s="112"/>
      <c r="J16" s="112"/>
      <c r="K16" s="128"/>
      <c r="L16" s="128"/>
      <c r="M16" s="128"/>
      <c r="P16" s="1252">
        <f>+(D28+E28)/F28</f>
        <v>0.47482226312791337</v>
      </c>
      <c r="Q16" s="1945"/>
      <c r="R16" s="1945"/>
      <c r="S16" s="1945"/>
      <c r="T16" s="1945"/>
    </row>
    <row r="17" spans="1:22" ht="18.75" hidden="1">
      <c r="A17" s="1133" t="s">
        <v>1051</v>
      </c>
      <c r="B17" s="1130">
        <v>202079</v>
      </c>
      <c r="C17" s="1130">
        <v>512555</v>
      </c>
      <c r="D17" s="1130">
        <v>365312</v>
      </c>
      <c r="E17" s="1130">
        <v>325803</v>
      </c>
      <c r="F17" s="1134">
        <f t="shared" si="1"/>
        <v>1405749</v>
      </c>
      <c r="H17" s="112"/>
      <c r="I17" s="112"/>
      <c r="J17" s="112"/>
      <c r="K17" s="128"/>
      <c r="L17" s="128"/>
      <c r="M17" s="128"/>
      <c r="Q17" s="1945"/>
      <c r="R17" s="1945"/>
      <c r="S17" s="1945"/>
      <c r="T17" s="1945"/>
    </row>
    <row r="18" spans="1:22" ht="18.75" hidden="1">
      <c r="A18" s="1133" t="s">
        <v>1050</v>
      </c>
      <c r="B18" s="1130">
        <v>205123</v>
      </c>
      <c r="C18" s="1130">
        <v>518667</v>
      </c>
      <c r="D18" s="1130">
        <v>366393</v>
      </c>
      <c r="E18" s="1130">
        <v>328627</v>
      </c>
      <c r="F18" s="1134">
        <f t="shared" si="1"/>
        <v>1418810</v>
      </c>
      <c r="H18" s="112"/>
      <c r="I18" s="112"/>
      <c r="J18" s="112"/>
      <c r="K18" s="128"/>
      <c r="L18" s="128"/>
      <c r="M18" s="128"/>
      <c r="N18" s="31"/>
      <c r="O18" s="31"/>
      <c r="P18" s="31"/>
      <c r="Q18" s="1945"/>
      <c r="R18" s="1945"/>
      <c r="S18" s="1945"/>
      <c r="T18" s="1945"/>
      <c r="U18" s="31"/>
      <c r="V18" s="31"/>
    </row>
    <row r="19" spans="1:22" ht="18.75" hidden="1">
      <c r="A19" s="1133" t="s">
        <v>1060</v>
      </c>
      <c r="B19" s="1130">
        <v>200441</v>
      </c>
      <c r="C19" s="1130">
        <v>530515</v>
      </c>
      <c r="D19" s="1130">
        <v>368797</v>
      </c>
      <c r="E19" s="1130">
        <v>330520</v>
      </c>
      <c r="F19" s="1134">
        <f t="shared" si="1"/>
        <v>1430273</v>
      </c>
      <c r="H19" s="112"/>
      <c r="I19" s="112"/>
      <c r="J19" s="112"/>
      <c r="K19" s="128"/>
      <c r="L19" s="128"/>
      <c r="M19" s="128"/>
      <c r="N19" s="31"/>
      <c r="O19" s="31"/>
      <c r="P19" s="31"/>
      <c r="Q19" s="1945"/>
      <c r="R19" s="1945"/>
      <c r="S19" s="1945"/>
      <c r="T19" s="1945"/>
      <c r="U19" s="31"/>
      <c r="V19" s="31"/>
    </row>
    <row r="20" spans="1:22" ht="18.75" hidden="1">
      <c r="A20" s="1133" t="s">
        <v>1123</v>
      </c>
      <c r="B20" s="1130">
        <v>202312</v>
      </c>
      <c r="C20" s="1130">
        <v>526759</v>
      </c>
      <c r="D20" s="1130">
        <v>371273</v>
      </c>
      <c r="E20" s="1130">
        <v>330476</v>
      </c>
      <c r="F20" s="1134">
        <f t="shared" si="1"/>
        <v>1430820</v>
      </c>
      <c r="H20" s="112"/>
      <c r="I20" s="112"/>
      <c r="J20" s="112"/>
      <c r="K20" s="128"/>
      <c r="L20" s="128"/>
      <c r="M20" s="128"/>
      <c r="N20" s="31"/>
      <c r="O20" s="31"/>
      <c r="P20" s="31">
        <f>+D32+E32</f>
        <v>717872</v>
      </c>
      <c r="Q20" s="1945"/>
      <c r="R20" s="1945"/>
      <c r="S20" s="1945"/>
      <c r="T20" s="1945"/>
      <c r="U20" s="31"/>
      <c r="V20" s="31"/>
    </row>
    <row r="21" spans="1:22" ht="18.75" hidden="1">
      <c r="A21" s="1133" t="s">
        <v>1232</v>
      </c>
      <c r="B21" s="1130">
        <v>211683</v>
      </c>
      <c r="C21" s="1130">
        <v>525218</v>
      </c>
      <c r="D21" s="1130">
        <v>368918</v>
      </c>
      <c r="E21" s="1130">
        <v>329636</v>
      </c>
      <c r="F21" s="1134">
        <f t="shared" si="1"/>
        <v>1435455</v>
      </c>
      <c r="H21" s="112"/>
      <c r="I21" s="112"/>
      <c r="J21" s="112"/>
      <c r="K21" s="128"/>
      <c r="L21" s="128"/>
      <c r="M21" s="128"/>
      <c r="N21" s="31"/>
      <c r="O21" s="31"/>
      <c r="P21" s="1553">
        <f>(D33+E33)/F33</f>
        <v>0.46591102534614609</v>
      </c>
      <c r="Q21" s="1945"/>
      <c r="R21" s="1945"/>
      <c r="S21" s="1945"/>
      <c r="T21" s="1945"/>
      <c r="U21" s="31"/>
      <c r="V21" s="31"/>
    </row>
    <row r="22" spans="1:22" ht="18.75" hidden="1">
      <c r="A22" s="1133" t="s">
        <v>1309</v>
      </c>
      <c r="B22" s="1130">
        <v>219121</v>
      </c>
      <c r="C22" s="1130">
        <v>527086</v>
      </c>
      <c r="D22" s="1130">
        <v>369090</v>
      </c>
      <c r="E22" s="1130">
        <v>331907</v>
      </c>
      <c r="F22" s="1134">
        <f t="shared" si="1"/>
        <v>1447204</v>
      </c>
      <c r="H22" s="112"/>
      <c r="I22" s="112"/>
      <c r="J22" s="112"/>
      <c r="K22" s="128"/>
      <c r="L22" s="128"/>
      <c r="M22" s="128"/>
      <c r="N22" s="31"/>
      <c r="O22" s="31"/>
      <c r="P22" s="31"/>
      <c r="R22" s="1945"/>
      <c r="S22" s="1945"/>
      <c r="T22" s="1945"/>
      <c r="U22" s="31"/>
      <c r="V22" s="31"/>
    </row>
    <row r="23" spans="1:22" ht="18.75" hidden="1">
      <c r="A23" s="1133" t="s">
        <v>1317</v>
      </c>
      <c r="B23" s="1130">
        <v>221194</v>
      </c>
      <c r="C23" s="1130">
        <v>533546</v>
      </c>
      <c r="D23" s="1130">
        <v>374749</v>
      </c>
      <c r="E23" s="1130">
        <v>335208</v>
      </c>
      <c r="F23" s="1134">
        <f t="shared" si="1"/>
        <v>1464697</v>
      </c>
      <c r="K23" s="90"/>
      <c r="L23" s="90"/>
      <c r="M23" s="31"/>
      <c r="N23" s="31"/>
      <c r="O23" s="31"/>
      <c r="P23" s="31"/>
      <c r="R23" s="1945"/>
      <c r="S23" s="1945"/>
      <c r="T23" s="1945"/>
      <c r="U23" s="31"/>
      <c r="V23" s="31"/>
    </row>
    <row r="24" spans="1:22" ht="18.75" hidden="1">
      <c r="A24" s="1133" t="s">
        <v>1331</v>
      </c>
      <c r="B24" s="1130">
        <v>228432</v>
      </c>
      <c r="C24" s="1130">
        <v>536400</v>
      </c>
      <c r="D24" s="1130">
        <v>375212</v>
      </c>
      <c r="E24" s="1130">
        <v>337026</v>
      </c>
      <c r="F24" s="1134">
        <f t="shared" si="1"/>
        <v>1477070</v>
      </c>
      <c r="K24" s="90"/>
      <c r="L24" s="90"/>
      <c r="M24" s="31"/>
      <c r="N24" s="31"/>
      <c r="O24" s="31"/>
      <c r="P24" s="31"/>
      <c r="R24" s="1945"/>
      <c r="S24" s="1945"/>
      <c r="T24" s="1945"/>
      <c r="U24" s="31"/>
      <c r="V24" s="31"/>
    </row>
    <row r="25" spans="1:22" ht="18.75" hidden="1">
      <c r="A25" s="1133" t="s">
        <v>1403</v>
      </c>
      <c r="B25" s="1130">
        <v>228311</v>
      </c>
      <c r="C25" s="1130">
        <v>537524</v>
      </c>
      <c r="D25" s="1130">
        <v>371556</v>
      </c>
      <c r="E25" s="1130">
        <v>336046</v>
      </c>
      <c r="F25" s="1134">
        <f t="shared" si="1"/>
        <v>1473437</v>
      </c>
      <c r="Q25" s="1945"/>
      <c r="R25" s="1945"/>
      <c r="S25" s="1945"/>
      <c r="T25" s="1945"/>
    </row>
    <row r="26" spans="1:22" ht="18.75" hidden="1">
      <c r="A26" s="1133" t="s">
        <v>1425</v>
      </c>
      <c r="B26" s="1130">
        <v>234394</v>
      </c>
      <c r="C26" s="1130">
        <v>534799</v>
      </c>
      <c r="D26" s="1130">
        <v>372783</v>
      </c>
      <c r="E26" s="1130">
        <v>336130</v>
      </c>
      <c r="F26" s="1134">
        <f t="shared" si="1"/>
        <v>1478106</v>
      </c>
      <c r="Q26" s="1945"/>
      <c r="R26" s="1945"/>
      <c r="S26" s="1945"/>
      <c r="T26" s="1945"/>
    </row>
    <row r="27" spans="1:22" ht="18.75" hidden="1">
      <c r="A27" s="1133" t="s">
        <v>1436</v>
      </c>
      <c r="B27" s="1130">
        <v>239136</v>
      </c>
      <c r="C27" s="1130">
        <v>537402</v>
      </c>
      <c r="D27" s="1130">
        <v>371374</v>
      </c>
      <c r="E27" s="1130">
        <v>336313</v>
      </c>
      <c r="F27" s="1134">
        <f t="shared" si="1"/>
        <v>1484225</v>
      </c>
      <c r="Q27" s="1945"/>
      <c r="R27" s="1945"/>
      <c r="S27" s="1945"/>
      <c r="T27" s="1945"/>
    </row>
    <row r="28" spans="1:22" ht="18.75" hidden="1">
      <c r="A28" s="1133" t="s">
        <v>1442</v>
      </c>
      <c r="B28" s="1130">
        <v>244791</v>
      </c>
      <c r="C28" s="1130">
        <v>536090</v>
      </c>
      <c r="D28" s="1130">
        <v>371118</v>
      </c>
      <c r="E28" s="1130">
        <v>334890</v>
      </c>
      <c r="F28" s="1134">
        <f t="shared" si="1"/>
        <v>1486889</v>
      </c>
      <c r="Q28" s="1945"/>
      <c r="R28" s="1945"/>
      <c r="S28" s="1945"/>
      <c r="T28" s="1945"/>
    </row>
    <row r="29" spans="1:22" ht="18.75" hidden="1">
      <c r="A29" s="1133" t="s">
        <v>1625</v>
      </c>
      <c r="B29" s="1131">
        <v>249439</v>
      </c>
      <c r="C29" s="1131">
        <f>541153</f>
        <v>541153</v>
      </c>
      <c r="D29" s="1131">
        <f>372919</f>
        <v>372919</v>
      </c>
      <c r="E29" s="1131">
        <f>336682</f>
        <v>336682</v>
      </c>
      <c r="F29" s="1134">
        <f t="shared" si="1"/>
        <v>1500193</v>
      </c>
      <c r="Q29" s="1945"/>
      <c r="R29" s="1945"/>
      <c r="S29" s="1945"/>
      <c r="T29" s="1945"/>
    </row>
    <row r="30" spans="1:22" ht="18.75" hidden="1">
      <c r="A30" s="1133" t="s">
        <v>1628</v>
      </c>
      <c r="B30" s="1131">
        <v>245347</v>
      </c>
      <c r="C30" s="1131">
        <v>553544</v>
      </c>
      <c r="D30" s="1131">
        <v>376606</v>
      </c>
      <c r="E30" s="1131">
        <v>340095</v>
      </c>
      <c r="F30" s="1134">
        <f t="shared" ref="F30:F35" si="2">+B30+C30+D30+E30</f>
        <v>1515592</v>
      </c>
      <c r="Q30" s="1945"/>
      <c r="R30" s="1945"/>
      <c r="S30" s="1945"/>
      <c r="T30" s="1945"/>
    </row>
    <row r="31" spans="1:22" ht="18.75">
      <c r="A31" s="1133" t="s">
        <v>1644</v>
      </c>
      <c r="B31" s="1131">
        <v>246592</v>
      </c>
      <c r="C31" s="1131">
        <v>563672</v>
      </c>
      <c r="D31" s="1131">
        <v>379418</v>
      </c>
      <c r="E31" s="1131">
        <v>340640</v>
      </c>
      <c r="F31" s="1134">
        <f t="shared" si="2"/>
        <v>1530322</v>
      </c>
      <c r="Q31" s="1945"/>
      <c r="R31" s="1945"/>
      <c r="S31" s="1945"/>
      <c r="T31" s="1945"/>
    </row>
    <row r="32" spans="1:22" ht="18.75">
      <c r="A32" s="1133" t="s">
        <v>1730</v>
      </c>
      <c r="B32" s="1131">
        <v>256189</v>
      </c>
      <c r="C32" s="1131">
        <v>556755</v>
      </c>
      <c r="D32" s="1131">
        <v>377374</v>
      </c>
      <c r="E32" s="1131">
        <v>340498</v>
      </c>
      <c r="F32" s="1134">
        <f t="shared" si="2"/>
        <v>1530816</v>
      </c>
      <c r="Q32" s="1945"/>
      <c r="R32" s="1945"/>
      <c r="S32" s="1945"/>
      <c r="T32" s="1945"/>
    </row>
    <row r="33" spans="1:20" ht="18.75">
      <c r="A33" s="1133" t="s">
        <v>1733</v>
      </c>
      <c r="B33" s="1131">
        <v>263872</v>
      </c>
      <c r="C33" s="1131">
        <v>558139</v>
      </c>
      <c r="D33" s="1131">
        <v>377875</v>
      </c>
      <c r="E33" s="1131">
        <v>339204</v>
      </c>
      <c r="F33" s="1134">
        <f t="shared" si="2"/>
        <v>1539090</v>
      </c>
      <c r="Q33" s="2062"/>
      <c r="R33" s="1945"/>
      <c r="S33" s="1945"/>
      <c r="T33" s="1945"/>
    </row>
    <row r="34" spans="1:20" ht="18.75">
      <c r="A34" s="1133" t="s">
        <v>1750</v>
      </c>
      <c r="B34" s="1131">
        <v>270651</v>
      </c>
      <c r="C34" s="1131">
        <v>565760</v>
      </c>
      <c r="D34" s="1131">
        <v>377929</v>
      </c>
      <c r="E34" s="1131">
        <v>341362</v>
      </c>
      <c r="F34" s="1134">
        <f t="shared" si="2"/>
        <v>1555702</v>
      </c>
    </row>
    <row r="35" spans="1:20" ht="18.75">
      <c r="A35" s="1133" t="s">
        <v>1756</v>
      </c>
      <c r="B35" s="1131">
        <v>272029</v>
      </c>
      <c r="C35" s="1131">
        <v>572045</v>
      </c>
      <c r="D35" s="1131">
        <v>382588</v>
      </c>
      <c r="E35" s="1131">
        <v>345238</v>
      </c>
      <c r="F35" s="1134">
        <f t="shared" si="2"/>
        <v>1571900</v>
      </c>
    </row>
    <row r="36" spans="1:20" ht="18.75">
      <c r="A36" s="1133" t="s">
        <v>1852</v>
      </c>
      <c r="B36" s="1131">
        <v>272442</v>
      </c>
      <c r="C36" s="1131">
        <v>581637</v>
      </c>
      <c r="D36" s="1131">
        <v>387652</v>
      </c>
      <c r="E36" s="1131">
        <v>349071</v>
      </c>
      <c r="F36" s="1134">
        <f t="shared" ref="F36:F41" si="3">+B36+C36+D36+E36</f>
        <v>1590802</v>
      </c>
    </row>
    <row r="37" spans="1:20" ht="18.75">
      <c r="A37" s="1133" t="s">
        <v>1868</v>
      </c>
      <c r="B37" s="1131">
        <v>275990</v>
      </c>
      <c r="C37" s="1131">
        <v>577128</v>
      </c>
      <c r="D37" s="1131">
        <v>383655</v>
      </c>
      <c r="E37" s="1131">
        <v>343083</v>
      </c>
      <c r="F37" s="1134">
        <f t="shared" si="3"/>
        <v>1579856</v>
      </c>
    </row>
    <row r="38" spans="1:20" ht="18.75">
      <c r="A38" s="1133" t="s">
        <v>1872</v>
      </c>
      <c r="B38" s="1131">
        <v>274624</v>
      </c>
      <c r="C38" s="1131">
        <v>582358</v>
      </c>
      <c r="D38" s="1131">
        <v>387019</v>
      </c>
      <c r="E38" s="1131">
        <v>346118</v>
      </c>
      <c r="F38" s="1134">
        <f t="shared" si="3"/>
        <v>1590119</v>
      </c>
    </row>
    <row r="39" spans="1:20" ht="18.75">
      <c r="A39" s="1133" t="s">
        <v>1874</v>
      </c>
      <c r="B39" s="1131">
        <v>277391</v>
      </c>
      <c r="C39" s="1131">
        <v>585908</v>
      </c>
      <c r="D39" s="1131">
        <v>387179</v>
      </c>
      <c r="E39" s="1131">
        <v>346360</v>
      </c>
      <c r="F39" s="1134">
        <f t="shared" si="3"/>
        <v>1596838</v>
      </c>
    </row>
    <row r="40" spans="1:20" ht="18.75">
      <c r="A40" s="1133" t="s">
        <v>1887</v>
      </c>
      <c r="B40" s="1131">
        <v>276510</v>
      </c>
      <c r="C40" s="1131">
        <v>594455</v>
      </c>
      <c r="D40" s="1131">
        <v>389664</v>
      </c>
      <c r="E40" s="1131">
        <v>345247</v>
      </c>
      <c r="F40" s="1134">
        <f t="shared" si="3"/>
        <v>1605876</v>
      </c>
    </row>
    <row r="41" spans="1:20" ht="18.75">
      <c r="A41" s="1133" t="s">
        <v>1901</v>
      </c>
      <c r="B41" s="1130">
        <v>280712</v>
      </c>
      <c r="C41" s="1130">
        <v>608568</v>
      </c>
      <c r="D41" s="1130">
        <v>391615</v>
      </c>
      <c r="E41" s="1130">
        <v>346177</v>
      </c>
      <c r="F41" s="1134">
        <f t="shared" si="3"/>
        <v>1627072</v>
      </c>
    </row>
    <row r="42" spans="1:20" ht="18.75">
      <c r="A42" s="1133" t="s">
        <v>1906</v>
      </c>
      <c r="B42" s="1130">
        <v>280852</v>
      </c>
      <c r="C42" s="1130">
        <v>618171</v>
      </c>
      <c r="D42" s="1130">
        <v>393074</v>
      </c>
      <c r="E42" s="1130">
        <v>349307</v>
      </c>
      <c r="F42" s="1134">
        <f>+B42+C42+D42+E42</f>
        <v>1641404</v>
      </c>
    </row>
    <row r="43" spans="1:20" ht="18.75">
      <c r="A43" s="1133" t="s">
        <v>1927</v>
      </c>
      <c r="B43" s="1130">
        <v>285703</v>
      </c>
      <c r="C43" s="1130">
        <v>624371</v>
      </c>
      <c r="D43" s="1130">
        <v>391447</v>
      </c>
      <c r="E43" s="1130">
        <v>349681</v>
      </c>
      <c r="F43" s="1134">
        <f>+B43+C43+D43+E43</f>
        <v>1651202</v>
      </c>
    </row>
  </sheetData>
  <mergeCells count="5">
    <mergeCell ref="B4:F4"/>
    <mergeCell ref="A3:F3"/>
    <mergeCell ref="A4:A5"/>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theme="5" tint="-0.499984740745262"/>
  </sheetPr>
  <dimension ref="A1:L49"/>
  <sheetViews>
    <sheetView showGridLines="0" view="pageBreakPreview" zoomScale="70" zoomScaleNormal="100" zoomScaleSheetLayoutView="70" workbookViewId="0">
      <selection activeCell="L31" sqref="L31"/>
    </sheetView>
  </sheetViews>
  <sheetFormatPr baseColWidth="10" defaultColWidth="11.42578125" defaultRowHeight="15"/>
  <cols>
    <col min="1" max="1" width="15.28515625" style="59" customWidth="1"/>
    <col min="2" max="2" width="20.85546875" style="59" customWidth="1"/>
    <col min="3" max="3" width="11.140625" style="59" customWidth="1"/>
    <col min="4" max="4" width="18.42578125" style="59" customWidth="1"/>
    <col min="5" max="5" width="10.85546875" style="59" customWidth="1"/>
    <col min="6" max="6" width="18.28515625" style="59" customWidth="1"/>
    <col min="7" max="7" width="11.85546875" style="59" customWidth="1"/>
    <col min="8" max="8" width="21.85546875" style="59" customWidth="1"/>
    <col min="9" max="9" width="17.42578125" style="59" customWidth="1"/>
    <col min="10" max="10" width="19.28515625" style="59" customWidth="1"/>
    <col min="11" max="11" width="14.42578125" style="59" customWidth="1"/>
    <col min="12" max="12" width="14.28515625" style="59" customWidth="1"/>
    <col min="13" max="13" width="13.85546875" style="59" customWidth="1"/>
    <col min="14" max="16384" width="11.42578125" style="59"/>
  </cols>
  <sheetData>
    <row r="1" spans="1:12" customFormat="1" ht="78.75" customHeight="1">
      <c r="A1" s="2293" t="s">
        <v>1990</v>
      </c>
      <c r="B1" s="2293"/>
      <c r="C1" s="2293"/>
      <c r="D1" s="2293"/>
      <c r="E1" s="2293"/>
      <c r="F1" s="2293"/>
      <c r="G1" s="2293"/>
      <c r="H1" s="2293"/>
      <c r="I1" s="2293"/>
      <c r="J1" s="2293"/>
    </row>
    <row r="2" spans="1:12" customFormat="1" ht="53.25" customHeight="1">
      <c r="A2" s="2239" t="s">
        <v>2016</v>
      </c>
      <c r="B2" s="2239"/>
      <c r="C2" s="2239"/>
      <c r="D2" s="2239"/>
      <c r="E2" s="2239"/>
      <c r="F2" s="2239"/>
      <c r="G2" s="2239"/>
      <c r="H2" s="2239"/>
      <c r="I2" s="2239"/>
      <c r="J2" s="2239"/>
    </row>
    <row r="3" spans="1:12" customFormat="1" ht="15.75">
      <c r="A3" s="2532" t="s">
        <v>188</v>
      </c>
      <c r="B3" s="2532"/>
      <c r="C3" s="2532"/>
      <c r="D3" s="2532"/>
      <c r="E3" s="2532"/>
      <c r="F3" s="2532"/>
      <c r="G3" s="2532"/>
      <c r="H3" s="2532"/>
      <c r="I3" s="59"/>
      <c r="J3" s="144"/>
      <c r="K3" s="144"/>
    </row>
    <row r="4" spans="1:12" customFormat="1" ht="20.25" customHeight="1">
      <c r="A4" s="1126" t="s">
        <v>53</v>
      </c>
      <c r="B4" s="1124" t="s">
        <v>149</v>
      </c>
      <c r="C4" s="1124" t="s">
        <v>218</v>
      </c>
      <c r="D4" s="1124" t="s">
        <v>150</v>
      </c>
      <c r="E4" s="1124" t="s">
        <v>218</v>
      </c>
      <c r="F4" s="1135" t="s">
        <v>151</v>
      </c>
      <c r="G4" s="1124" t="s">
        <v>218</v>
      </c>
      <c r="H4" s="1135" t="s">
        <v>172</v>
      </c>
      <c r="I4" s="144"/>
      <c r="J4" s="144"/>
      <c r="K4" s="144"/>
    </row>
    <row r="5" spans="1:12" customFormat="1" ht="15.75" hidden="1">
      <c r="A5" s="1078">
        <v>2004</v>
      </c>
      <c r="B5" s="192">
        <v>709273019.15999997</v>
      </c>
      <c r="C5" s="1992">
        <f t="shared" ref="C5:C11" si="0">B5/H5</f>
        <v>0.93255985430326227</v>
      </c>
      <c r="D5" s="192">
        <v>30862897.550000001</v>
      </c>
      <c r="E5" s="1992">
        <f t="shared" ref="E5:E16" si="1">D5/H5</f>
        <v>4.0578872260911274E-2</v>
      </c>
      <c r="F5" s="194">
        <v>20429762.679999996</v>
      </c>
      <c r="G5" s="1992">
        <f t="shared" ref="G5:G16" si="2">F5/H5</f>
        <v>2.6861273435826578E-2</v>
      </c>
      <c r="H5" s="1765">
        <f>B5+D5+F5</f>
        <v>760565679.38999987</v>
      </c>
      <c r="I5" s="144"/>
      <c r="J5" s="144"/>
    </row>
    <row r="6" spans="1:12" customFormat="1" ht="15.75">
      <c r="A6" s="1078">
        <v>2005</v>
      </c>
      <c r="B6" s="192">
        <v>1182369144.5599999</v>
      </c>
      <c r="C6" s="1992">
        <f t="shared" si="0"/>
        <v>0.94107399436081784</v>
      </c>
      <c r="D6" s="192">
        <v>45221952.840000004</v>
      </c>
      <c r="E6" s="1992">
        <f t="shared" si="1"/>
        <v>3.5993161685365468E-2</v>
      </c>
      <c r="F6" s="192">
        <v>28812917.210000001</v>
      </c>
      <c r="G6" s="1992">
        <f t="shared" si="2"/>
        <v>2.2932843953816728E-2</v>
      </c>
      <c r="H6" s="1765">
        <f t="shared" ref="H6:H13" si="3">B6+D6+F6</f>
        <v>1256404014.6099999</v>
      </c>
      <c r="I6" s="144"/>
      <c r="J6" s="144"/>
    </row>
    <row r="7" spans="1:12" customFormat="1" ht="15.75">
      <c r="A7" s="1078">
        <v>2006</v>
      </c>
      <c r="B7" s="192">
        <v>1292735922.04</v>
      </c>
      <c r="C7" s="1992">
        <f t="shared" si="0"/>
        <v>0.9378154266333486</v>
      </c>
      <c r="D7" s="192">
        <v>53017895.640000001</v>
      </c>
      <c r="E7" s="1992">
        <f t="shared" si="1"/>
        <v>3.8461838625453222E-2</v>
      </c>
      <c r="F7" s="194">
        <v>32700711.139999997</v>
      </c>
      <c r="G7" s="1992">
        <f t="shared" si="2"/>
        <v>2.3722734741198043E-2</v>
      </c>
      <c r="H7" s="1765">
        <f t="shared" si="3"/>
        <v>1378454528.8200002</v>
      </c>
      <c r="I7" s="144"/>
      <c r="J7" s="144"/>
    </row>
    <row r="8" spans="1:12" customFormat="1" ht="15.75">
      <c r="A8" s="1078">
        <v>2007</v>
      </c>
      <c r="B8" s="192">
        <v>1635826212.6800001</v>
      </c>
      <c r="C8" s="1992">
        <f t="shared" si="0"/>
        <v>0.94578819959568305</v>
      </c>
      <c r="D8" s="192">
        <v>70883463.600000009</v>
      </c>
      <c r="E8" s="1992">
        <f t="shared" si="1"/>
        <v>4.0982803001741994E-2</v>
      </c>
      <c r="F8" s="194">
        <v>22880747.219999999</v>
      </c>
      <c r="G8" s="1992">
        <f t="shared" si="2"/>
        <v>1.3228997402574945E-2</v>
      </c>
      <c r="H8" s="1765">
        <f t="shared" si="3"/>
        <v>1729590423.5</v>
      </c>
      <c r="I8" s="144"/>
      <c r="J8" s="144"/>
    </row>
    <row r="9" spans="1:12" customFormat="1" ht="15.75">
      <c r="A9" s="1078">
        <v>2008</v>
      </c>
      <c r="B9" s="194">
        <v>1581393650.8599999</v>
      </c>
      <c r="C9" s="1992">
        <f t="shared" si="0"/>
        <v>0.94890566872483018</v>
      </c>
      <c r="D9" s="194">
        <v>68964104.809999987</v>
      </c>
      <c r="E9" s="1992">
        <f t="shared" si="1"/>
        <v>4.1381492809936499E-2</v>
      </c>
      <c r="F9" s="194">
        <v>16186878.83</v>
      </c>
      <c r="G9" s="1992">
        <f t="shared" si="2"/>
        <v>9.7128384652334383E-3</v>
      </c>
      <c r="H9" s="1765">
        <f t="shared" si="3"/>
        <v>1666544634.4999998</v>
      </c>
      <c r="I9" s="144"/>
    </row>
    <row r="10" spans="1:12" customFormat="1" ht="15.75">
      <c r="A10" s="1078">
        <v>2009</v>
      </c>
      <c r="B10" s="195">
        <f>+[10]RL!BK122</f>
        <v>1687099942.1400001</v>
      </c>
      <c r="C10" s="1992">
        <f t="shared" si="0"/>
        <v>0.95230043356878247</v>
      </c>
      <c r="D10" s="195">
        <f>+[10]RL!BL122</f>
        <v>73407508.640000001</v>
      </c>
      <c r="E10" s="1992">
        <f t="shared" si="1"/>
        <v>4.1435602336873975E-2</v>
      </c>
      <c r="F10" s="196">
        <f>+[10]RL!BM122</f>
        <v>11097268.350000001</v>
      </c>
      <c r="G10" s="1992">
        <f t="shared" si="2"/>
        <v>6.263964094343601E-3</v>
      </c>
      <c r="H10" s="1765">
        <f t="shared" si="3"/>
        <v>1771604719.1300001</v>
      </c>
      <c r="I10" s="144"/>
      <c r="J10" s="28"/>
    </row>
    <row r="11" spans="1:12" customFormat="1" ht="15.75">
      <c r="A11" s="1078">
        <v>2010</v>
      </c>
      <c r="B11" s="195">
        <v>1922473271.8800001</v>
      </c>
      <c r="C11" s="1992">
        <f t="shared" si="0"/>
        <v>0.95304420512804544</v>
      </c>
      <c r="D11" s="195">
        <v>83809689.36999999</v>
      </c>
      <c r="E11" s="1992">
        <f t="shared" si="1"/>
        <v>4.1547697934728817E-2</v>
      </c>
      <c r="F11" s="196">
        <v>10909170.590000002</v>
      </c>
      <c r="G11" s="1992">
        <f t="shared" si="2"/>
        <v>5.4080969372258579E-3</v>
      </c>
      <c r="H11" s="1765">
        <f t="shared" si="3"/>
        <v>2017192131.8399999</v>
      </c>
      <c r="I11" s="145"/>
      <c r="J11" s="28"/>
      <c r="K11" s="28"/>
      <c r="L11" s="812"/>
    </row>
    <row r="12" spans="1:12" s="128" customFormat="1" ht="15.75">
      <c r="A12" s="1078">
        <v>2011</v>
      </c>
      <c r="B12" s="195">
        <v>2175109581.8400002</v>
      </c>
      <c r="C12" s="1992">
        <f>B12/H12</f>
        <v>0.95103367657376847</v>
      </c>
      <c r="D12" s="195">
        <v>94554070.570000008</v>
      </c>
      <c r="E12" s="1992">
        <f t="shared" si="1"/>
        <v>4.1342333333446481E-2</v>
      </c>
      <c r="F12" s="196">
        <v>17436831.43</v>
      </c>
      <c r="G12" s="1992">
        <f t="shared" si="2"/>
        <v>7.623990092785026E-3</v>
      </c>
      <c r="H12" s="1765">
        <f t="shared" si="3"/>
        <v>2287100483.8400002</v>
      </c>
      <c r="I12" s="145"/>
      <c r="J12" s="28"/>
      <c r="K12" s="28"/>
    </row>
    <row r="13" spans="1:12" s="128" customFormat="1" ht="15.75">
      <c r="A13" s="1078">
        <v>2012</v>
      </c>
      <c r="B13" s="192">
        <v>2411674911.5</v>
      </c>
      <c r="C13" s="1993">
        <f>B13/H13</f>
        <v>0.95211214546597178</v>
      </c>
      <c r="D13" s="192">
        <v>104789518.09</v>
      </c>
      <c r="E13" s="1993">
        <f t="shared" si="1"/>
        <v>4.1370158314148538E-2</v>
      </c>
      <c r="F13" s="194">
        <v>16509152.34</v>
      </c>
      <c r="G13" s="1993">
        <f t="shared" si="2"/>
        <v>6.5176962198795789E-3</v>
      </c>
      <c r="H13" s="1765">
        <f t="shared" si="3"/>
        <v>2532973581.9300003</v>
      </c>
      <c r="I13" s="145"/>
      <c r="J13" s="28"/>
      <c r="K13" s="28"/>
    </row>
    <row r="14" spans="1:12" s="128" customFormat="1" ht="15.75">
      <c r="A14" s="1078">
        <v>2013</v>
      </c>
      <c r="B14" s="192">
        <v>2663186569.8200002</v>
      </c>
      <c r="C14" s="1993">
        <f>B14/H14</f>
        <v>0.95177416884053523</v>
      </c>
      <c r="D14" s="192">
        <v>115834844.37</v>
      </c>
      <c r="E14" s="1993">
        <f t="shared" si="1"/>
        <v>4.1397254691953864E-2</v>
      </c>
      <c r="F14" s="194">
        <v>19107235.449999999</v>
      </c>
      <c r="G14" s="1993">
        <f t="shared" si="2"/>
        <v>6.8285764675109877E-3</v>
      </c>
      <c r="H14" s="1765">
        <f>B14+D14+F14</f>
        <v>2798128649.6399999</v>
      </c>
      <c r="I14" s="145"/>
      <c r="J14" s="28"/>
      <c r="K14" s="28"/>
    </row>
    <row r="15" spans="1:12" s="128" customFormat="1" ht="15.75">
      <c r="A15" s="1078">
        <v>2014</v>
      </c>
      <c r="B15" s="192">
        <v>3005088863.5</v>
      </c>
      <c r="C15" s="1993">
        <f>B15/H15</f>
        <v>0.95169285075746779</v>
      </c>
      <c r="D15" s="192">
        <v>131454109.09999999</v>
      </c>
      <c r="E15" s="1993">
        <f t="shared" si="1"/>
        <v>4.1630694304146051E-2</v>
      </c>
      <c r="F15" s="194">
        <v>21081739.100000001</v>
      </c>
      <c r="G15" s="1993">
        <f>F15/H15</f>
        <v>6.676454938386275E-3</v>
      </c>
      <c r="H15" s="1765">
        <f>B15+D15+F15</f>
        <v>3157624711.6999998</v>
      </c>
      <c r="I15" s="145"/>
      <c r="J15" s="28"/>
      <c r="K15" s="28"/>
    </row>
    <row r="16" spans="1:12" customFormat="1" ht="15.75">
      <c r="A16" s="1136" t="s">
        <v>23</v>
      </c>
      <c r="B16" s="1754">
        <f>SUM(B6:B15)</f>
        <v>19556958070.82</v>
      </c>
      <c r="C16" s="1799">
        <f>B16/H16</f>
        <v>0.94956889301566738</v>
      </c>
      <c r="D16" s="1754">
        <f>SUM(D6:D15)</f>
        <v>841937157.02999997</v>
      </c>
      <c r="E16" s="1799">
        <f t="shared" si="1"/>
        <v>4.0879431826496421E-2</v>
      </c>
      <c r="F16" s="1754">
        <f>SUM(F6:F15)</f>
        <v>196722651.66</v>
      </c>
      <c r="G16" s="1799">
        <f t="shared" si="2"/>
        <v>9.5516751578360662E-3</v>
      </c>
      <c r="H16" s="1764">
        <f>SUM(H6:H15)</f>
        <v>20595617879.510002</v>
      </c>
      <c r="I16" s="145"/>
      <c r="J16" s="59"/>
      <c r="K16" s="59"/>
    </row>
    <row r="17" spans="3:12" customFormat="1">
      <c r="C17" s="28"/>
      <c r="D17" s="28"/>
      <c r="E17" s="28"/>
      <c r="F17" s="28"/>
      <c r="G17" s="28"/>
      <c r="H17" s="28"/>
      <c r="I17" s="28"/>
      <c r="J17" s="59"/>
      <c r="K17" s="59"/>
      <c r="L17" s="28"/>
    </row>
    <row r="18" spans="3:12" customFormat="1">
      <c r="C18" s="28"/>
      <c r="D18" s="28"/>
      <c r="E18" s="28"/>
      <c r="F18" s="28"/>
      <c r="G18" s="28"/>
      <c r="H18" s="28"/>
      <c r="I18" s="28"/>
      <c r="J18" s="28"/>
      <c r="K18" s="28"/>
      <c r="L18" s="28"/>
    </row>
    <row r="19" spans="3:12" customFormat="1">
      <c r="C19" s="28"/>
      <c r="D19" s="28"/>
      <c r="E19" s="28"/>
      <c r="F19" s="28"/>
      <c r="G19" s="28"/>
      <c r="H19" s="28"/>
      <c r="I19" s="28"/>
      <c r="J19" s="28"/>
      <c r="K19" s="28"/>
      <c r="L19" s="28"/>
    </row>
    <row r="20" spans="3:12" customFormat="1">
      <c r="C20" s="28"/>
      <c r="D20" s="28"/>
      <c r="E20" s="28"/>
      <c r="F20" s="28"/>
      <c r="G20" s="28"/>
      <c r="H20" s="28"/>
      <c r="I20" s="28"/>
      <c r="J20" s="28"/>
      <c r="K20" s="28"/>
      <c r="L20" s="28"/>
    </row>
    <row r="21" spans="3:12" customFormat="1">
      <c r="C21" s="28"/>
      <c r="D21" s="28"/>
      <c r="E21" s="28"/>
      <c r="F21" s="28"/>
      <c r="G21" s="28"/>
      <c r="H21" s="28"/>
      <c r="I21" s="28"/>
      <c r="J21" s="28"/>
      <c r="K21" s="28"/>
      <c r="L21" s="28"/>
    </row>
    <row r="22" spans="3:12" customFormat="1">
      <c r="C22" s="28"/>
      <c r="D22" s="28"/>
      <c r="E22" s="28"/>
      <c r="F22" s="28"/>
      <c r="G22" s="28"/>
      <c r="H22" s="28"/>
      <c r="I22" s="28"/>
      <c r="J22" s="28"/>
      <c r="K22" s="28"/>
      <c r="L22" s="28"/>
    </row>
    <row r="23" spans="3:12" customFormat="1">
      <c r="C23" s="28"/>
      <c r="D23" s="28"/>
      <c r="E23" s="28"/>
      <c r="F23" s="28"/>
      <c r="G23" s="28"/>
      <c r="H23" s="28"/>
      <c r="I23" s="28"/>
      <c r="J23" s="28"/>
      <c r="K23" s="28"/>
      <c r="L23" s="28" t="s">
        <v>252</v>
      </c>
    </row>
    <row r="24" spans="3:12" customFormat="1">
      <c r="C24" s="28"/>
      <c r="D24" s="28"/>
      <c r="E24" s="28"/>
      <c r="F24" s="28"/>
      <c r="G24" s="28"/>
      <c r="H24" s="28"/>
      <c r="I24" s="28"/>
      <c r="J24" s="28"/>
      <c r="K24" s="28"/>
      <c r="L24" s="28"/>
    </row>
    <row r="25" spans="3:12" customFormat="1">
      <c r="C25" s="28"/>
      <c r="D25" s="28"/>
      <c r="E25" s="28"/>
      <c r="F25" s="28"/>
      <c r="G25" s="28"/>
      <c r="H25" s="28"/>
      <c r="I25" s="28"/>
      <c r="J25" s="28"/>
      <c r="K25" s="28"/>
      <c r="L25" s="28"/>
    </row>
    <row r="26" spans="3:12" customFormat="1">
      <c r="C26" s="28"/>
      <c r="D26" s="28"/>
      <c r="E26" s="28"/>
      <c r="F26" s="28"/>
      <c r="G26" s="28"/>
      <c r="H26" s="28"/>
      <c r="I26" s="28"/>
      <c r="J26" s="28"/>
      <c r="K26" s="28"/>
      <c r="L26" s="28"/>
    </row>
    <row r="27" spans="3:12" customFormat="1">
      <c r="C27" s="28"/>
      <c r="D27" s="28"/>
      <c r="E27" s="28"/>
      <c r="F27" s="28"/>
      <c r="G27" s="28"/>
      <c r="H27" s="28"/>
      <c r="I27" s="28"/>
      <c r="J27" s="28"/>
      <c r="K27" s="28"/>
      <c r="L27" s="28"/>
    </row>
    <row r="28" spans="3:12" customFormat="1">
      <c r="C28" s="28"/>
      <c r="D28" s="28"/>
      <c r="E28" s="28"/>
      <c r="F28" s="28"/>
      <c r="G28" s="28"/>
      <c r="H28" s="28"/>
      <c r="I28" s="28"/>
      <c r="J28" s="28"/>
      <c r="K28" s="28"/>
      <c r="L28" s="28"/>
    </row>
    <row r="29" spans="3:12" customFormat="1">
      <c r="C29" s="28"/>
      <c r="D29" s="28"/>
      <c r="E29" s="28"/>
      <c r="F29" s="28"/>
      <c r="G29" s="28"/>
      <c r="H29" s="28"/>
      <c r="I29" s="28"/>
      <c r="J29" s="28"/>
      <c r="K29" s="28"/>
      <c r="L29" s="28"/>
    </row>
    <row r="30" spans="3:12" customFormat="1">
      <c r="C30" s="28"/>
      <c r="D30" s="28"/>
      <c r="E30" s="28"/>
      <c r="F30" s="28"/>
      <c r="G30" s="28"/>
      <c r="H30" s="28"/>
      <c r="I30" s="28"/>
      <c r="J30" s="28"/>
      <c r="K30" s="28"/>
      <c r="L30" s="28"/>
    </row>
    <row r="31" spans="3:12" customFormat="1">
      <c r="C31" s="28"/>
      <c r="D31" s="28"/>
      <c r="E31" s="28"/>
      <c r="F31" s="28"/>
      <c r="G31" s="28"/>
      <c r="H31" s="28"/>
      <c r="I31" s="28"/>
      <c r="J31" s="28"/>
      <c r="K31" s="28"/>
      <c r="L31" s="28"/>
    </row>
    <row r="32" spans="3:12" customFormat="1">
      <c r="C32" s="28"/>
      <c r="D32" s="28"/>
      <c r="E32" s="28"/>
      <c r="F32" s="28"/>
      <c r="G32" s="28"/>
      <c r="H32" s="28"/>
      <c r="I32" s="28"/>
      <c r="J32" s="28"/>
      <c r="K32" s="28"/>
      <c r="L32" s="28"/>
    </row>
    <row r="33" spans="3:12" customFormat="1">
      <c r="C33" s="28"/>
      <c r="D33" s="28"/>
      <c r="E33" s="28"/>
      <c r="F33" s="28"/>
      <c r="G33" s="28"/>
      <c r="H33" s="28"/>
      <c r="I33" s="28"/>
      <c r="J33" s="28"/>
      <c r="K33" s="28"/>
      <c r="L33" s="28"/>
    </row>
    <row r="34" spans="3:12" customFormat="1">
      <c r="C34" s="28"/>
      <c r="D34" s="28"/>
      <c r="E34" s="28"/>
      <c r="F34" s="28"/>
      <c r="G34" s="28"/>
      <c r="H34" s="28"/>
      <c r="I34" s="28"/>
      <c r="J34" s="28"/>
      <c r="K34" s="28"/>
      <c r="L34" s="28"/>
    </row>
    <row r="35" spans="3:12" customFormat="1">
      <c r="C35" s="28"/>
      <c r="D35" s="28"/>
      <c r="E35" s="28"/>
      <c r="F35" s="28"/>
      <c r="G35" s="28"/>
      <c r="H35" s="28"/>
      <c r="I35" s="28"/>
      <c r="J35" s="28"/>
      <c r="K35" s="28"/>
      <c r="L35" s="28"/>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sheetData>
  <mergeCells count="3">
    <mergeCell ref="A3:H3"/>
    <mergeCell ref="A1:J1"/>
    <mergeCell ref="A2:J2"/>
  </mergeCells>
  <printOptions horizontalCentered="1"/>
  <pageMargins left="0.39370078740157483" right="0.39370078740157483" top="0.23622047244094491" bottom="0.23622047244094491" header="0.31496062992125984" footer="0.31496062992125984"/>
  <pageSetup scale="75" orientation="landscape" r:id="rId1"/>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theme="5" tint="-0.499984740745262"/>
    <pageSetUpPr fitToPage="1"/>
  </sheetPr>
  <dimension ref="A1:M79"/>
  <sheetViews>
    <sheetView showGridLines="0" view="pageBreakPreview" zoomScaleNormal="100" zoomScaleSheetLayoutView="100" workbookViewId="0">
      <selection activeCell="L42" sqref="L42"/>
    </sheetView>
  </sheetViews>
  <sheetFormatPr baseColWidth="10" defaultColWidth="11.42578125" defaultRowHeight="15"/>
  <cols>
    <col min="1" max="1" width="9.5703125" style="84" customWidth="1"/>
    <col min="2" max="2" width="19.42578125" style="84" bestFit="1" customWidth="1"/>
    <col min="3" max="3" width="10.42578125" style="84" bestFit="1" customWidth="1"/>
    <col min="4" max="4" width="18.5703125" style="84" customWidth="1"/>
    <col min="5" max="5" width="11.85546875" style="84" customWidth="1"/>
    <col min="6" max="6" width="16.42578125" style="84" bestFit="1" customWidth="1"/>
    <col min="7" max="7" width="11.85546875" style="84" customWidth="1"/>
    <col min="8" max="8" width="20" style="84" customWidth="1"/>
    <col min="9" max="9" width="8.42578125" style="84" customWidth="1"/>
    <col min="10" max="10" width="7.28515625" style="84" customWidth="1"/>
    <col min="11" max="11" width="7.7109375" style="84" customWidth="1"/>
    <col min="12" max="12" width="15.140625" style="84" customWidth="1"/>
    <col min="13" max="13" width="8.42578125" style="84" customWidth="1"/>
    <col min="14" max="14" width="4.28515625" style="84" customWidth="1"/>
    <col min="15" max="16384" width="11.42578125" style="84"/>
  </cols>
  <sheetData>
    <row r="1" spans="1:13" customFormat="1" ht="68.25" customHeight="1">
      <c r="A1" s="2534" t="s">
        <v>1991</v>
      </c>
      <c r="B1" s="2535"/>
      <c r="C1" s="2535"/>
      <c r="D1" s="2535"/>
      <c r="E1" s="2535"/>
      <c r="F1" s="2535"/>
      <c r="G1" s="2535"/>
      <c r="H1" s="2535"/>
      <c r="I1" s="2535"/>
      <c r="J1" s="2535"/>
      <c r="K1" s="2535"/>
      <c r="L1" s="2535"/>
      <c r="M1" s="2535"/>
    </row>
    <row r="2" spans="1:13" s="128" customFormat="1" ht="2.25" customHeight="1">
      <c r="A2" s="118"/>
      <c r="B2" s="118"/>
      <c r="C2" s="118"/>
      <c r="D2" s="118"/>
      <c r="E2" s="118"/>
      <c r="F2" s="118"/>
      <c r="G2" s="118"/>
      <c r="H2" s="118"/>
      <c r="I2" s="118"/>
      <c r="J2" s="118"/>
      <c r="K2" s="118"/>
      <c r="L2" s="118"/>
    </row>
    <row r="3" spans="1:13" customFormat="1" ht="18" customHeight="1">
      <c r="A3" s="1138"/>
      <c r="B3" s="2533" t="s">
        <v>1855</v>
      </c>
      <c r="C3" s="2533"/>
      <c r="D3" s="2533"/>
      <c r="E3" s="2533"/>
      <c r="F3" s="2533"/>
      <c r="G3" s="2533"/>
      <c r="H3" s="2533"/>
      <c r="I3" s="118"/>
      <c r="J3" s="118"/>
      <c r="K3" s="118"/>
      <c r="L3" s="118"/>
    </row>
    <row r="4" spans="1:13" customFormat="1" ht="23.25" customHeight="1">
      <c r="A4" s="1079" t="s">
        <v>52</v>
      </c>
      <c r="B4" s="1124" t="s">
        <v>149</v>
      </c>
      <c r="C4" s="1124" t="s">
        <v>218</v>
      </c>
      <c r="D4" s="1124" t="s">
        <v>150</v>
      </c>
      <c r="E4" s="1124" t="s">
        <v>218</v>
      </c>
      <c r="F4" s="1135" t="s">
        <v>151</v>
      </c>
      <c r="G4" s="1124" t="s">
        <v>218</v>
      </c>
      <c r="H4" s="1135" t="s">
        <v>23</v>
      </c>
      <c r="I4" s="119"/>
      <c r="J4" s="119"/>
      <c r="K4" s="119"/>
      <c r="L4" s="118"/>
    </row>
    <row r="5" spans="1:13" s="128" customFormat="1" ht="15.75" hidden="1">
      <c r="A5" s="772" t="s">
        <v>1030</v>
      </c>
      <c r="B5" s="773">
        <v>201809146.71000001</v>
      </c>
      <c r="C5" s="862">
        <f t="shared" ref="C5:C14" si="0">B5/H5</f>
        <v>0.95117187992891017</v>
      </c>
      <c r="D5" s="773">
        <v>8408798.1899999995</v>
      </c>
      <c r="E5" s="862">
        <f t="shared" ref="E5:E14" si="1">D5/H5</f>
        <v>3.9632556366825916E-2</v>
      </c>
      <c r="F5" s="773">
        <v>1951013.17</v>
      </c>
      <c r="G5" s="862">
        <f t="shared" ref="G5:G14" si="2">F5/H5</f>
        <v>9.1955637042639878E-3</v>
      </c>
      <c r="H5" s="774">
        <f t="shared" ref="H5:H14" si="3">+F5+D5+B5</f>
        <v>212168958.06999999</v>
      </c>
      <c r="I5" s="119"/>
      <c r="J5" s="152"/>
      <c r="K5" s="152"/>
      <c r="L5" s="118"/>
    </row>
    <row r="6" spans="1:13" s="128" customFormat="1" ht="15.75" hidden="1">
      <c r="A6" s="772" t="s">
        <v>946</v>
      </c>
      <c r="B6" s="773">
        <v>198964317.88999999</v>
      </c>
      <c r="C6" s="862">
        <f t="shared" si="0"/>
        <v>0.94970135817296708</v>
      </c>
      <c r="D6" s="773">
        <v>8905010.6199999992</v>
      </c>
      <c r="E6" s="862">
        <f t="shared" si="1"/>
        <v>4.2505614926563427E-2</v>
      </c>
      <c r="F6" s="773">
        <v>1632654.59</v>
      </c>
      <c r="G6" s="862">
        <f t="shared" si="2"/>
        <v>7.7930269004694696E-3</v>
      </c>
      <c r="H6" s="774">
        <f t="shared" si="3"/>
        <v>209501983.09999999</v>
      </c>
      <c r="I6" s="119"/>
      <c r="J6" s="152"/>
      <c r="K6" s="152"/>
      <c r="L6" s="118"/>
    </row>
    <row r="7" spans="1:13" s="128" customFormat="1" ht="15.75" hidden="1">
      <c r="A7" s="1139" t="s">
        <v>1031</v>
      </c>
      <c r="B7" s="773">
        <v>188916270.61000001</v>
      </c>
      <c r="C7" s="862">
        <f t="shared" si="0"/>
        <v>0.95436109449832285</v>
      </c>
      <c r="D7" s="773">
        <v>8151853.25</v>
      </c>
      <c r="E7" s="862">
        <f t="shared" si="1"/>
        <v>4.1181268107501466E-2</v>
      </c>
      <c r="F7" s="773">
        <v>882391.62</v>
      </c>
      <c r="G7" s="862">
        <f t="shared" si="2"/>
        <v>4.4576373941756803E-3</v>
      </c>
      <c r="H7" s="1141">
        <f t="shared" si="3"/>
        <v>197950515.48000002</v>
      </c>
      <c r="I7" s="119"/>
      <c r="J7" s="152"/>
      <c r="K7" s="152"/>
      <c r="L7" s="118"/>
    </row>
    <row r="8" spans="1:13" s="128" customFormat="1" ht="15.75" hidden="1">
      <c r="A8" s="1139" t="s">
        <v>1032</v>
      </c>
      <c r="B8" s="773">
        <v>193077265.50999999</v>
      </c>
      <c r="C8" s="862">
        <f t="shared" si="0"/>
        <v>0.95217509097813424</v>
      </c>
      <c r="D8" s="773">
        <v>8373685.2999999998</v>
      </c>
      <c r="E8" s="862">
        <f t="shared" si="1"/>
        <v>4.1295460349974819E-2</v>
      </c>
      <c r="F8" s="773">
        <v>1324008.69</v>
      </c>
      <c r="G8" s="862">
        <f t="shared" si="2"/>
        <v>6.5294486718908695E-3</v>
      </c>
      <c r="H8" s="1141">
        <f t="shared" si="3"/>
        <v>202774959.5</v>
      </c>
      <c r="I8" s="119"/>
      <c r="J8" s="152"/>
      <c r="K8" s="152"/>
      <c r="L8" s="118"/>
    </row>
    <row r="9" spans="1:13" s="128" customFormat="1" ht="15.75" hidden="1">
      <c r="A9" s="1139" t="s">
        <v>943</v>
      </c>
      <c r="B9" s="773">
        <v>203751818.69</v>
      </c>
      <c r="C9" s="862">
        <f t="shared" si="0"/>
        <v>0.95082792633938329</v>
      </c>
      <c r="D9" s="773">
        <v>8754120.9499999993</v>
      </c>
      <c r="E9" s="862">
        <f t="shared" si="1"/>
        <v>4.0851967473609453E-2</v>
      </c>
      <c r="F9" s="773">
        <v>1782905.95</v>
      </c>
      <c r="G9" s="862">
        <f t="shared" si="2"/>
        <v>8.320106187007249E-3</v>
      </c>
      <c r="H9" s="1141">
        <f t="shared" si="3"/>
        <v>214288845.59</v>
      </c>
      <c r="I9" s="119"/>
      <c r="J9" s="152"/>
      <c r="K9" s="152"/>
      <c r="L9" s="118"/>
    </row>
    <row r="10" spans="1:13" s="128" customFormat="1" ht="15.75" hidden="1">
      <c r="A10" s="1139" t="s">
        <v>957</v>
      </c>
      <c r="B10" s="775">
        <v>197933423.19999999</v>
      </c>
      <c r="C10" s="863">
        <f t="shared" si="0"/>
        <v>0.9534933932554992</v>
      </c>
      <c r="D10" s="775">
        <v>8564428.6799999997</v>
      </c>
      <c r="E10" s="863">
        <f t="shared" si="1"/>
        <v>4.1256933929428023E-2</v>
      </c>
      <c r="F10" s="775">
        <v>1089767.08</v>
      </c>
      <c r="G10" s="863">
        <f t="shared" si="2"/>
        <v>5.2496728150727865E-3</v>
      </c>
      <c r="H10" s="1141">
        <f t="shared" si="3"/>
        <v>207587618.95999998</v>
      </c>
      <c r="I10" s="119"/>
      <c r="J10" s="152"/>
      <c r="K10" s="152"/>
      <c r="L10" s="118"/>
    </row>
    <row r="11" spans="1:13" s="128" customFormat="1" ht="15.75" hidden="1">
      <c r="A11" s="1139" t="s">
        <v>1033</v>
      </c>
      <c r="B11" s="775">
        <v>198690333.59999999</v>
      </c>
      <c r="C11" s="863">
        <f t="shared" si="0"/>
        <v>0.9516912687845821</v>
      </c>
      <c r="D11" s="775">
        <v>8968392.5399999991</v>
      </c>
      <c r="E11" s="863">
        <f t="shared" si="1"/>
        <v>4.2957001081560316E-2</v>
      </c>
      <c r="F11" s="775">
        <v>1117313.02</v>
      </c>
      <c r="G11" s="863">
        <f t="shared" si="2"/>
        <v>5.3517301338575698E-3</v>
      </c>
      <c r="H11" s="1141">
        <f t="shared" si="3"/>
        <v>208776039.16</v>
      </c>
      <c r="I11" s="119"/>
      <c r="J11" s="152"/>
      <c r="K11" s="152"/>
      <c r="L11" s="118"/>
    </row>
    <row r="12" spans="1:13" s="128" customFormat="1" ht="15.75" hidden="1">
      <c r="A12" s="1139" t="s">
        <v>1034</v>
      </c>
      <c r="B12" s="775">
        <v>200852981.03999999</v>
      </c>
      <c r="C12" s="863">
        <f t="shared" si="0"/>
        <v>0.9544354949765862</v>
      </c>
      <c r="D12" s="775">
        <v>8557575.0700000003</v>
      </c>
      <c r="E12" s="863">
        <f t="shared" si="1"/>
        <v>4.066483532105581E-2</v>
      </c>
      <c r="F12" s="775">
        <v>1031094.58</v>
      </c>
      <c r="G12" s="863">
        <f t="shared" si="2"/>
        <v>4.8996697023580065E-3</v>
      </c>
      <c r="H12" s="1141">
        <f t="shared" si="3"/>
        <v>210441650.69</v>
      </c>
      <c r="I12" s="119"/>
      <c r="J12" s="152"/>
      <c r="K12" s="152"/>
      <c r="L12" s="118"/>
    </row>
    <row r="13" spans="1:13" s="128" customFormat="1" ht="15.75" hidden="1">
      <c r="A13" s="1139" t="s">
        <v>1035</v>
      </c>
      <c r="B13" s="775">
        <v>210618141.5</v>
      </c>
      <c r="C13" s="863">
        <f t="shared" si="0"/>
        <v>0.95059135655824856</v>
      </c>
      <c r="D13" s="775">
        <v>8917443.4399999995</v>
      </c>
      <c r="E13" s="863">
        <f t="shared" si="1"/>
        <v>4.0247457300163547E-2</v>
      </c>
      <c r="F13" s="775">
        <v>2029801.75</v>
      </c>
      <c r="G13" s="863">
        <f t="shared" si="2"/>
        <v>9.1611861415879358E-3</v>
      </c>
      <c r="H13" s="1141">
        <f t="shared" si="3"/>
        <v>221565386.69</v>
      </c>
      <c r="I13" s="119"/>
      <c r="J13" s="152"/>
      <c r="K13" s="152"/>
      <c r="L13" s="118"/>
    </row>
    <row r="14" spans="1:13" s="128" customFormat="1" ht="15.75" hidden="1">
      <c r="A14" s="1139" t="s">
        <v>1022</v>
      </c>
      <c r="B14" s="775">
        <v>197863598.52000001</v>
      </c>
      <c r="C14" s="863">
        <f t="shared" si="0"/>
        <v>0.94930088863978657</v>
      </c>
      <c r="D14" s="775">
        <v>8802874.1500000004</v>
      </c>
      <c r="E14" s="863">
        <f t="shared" si="1"/>
        <v>4.2234025438158226E-2</v>
      </c>
      <c r="F14" s="775">
        <v>1764385.12</v>
      </c>
      <c r="G14" s="863">
        <f t="shared" si="2"/>
        <v>8.4650859220551117E-3</v>
      </c>
      <c r="H14" s="1141">
        <f t="shared" si="3"/>
        <v>208430857.79000002</v>
      </c>
      <c r="I14" s="119"/>
      <c r="J14" s="152"/>
      <c r="K14" s="152"/>
      <c r="L14" s="118"/>
    </row>
    <row r="15" spans="1:13" s="128" customFormat="1" ht="15.75" hidden="1">
      <c r="A15" s="1139" t="s">
        <v>1038</v>
      </c>
      <c r="B15" s="839">
        <v>197863598.52000001</v>
      </c>
      <c r="C15" s="864">
        <f t="shared" ref="C15:C20" si="4">B15/H15</f>
        <v>0.94930088863978657</v>
      </c>
      <c r="D15" s="839">
        <v>8802874.1500000004</v>
      </c>
      <c r="E15" s="864">
        <f t="shared" ref="E15:E20" si="5">D15/H15</f>
        <v>4.2234025438158226E-2</v>
      </c>
      <c r="F15" s="839">
        <v>1764385.12</v>
      </c>
      <c r="G15" s="864">
        <f t="shared" ref="G15:G20" si="6">F15/H15</f>
        <v>8.4650859220551117E-3</v>
      </c>
      <c r="H15" s="1141">
        <f t="shared" ref="H15:H20" si="7">+F15+D15+B15</f>
        <v>208430857.79000002</v>
      </c>
      <c r="I15" s="119"/>
      <c r="J15" s="152"/>
      <c r="K15" s="152"/>
      <c r="L15" s="118"/>
    </row>
    <row r="16" spans="1:13" s="128" customFormat="1" ht="15.75" hidden="1">
      <c r="A16" s="1139" t="s">
        <v>1051</v>
      </c>
      <c r="B16" s="839">
        <v>200302818</v>
      </c>
      <c r="C16" s="864">
        <f t="shared" si="4"/>
        <v>0.95126134671212514</v>
      </c>
      <c r="D16" s="839">
        <v>8912837.3499999996</v>
      </c>
      <c r="E16" s="864">
        <f t="shared" si="5"/>
        <v>4.2328099750384582E-2</v>
      </c>
      <c r="F16" s="839">
        <v>1349841.39</v>
      </c>
      <c r="G16" s="864">
        <f t="shared" si="6"/>
        <v>6.4105535374902557E-3</v>
      </c>
      <c r="H16" s="1141">
        <f t="shared" si="7"/>
        <v>210565496.74000001</v>
      </c>
      <c r="I16" s="119"/>
      <c r="J16" s="152"/>
      <c r="K16" s="152"/>
      <c r="L16" s="118"/>
    </row>
    <row r="17" spans="1:12" s="128" customFormat="1" ht="15.75" hidden="1">
      <c r="A17" s="1139" t="s">
        <v>1050</v>
      </c>
      <c r="B17" s="839">
        <v>201585139.69</v>
      </c>
      <c r="C17" s="864">
        <f t="shared" si="4"/>
        <v>0.95293529183545345</v>
      </c>
      <c r="D17" s="839">
        <v>8902177.7200000007</v>
      </c>
      <c r="E17" s="864">
        <f t="shared" si="5"/>
        <v>4.2082463700572552E-2</v>
      </c>
      <c r="F17" s="839">
        <v>1053950.31</v>
      </c>
      <c r="G17" s="864">
        <f t="shared" si="6"/>
        <v>4.9822444639739446E-3</v>
      </c>
      <c r="H17" s="1141">
        <f t="shared" si="7"/>
        <v>211541267.72</v>
      </c>
      <c r="I17" s="119"/>
      <c r="J17" s="152"/>
      <c r="K17" s="152"/>
      <c r="L17" s="118"/>
    </row>
    <row r="18" spans="1:12" s="128" customFormat="1" ht="15.75" hidden="1">
      <c r="A18" s="1139" t="s">
        <v>1060</v>
      </c>
      <c r="B18" s="839">
        <v>216439994.94999999</v>
      </c>
      <c r="C18" s="864">
        <f t="shared" si="4"/>
        <v>0.95068629454649367</v>
      </c>
      <c r="D18" s="839">
        <v>9207653.8000000007</v>
      </c>
      <c r="E18" s="864">
        <f t="shared" si="5"/>
        <v>4.044349693600352E-2</v>
      </c>
      <c r="F18" s="839">
        <v>2019454.68</v>
      </c>
      <c r="G18" s="864">
        <f t="shared" si="6"/>
        <v>8.8702085175029026E-3</v>
      </c>
      <c r="H18" s="1141">
        <f t="shared" si="7"/>
        <v>227667103.42999998</v>
      </c>
      <c r="I18" s="119"/>
      <c r="J18" s="152"/>
      <c r="K18" s="152"/>
      <c r="L18" s="118"/>
    </row>
    <row r="19" spans="1:12" s="128" customFormat="1" ht="15.75" hidden="1">
      <c r="A19" s="1139" t="s">
        <v>1123</v>
      </c>
      <c r="B19" s="839">
        <v>199871904.47</v>
      </c>
      <c r="C19" s="864">
        <f t="shared" si="4"/>
        <v>0.9524444940195862</v>
      </c>
      <c r="D19" s="839">
        <v>8907691.4299999997</v>
      </c>
      <c r="E19" s="864">
        <f t="shared" si="5"/>
        <v>4.2447595020551683E-2</v>
      </c>
      <c r="F19" s="839">
        <v>1071902.77</v>
      </c>
      <c r="G19" s="864">
        <f t="shared" si="6"/>
        <v>5.107910959862196E-3</v>
      </c>
      <c r="H19" s="1141">
        <f t="shared" si="7"/>
        <v>209851498.66999999</v>
      </c>
      <c r="I19" s="119"/>
      <c r="J19" s="152"/>
      <c r="K19" s="152"/>
      <c r="L19" s="118"/>
    </row>
    <row r="20" spans="1:12" s="128" customFormat="1" ht="15.75" hidden="1">
      <c r="A20" s="1139" t="s">
        <v>1232</v>
      </c>
      <c r="B20" s="1768">
        <v>202092093.06999999</v>
      </c>
      <c r="C20" s="1769">
        <f t="shared" si="4"/>
        <v>0.95321003207738952</v>
      </c>
      <c r="D20" s="1768">
        <v>8663389.1099999994</v>
      </c>
      <c r="E20" s="1769">
        <f t="shared" si="5"/>
        <v>4.0862704156276006E-2</v>
      </c>
      <c r="F20" s="1768">
        <v>1256651.8400000001</v>
      </c>
      <c r="G20" s="1769">
        <f t="shared" si="6"/>
        <v>5.9272637663345014E-3</v>
      </c>
      <c r="H20" s="1753">
        <f t="shared" si="7"/>
        <v>212012134.01999998</v>
      </c>
      <c r="I20" s="119"/>
      <c r="J20" s="152"/>
      <c r="K20" s="152"/>
      <c r="L20" s="118"/>
    </row>
    <row r="21" spans="1:12" s="128" customFormat="1" ht="15.75" hidden="1">
      <c r="A21" s="1139" t="s">
        <v>1309</v>
      </c>
      <c r="B21" s="1768">
        <v>209261077.06</v>
      </c>
      <c r="C21" s="1769">
        <f t="shared" ref="C21:C27" si="8">B21/H21</f>
        <v>0.95148413729758607</v>
      </c>
      <c r="D21" s="1768">
        <v>9186608.1799999997</v>
      </c>
      <c r="E21" s="1769">
        <f t="shared" ref="E21:E27" si="9">D21/H21</f>
        <v>4.1770366862500782E-2</v>
      </c>
      <c r="F21" s="1768">
        <v>1483545.2</v>
      </c>
      <c r="G21" s="1769">
        <f t="shared" ref="G21:G27" si="10">F21/H21</f>
        <v>6.7454958399131484E-3</v>
      </c>
      <c r="H21" s="1753">
        <f t="shared" ref="H21:H27" si="11">+F21+D21+B21</f>
        <v>219931230.44</v>
      </c>
      <c r="I21" s="119"/>
      <c r="J21" s="152"/>
      <c r="K21" s="152"/>
      <c r="L21" s="118"/>
    </row>
    <row r="22" spans="1:12" s="128" customFormat="1" ht="15.75" hidden="1">
      <c r="A22" s="1139" t="s">
        <v>1317</v>
      </c>
      <c r="B22" s="1768">
        <v>213766399.5</v>
      </c>
      <c r="C22" s="1769">
        <f t="shared" si="8"/>
        <v>0.95209457702843847</v>
      </c>
      <c r="D22" s="1768">
        <v>9325167.5600000005</v>
      </c>
      <c r="E22" s="1769">
        <f t="shared" si="9"/>
        <v>4.1533381693868665E-2</v>
      </c>
      <c r="F22" s="1768">
        <v>1430664.93</v>
      </c>
      <c r="G22" s="1769">
        <f t="shared" si="10"/>
        <v>6.3720412776928047E-3</v>
      </c>
      <c r="H22" s="1753">
        <f t="shared" si="11"/>
        <v>224522231.99000001</v>
      </c>
      <c r="I22" s="119"/>
      <c r="J22" s="152"/>
      <c r="K22" s="152"/>
      <c r="L22" s="118"/>
    </row>
    <row r="23" spans="1:12" s="128" customFormat="1" ht="15.75" hidden="1">
      <c r="A23" s="1139" t="s">
        <v>1331</v>
      </c>
      <c r="B23" s="1768">
        <v>220780472.28999999</v>
      </c>
      <c r="C23" s="1769">
        <f t="shared" si="8"/>
        <v>0.95166082672134467</v>
      </c>
      <c r="D23" s="1768">
        <v>9545852.1699999999</v>
      </c>
      <c r="E23" s="1769">
        <f t="shared" si="9"/>
        <v>4.1146816444569266E-2</v>
      </c>
      <c r="F23" s="1768">
        <v>1668590.21</v>
      </c>
      <c r="G23" s="1769">
        <f t="shared" si="10"/>
        <v>7.1923568340861166E-3</v>
      </c>
      <c r="H23" s="1753">
        <f t="shared" si="11"/>
        <v>231994914.66999999</v>
      </c>
      <c r="I23" s="119"/>
      <c r="J23" s="152"/>
      <c r="K23" s="152"/>
      <c r="L23" s="118"/>
    </row>
    <row r="24" spans="1:12" s="128" customFormat="1" ht="15.75" hidden="1">
      <c r="A24" s="1139" t="s">
        <v>1403</v>
      </c>
      <c r="B24" s="1768">
        <v>214152325.83000001</v>
      </c>
      <c r="C24" s="1769">
        <f t="shared" si="8"/>
        <v>0.95370039370133641</v>
      </c>
      <c r="D24" s="1768">
        <v>9398553.3100000005</v>
      </c>
      <c r="E24" s="1769">
        <f t="shared" si="9"/>
        <v>4.1855272676727291E-2</v>
      </c>
      <c r="F24" s="1768">
        <v>997970</v>
      </c>
      <c r="G24" s="1769">
        <f t="shared" si="10"/>
        <v>4.444333621936282E-3</v>
      </c>
      <c r="H24" s="1753">
        <f t="shared" si="11"/>
        <v>224548849.14000002</v>
      </c>
      <c r="I24" s="119"/>
      <c r="J24" s="152"/>
      <c r="K24" s="152"/>
      <c r="L24" s="118"/>
    </row>
    <row r="25" spans="1:12" s="128" customFormat="1" ht="15.75" hidden="1">
      <c r="A25" s="1139" t="s">
        <v>1425</v>
      </c>
      <c r="B25" s="1768">
        <v>221033074.19</v>
      </c>
      <c r="C25" s="1769">
        <f t="shared" si="8"/>
        <v>0.95036892655968153</v>
      </c>
      <c r="D25" s="1768">
        <v>9670501.3800000008</v>
      </c>
      <c r="E25" s="1769">
        <f t="shared" si="9"/>
        <v>4.1579949288061434E-2</v>
      </c>
      <c r="F25" s="1768">
        <v>1872498.85</v>
      </c>
      <c r="G25" s="1769">
        <f t="shared" si="10"/>
        <v>8.0511241522570713E-3</v>
      </c>
      <c r="H25" s="1753">
        <f t="shared" si="11"/>
        <v>232576074.41999999</v>
      </c>
      <c r="I25" s="119"/>
      <c r="J25" s="152"/>
      <c r="K25" s="152"/>
      <c r="L25" s="118"/>
    </row>
    <row r="26" spans="1:12" s="128" customFormat="1" ht="15.75" hidden="1">
      <c r="A26" s="1139" t="s">
        <v>1436</v>
      </c>
      <c r="B26" s="1768">
        <v>235825612.03</v>
      </c>
      <c r="C26" s="1769">
        <f t="shared" si="8"/>
        <v>0.94905381330987593</v>
      </c>
      <c r="D26" s="1768">
        <v>9797400.3800000008</v>
      </c>
      <c r="E26" s="1769">
        <f t="shared" si="9"/>
        <v>3.9428542604523262E-2</v>
      </c>
      <c r="F26" s="1768">
        <v>2861961.49</v>
      </c>
      <c r="G26" s="1769">
        <f t="shared" si="10"/>
        <v>1.1517644085600784E-2</v>
      </c>
      <c r="H26" s="1753">
        <f t="shared" si="11"/>
        <v>248484973.90000001</v>
      </c>
      <c r="I26" s="119"/>
      <c r="J26" s="152"/>
      <c r="K26" s="152"/>
      <c r="L26" s="118"/>
    </row>
    <row r="27" spans="1:12" s="128" customFormat="1" ht="15.75" hidden="1">
      <c r="A27" s="1139" t="s">
        <v>1442</v>
      </c>
      <c r="B27" s="1768">
        <v>225328283.91</v>
      </c>
      <c r="C27" s="1769">
        <f t="shared" si="8"/>
        <v>0.94897508727845692</v>
      </c>
      <c r="D27" s="1768">
        <v>10103623.4</v>
      </c>
      <c r="E27" s="1769">
        <f t="shared" si="9"/>
        <v>4.2551635025424979E-2</v>
      </c>
      <c r="F27" s="1768">
        <v>2011927.55</v>
      </c>
      <c r="G27" s="1769">
        <f t="shared" si="10"/>
        <v>8.473277696118154E-3</v>
      </c>
      <c r="H27" s="1753">
        <f t="shared" si="11"/>
        <v>237443834.85999998</v>
      </c>
      <c r="I27" s="119"/>
      <c r="J27" s="152"/>
      <c r="K27" s="152"/>
      <c r="L27" s="118"/>
    </row>
    <row r="28" spans="1:12" s="128" customFormat="1" ht="15.75" hidden="1">
      <c r="A28" s="1139" t="s">
        <v>1625</v>
      </c>
      <c r="B28" s="1768">
        <v>240995732</v>
      </c>
      <c r="C28" s="1769">
        <f t="shared" ref="C28:C33" si="12">B28/H28</f>
        <v>0.95187023721243236</v>
      </c>
      <c r="D28" s="1768">
        <v>10297189.119999999</v>
      </c>
      <c r="E28" s="1769">
        <f>D28/H28</f>
        <v>4.0671209273845883E-2</v>
      </c>
      <c r="F28" s="1768">
        <v>1888366.18</v>
      </c>
      <c r="G28" s="1769">
        <f t="shared" ref="G28:G33" si="13">F28/H28</f>
        <v>7.4585535137217064E-3</v>
      </c>
      <c r="H28" s="1753">
        <f t="shared" ref="H28:H33" si="14">+F28+D28+B28</f>
        <v>253181287.30000001</v>
      </c>
      <c r="I28" s="119"/>
      <c r="J28" s="152"/>
      <c r="K28" s="152"/>
      <c r="L28" s="118"/>
    </row>
    <row r="29" spans="1:12" s="128" customFormat="1" ht="15.75" hidden="1">
      <c r="A29" s="1139" t="s">
        <v>1628</v>
      </c>
      <c r="B29" s="1768">
        <v>233663195.84999999</v>
      </c>
      <c r="C29" s="1769">
        <f t="shared" si="12"/>
        <v>0.95389267222711971</v>
      </c>
      <c r="D29" s="1768">
        <v>10257300.15</v>
      </c>
      <c r="E29" s="1769">
        <f>D29/H29</f>
        <v>4.187378938444463E-2</v>
      </c>
      <c r="F29" s="1768">
        <v>1037037.12</v>
      </c>
      <c r="G29" s="1769">
        <f t="shared" si="13"/>
        <v>4.2335383884355799E-3</v>
      </c>
      <c r="H29" s="1753">
        <f t="shared" si="14"/>
        <v>244957533.12</v>
      </c>
      <c r="I29" s="119"/>
      <c r="J29" s="152"/>
      <c r="K29" s="152"/>
      <c r="L29" s="118"/>
    </row>
    <row r="30" spans="1:12" s="128" customFormat="1" ht="15.75">
      <c r="A30" s="1139" t="s">
        <v>1644</v>
      </c>
      <c r="B30" s="1770">
        <v>246416399.62</v>
      </c>
      <c r="C30" s="1771">
        <f t="shared" si="12"/>
        <v>0.95279756179551933</v>
      </c>
      <c r="D30" s="1770">
        <v>10681568.18</v>
      </c>
      <c r="E30" s="1771">
        <f>D30/H30</f>
        <v>4.1301521058465185E-2</v>
      </c>
      <c r="F30" s="1770">
        <v>1526119.31</v>
      </c>
      <c r="G30" s="1771">
        <f t="shared" si="13"/>
        <v>5.9009171460154795E-3</v>
      </c>
      <c r="H30" s="1753">
        <f t="shared" si="14"/>
        <v>258624087.11000001</v>
      </c>
      <c r="I30" s="119"/>
      <c r="J30" s="152"/>
      <c r="K30" s="152"/>
      <c r="L30" s="118"/>
    </row>
    <row r="31" spans="1:12" s="128" customFormat="1" ht="15.75">
      <c r="A31" s="1139" t="s">
        <v>1657</v>
      </c>
      <c r="B31" s="1770">
        <v>234573171.84</v>
      </c>
      <c r="C31" s="1771">
        <f t="shared" si="12"/>
        <v>0.95363009433824242</v>
      </c>
      <c r="D31" s="1770">
        <v>10307327.189999999</v>
      </c>
      <c r="E31" s="1771">
        <f>D31/H31</f>
        <v>4.1903246323835144E-2</v>
      </c>
      <c r="F31" s="1770">
        <v>1098705.31</v>
      </c>
      <c r="G31" s="1771">
        <f t="shared" si="13"/>
        <v>4.4666593379224691E-3</v>
      </c>
      <c r="H31" s="1753">
        <f t="shared" si="14"/>
        <v>245979204.34</v>
      </c>
      <c r="I31" s="119"/>
      <c r="J31" s="152"/>
      <c r="K31" s="152"/>
      <c r="L31" s="118"/>
    </row>
    <row r="32" spans="1:12" s="128" customFormat="1" ht="15.75">
      <c r="A32" s="1139" t="s">
        <v>1733</v>
      </c>
      <c r="B32" s="1800">
        <v>232651592.21000001</v>
      </c>
      <c r="C32" s="1801">
        <f t="shared" si="12"/>
        <v>0.95315224176511715</v>
      </c>
      <c r="D32" s="1800">
        <v>10306691.65</v>
      </c>
      <c r="E32" s="1801">
        <f>D32/H32</f>
        <v>4.2225570683014899E-2</v>
      </c>
      <c r="F32" s="1800">
        <v>1128213.57</v>
      </c>
      <c r="G32" s="1801">
        <f t="shared" si="13"/>
        <v>4.622187551867973E-3</v>
      </c>
      <c r="H32" s="1753">
        <f t="shared" si="14"/>
        <v>244086497.43000001</v>
      </c>
      <c r="I32" s="119"/>
      <c r="J32" s="152"/>
      <c r="K32" s="152"/>
      <c r="L32" s="118"/>
    </row>
    <row r="33" spans="1:12" s="128" customFormat="1" ht="15.75">
      <c r="A33" s="1139" t="s">
        <v>1750</v>
      </c>
      <c r="B33" s="1800">
        <v>239434115.91</v>
      </c>
      <c r="C33" s="1801">
        <f t="shared" si="12"/>
        <v>0.9500714352455627</v>
      </c>
      <c r="D33" s="1800">
        <v>10665164.949999999</v>
      </c>
      <c r="E33" s="1801">
        <f t="shared" ref="E33:E38" si="15">D33/H33</f>
        <v>4.2319234803556149E-2</v>
      </c>
      <c r="F33" s="1800">
        <v>1917680.21</v>
      </c>
      <c r="G33" s="1801">
        <f t="shared" si="13"/>
        <v>7.6093299508811505E-3</v>
      </c>
      <c r="H33" s="1791">
        <f t="shared" si="14"/>
        <v>252016961.06999999</v>
      </c>
      <c r="I33" s="119"/>
      <c r="J33" s="152"/>
      <c r="K33" s="152"/>
      <c r="L33" s="118"/>
    </row>
    <row r="34" spans="1:12" s="128" customFormat="1" ht="15.75">
      <c r="A34" s="1139" t="s">
        <v>1756</v>
      </c>
      <c r="B34" s="1800">
        <v>255854609.08000001</v>
      </c>
      <c r="C34" s="1801">
        <f t="shared" ref="C34:C39" si="16">B34/H34</f>
        <v>0.95073399976699169</v>
      </c>
      <c r="D34" s="1800">
        <v>10742172.02</v>
      </c>
      <c r="E34" s="1801">
        <f t="shared" si="15"/>
        <v>3.9916998984240712E-2</v>
      </c>
      <c r="F34" s="1800">
        <v>2515935.12</v>
      </c>
      <c r="G34" s="1801">
        <f t="shared" ref="G34:G39" si="17">F34/H34</f>
        <v>9.3490012487675231E-3</v>
      </c>
      <c r="H34" s="1931">
        <f t="shared" ref="H34:H39" si="18">+F34+D34+B34</f>
        <v>269112716.22000003</v>
      </c>
      <c r="I34" s="119"/>
      <c r="J34" s="152"/>
      <c r="K34" s="152"/>
      <c r="L34" s="118"/>
    </row>
    <row r="35" spans="1:12" s="128" customFormat="1" ht="15.75">
      <c r="A35" s="1139" t="s">
        <v>1852</v>
      </c>
      <c r="B35" s="1800">
        <v>246457707.78999999</v>
      </c>
      <c r="C35" s="1801">
        <f t="shared" si="16"/>
        <v>0.95268492186145948</v>
      </c>
      <c r="D35" s="1800">
        <v>10778791.35</v>
      </c>
      <c r="E35" s="1801">
        <f t="shared" si="15"/>
        <v>4.1665533965711828E-2</v>
      </c>
      <c r="F35" s="1800">
        <v>1461525.92</v>
      </c>
      <c r="G35" s="1801">
        <f t="shared" si="17"/>
        <v>5.649544172828638E-3</v>
      </c>
      <c r="H35" s="1973">
        <f t="shared" si="18"/>
        <v>258698025.06</v>
      </c>
      <c r="I35" s="119"/>
      <c r="J35" s="152"/>
      <c r="K35" s="152"/>
      <c r="L35" s="118"/>
    </row>
    <row r="36" spans="1:12" s="128" customFormat="1" ht="15.75">
      <c r="A36" s="1139" t="s">
        <v>1868</v>
      </c>
      <c r="B36" s="1800">
        <v>248201728.63</v>
      </c>
      <c r="C36" s="1801">
        <f t="shared" si="16"/>
        <v>0.95028876681747421</v>
      </c>
      <c r="D36" s="1800">
        <v>11065464.439999999</v>
      </c>
      <c r="E36" s="1801">
        <f t="shared" si="15"/>
        <v>4.2366290577394564E-2</v>
      </c>
      <c r="F36" s="1800">
        <v>1918393.14</v>
      </c>
      <c r="G36" s="1801">
        <f t="shared" si="17"/>
        <v>7.3449426051312109E-3</v>
      </c>
      <c r="H36" s="2011">
        <f t="shared" si="18"/>
        <v>261185586.21000001</v>
      </c>
      <c r="I36" s="119"/>
      <c r="J36" s="152"/>
      <c r="K36" s="152"/>
      <c r="L36" s="118"/>
    </row>
    <row r="37" spans="1:12" s="128" customFormat="1" ht="15.75">
      <c r="A37" s="1139" t="s">
        <v>1872</v>
      </c>
      <c r="B37" s="1800">
        <v>261292751.96000001</v>
      </c>
      <c r="C37" s="1801">
        <f t="shared" si="16"/>
        <v>0.94958824295352739</v>
      </c>
      <c r="D37" s="1800">
        <v>11037504.050000001</v>
      </c>
      <c r="E37" s="1801">
        <f t="shared" si="15"/>
        <v>4.0112417963420736E-2</v>
      </c>
      <c r="F37" s="1800">
        <v>2834010.08</v>
      </c>
      <c r="G37" s="1801">
        <f t="shared" si="17"/>
        <v>1.0299339083051791E-2</v>
      </c>
      <c r="H37" s="2051">
        <f t="shared" si="18"/>
        <v>275164266.09000003</v>
      </c>
      <c r="I37" s="119"/>
      <c r="J37" s="152"/>
      <c r="K37" s="152"/>
      <c r="L37" s="118"/>
    </row>
    <row r="38" spans="1:12" s="128" customFormat="1" ht="15.75">
      <c r="A38" s="1139" t="s">
        <v>1874</v>
      </c>
      <c r="B38" s="1800">
        <v>245391197.81999999</v>
      </c>
      <c r="C38" s="1801">
        <f t="shared" si="16"/>
        <v>0.95237300179743056</v>
      </c>
      <c r="D38" s="1800">
        <v>10992035.460000001</v>
      </c>
      <c r="E38" s="1801">
        <f t="shared" si="15"/>
        <v>4.2660526945970147E-2</v>
      </c>
      <c r="F38" s="1800">
        <v>1279675.43</v>
      </c>
      <c r="G38" s="1801">
        <f t="shared" si="17"/>
        <v>4.9664712565993608E-3</v>
      </c>
      <c r="H38" s="2053">
        <f t="shared" si="18"/>
        <v>257662908.70999998</v>
      </c>
      <c r="I38" s="119"/>
      <c r="J38" s="152"/>
      <c r="K38" s="152"/>
      <c r="L38" s="118"/>
    </row>
    <row r="39" spans="1:12" s="128" customFormat="1" ht="15.75">
      <c r="A39" s="1139" t="s">
        <v>1887</v>
      </c>
      <c r="B39" s="1800">
        <v>261220667.27000001</v>
      </c>
      <c r="C39" s="1801">
        <f t="shared" si="16"/>
        <v>0.95112505939191816</v>
      </c>
      <c r="D39" s="1800">
        <v>11145078.220000001</v>
      </c>
      <c r="E39" s="1801">
        <f>D39/H39</f>
        <v>4.0580109126543362E-2</v>
      </c>
      <c r="F39" s="1800">
        <v>2278124.62</v>
      </c>
      <c r="G39" s="1801">
        <f t="shared" si="17"/>
        <v>8.2948314815385043E-3</v>
      </c>
      <c r="H39" s="2081">
        <f t="shared" si="18"/>
        <v>274643870.11000001</v>
      </c>
      <c r="I39" s="119"/>
      <c r="J39" s="152"/>
      <c r="K39" s="152"/>
      <c r="L39" s="118"/>
    </row>
    <row r="40" spans="1:12" s="128" customFormat="1" ht="15.75">
      <c r="A40" s="1139" t="s">
        <v>1901</v>
      </c>
      <c r="B40" s="1800">
        <v>258895516.99000001</v>
      </c>
      <c r="C40" s="1801">
        <f>B40/H40</f>
        <v>0.95114920628177935</v>
      </c>
      <c r="D40" s="1800">
        <v>11376463.4</v>
      </c>
      <c r="E40" s="1801">
        <f>D40/H40</f>
        <v>4.179567981326486E-2</v>
      </c>
      <c r="F40" s="1800">
        <v>1920347.88</v>
      </c>
      <c r="G40" s="1801">
        <f>F40/H40</f>
        <v>7.055113904955908E-3</v>
      </c>
      <c r="H40" s="2099">
        <f>+F40+D40+B40</f>
        <v>272192328.26999998</v>
      </c>
      <c r="I40" s="119"/>
      <c r="J40" s="152"/>
      <c r="K40" s="152"/>
      <c r="L40" s="118"/>
    </row>
    <row r="41" spans="1:12" s="128" customFormat="1" ht="15.75">
      <c r="A41" s="1139" t="s">
        <v>1906</v>
      </c>
      <c r="B41" s="1800">
        <v>260633723.61000001</v>
      </c>
      <c r="C41" s="1801">
        <f>B41/H41</f>
        <v>0.95371560554394097</v>
      </c>
      <c r="D41" s="1800">
        <v>11231487.220000001</v>
      </c>
      <c r="E41" s="1801">
        <f>D41/H41</f>
        <v>4.109845988775318E-2</v>
      </c>
      <c r="F41" s="1800">
        <v>1417224.83</v>
      </c>
      <c r="G41" s="1801">
        <f>F41/H41</f>
        <v>5.1859345683058014E-3</v>
      </c>
      <c r="H41" s="2119">
        <f>+F41+D41+B41</f>
        <v>273282435.66000003</v>
      </c>
      <c r="I41" s="119"/>
      <c r="J41" s="152"/>
      <c r="K41" s="152"/>
      <c r="L41" s="118"/>
    </row>
    <row r="42" spans="1:12" s="128" customFormat="1" ht="15.75">
      <c r="A42" s="1139" t="s">
        <v>1927</v>
      </c>
      <c r="B42" s="1800">
        <v>260482080.38999999</v>
      </c>
      <c r="C42" s="1801">
        <f>B42/H42</f>
        <v>0.95205469176251423</v>
      </c>
      <c r="D42" s="1800">
        <v>11805929.15</v>
      </c>
      <c r="E42" s="1801">
        <f>D42/H42</f>
        <v>4.3150339635819476E-2</v>
      </c>
      <c r="F42" s="1800">
        <v>1311902.99</v>
      </c>
      <c r="G42" s="1801">
        <f>F42/H42</f>
        <v>4.794968601666315E-3</v>
      </c>
      <c r="H42" s="2144">
        <f>+F42+D42+B42</f>
        <v>273599912.52999997</v>
      </c>
      <c r="I42" s="119"/>
      <c r="J42" s="152"/>
      <c r="K42" s="152"/>
      <c r="L42" s="118"/>
    </row>
    <row r="43" spans="1:12" customFormat="1" ht="15.75">
      <c r="A43" s="1093" t="s">
        <v>23</v>
      </c>
      <c r="B43" s="1753">
        <f>SUM(B30:B42)</f>
        <v>3251505263.1199999</v>
      </c>
      <c r="C43" s="1766">
        <f>B43/H43</f>
        <v>0.95177648192737407</v>
      </c>
      <c r="D43" s="1753">
        <f>SUM(D30:D42)</f>
        <v>142135677.28</v>
      </c>
      <c r="E43" s="1766">
        <f>D43/H43</f>
        <v>4.1605774535364889E-2</v>
      </c>
      <c r="F43" s="1767">
        <f>SUM(F30:F42)</f>
        <v>22607858.41</v>
      </c>
      <c r="G43" s="1766">
        <f>F43/H43</f>
        <v>6.6177435372608432E-3</v>
      </c>
      <c r="H43" s="1753">
        <f>SUM(H30:H42)</f>
        <v>3416248798.8100004</v>
      </c>
      <c r="I43" s="119"/>
      <c r="J43" s="152"/>
      <c r="K43" s="153"/>
      <c r="L43" s="118"/>
    </row>
    <row r="44" spans="1:12" customFormat="1" ht="12.75" customHeight="1">
      <c r="A44" s="223"/>
      <c r="B44" s="223"/>
      <c r="C44" s="223"/>
      <c r="D44" s="223"/>
      <c r="E44" s="223"/>
      <c r="F44" s="223"/>
      <c r="G44" s="223"/>
      <c r="H44" s="223"/>
      <c r="I44" s="109"/>
      <c r="J44" s="154"/>
      <c r="K44" s="153"/>
      <c r="L44" s="118"/>
    </row>
    <row r="45" spans="1:12" customFormat="1">
      <c r="A45" s="111"/>
      <c r="B45" s="111"/>
      <c r="C45" s="109"/>
      <c r="D45" s="109"/>
      <c r="E45" s="109"/>
      <c r="F45" s="109"/>
      <c r="G45" s="109"/>
      <c r="H45" s="109"/>
      <c r="I45" s="109"/>
      <c r="J45" s="109"/>
      <c r="K45" s="109"/>
      <c r="L45" s="109"/>
    </row>
    <row r="46" spans="1:12" customFormat="1">
      <c r="A46" s="111"/>
      <c r="B46" s="111"/>
      <c r="C46" s="109"/>
      <c r="D46" s="109"/>
      <c r="E46" s="109"/>
      <c r="F46" s="109"/>
      <c r="G46" s="109"/>
      <c r="H46" s="109"/>
      <c r="I46" s="109"/>
      <c r="J46" s="109"/>
      <c r="K46" s="109"/>
      <c r="L46" s="109"/>
    </row>
    <row r="47" spans="1:12" customFormat="1">
      <c r="A47" s="111"/>
      <c r="B47" s="111"/>
      <c r="C47" s="109"/>
      <c r="D47" s="109"/>
      <c r="E47" s="109"/>
      <c r="F47" s="109"/>
      <c r="G47" s="109"/>
      <c r="H47" s="109"/>
      <c r="I47" s="109"/>
      <c r="J47" s="109"/>
      <c r="K47" s="109"/>
      <c r="L47" s="109"/>
    </row>
    <row r="48" spans="1:12" customFormat="1">
      <c r="A48" s="111"/>
      <c r="B48" s="111"/>
      <c r="C48" s="109"/>
      <c r="D48" s="109"/>
      <c r="E48" s="109"/>
      <c r="F48" s="109"/>
      <c r="G48" s="109"/>
      <c r="H48" s="109"/>
      <c r="I48" s="109"/>
      <c r="J48" s="109"/>
      <c r="K48" s="109"/>
      <c r="L48" s="109"/>
    </row>
    <row r="49" spans="1:12" customFormat="1">
      <c r="A49" s="111"/>
      <c r="B49" s="111"/>
      <c r="C49" s="109"/>
      <c r="D49" s="109"/>
      <c r="E49" s="109"/>
      <c r="F49" s="109"/>
      <c r="G49" s="109"/>
      <c r="H49" s="109"/>
      <c r="I49" s="109"/>
      <c r="J49" s="109"/>
      <c r="K49" s="109"/>
      <c r="L49" s="109"/>
    </row>
    <row r="50" spans="1:12" customFormat="1">
      <c r="A50" s="111"/>
      <c r="B50" s="111"/>
      <c r="C50" s="109"/>
      <c r="D50" s="109"/>
      <c r="E50" s="109"/>
      <c r="F50" s="109"/>
      <c r="G50" s="109"/>
      <c r="H50" s="109"/>
      <c r="I50" s="109"/>
      <c r="J50" s="109"/>
      <c r="K50" s="109"/>
      <c r="L50" s="109"/>
    </row>
    <row r="51" spans="1:12" customFormat="1">
      <c r="A51" s="111"/>
      <c r="B51" s="111"/>
      <c r="C51" s="109"/>
      <c r="D51" s="109"/>
      <c r="E51" s="109"/>
      <c r="F51" s="109"/>
      <c r="G51" s="109"/>
      <c r="H51" s="109"/>
      <c r="I51" s="109"/>
      <c r="J51" s="109"/>
      <c r="K51" s="109"/>
      <c r="L51" s="109"/>
    </row>
    <row r="52" spans="1:12" customFormat="1">
      <c r="A52" s="111"/>
      <c r="B52" s="111"/>
      <c r="C52" s="109"/>
      <c r="D52" s="109"/>
      <c r="E52" s="109"/>
      <c r="F52" s="109"/>
      <c r="G52" s="109"/>
      <c r="H52" s="109"/>
      <c r="I52" s="109"/>
      <c r="J52" s="109"/>
      <c r="K52" s="109"/>
      <c r="L52" s="109"/>
    </row>
    <row r="53" spans="1:12" customFormat="1">
      <c r="A53" s="111"/>
      <c r="B53" s="111"/>
      <c r="C53" s="109"/>
      <c r="D53" s="109"/>
      <c r="E53" s="109"/>
      <c r="F53" s="109"/>
      <c r="G53" s="109"/>
      <c r="H53" s="109"/>
      <c r="I53" s="109"/>
      <c r="J53" s="109"/>
      <c r="K53" s="109"/>
      <c r="L53" s="109"/>
    </row>
    <row r="54" spans="1:12" customFormat="1">
      <c r="A54" s="111"/>
      <c r="B54" s="111"/>
      <c r="C54" s="109"/>
      <c r="D54" s="109"/>
      <c r="E54" s="109"/>
      <c r="F54" s="109"/>
      <c r="G54" s="109"/>
      <c r="H54" s="109"/>
      <c r="I54" s="109"/>
      <c r="J54" s="109"/>
      <c r="K54" s="109"/>
      <c r="L54" s="109"/>
    </row>
    <row r="55" spans="1:12" customFormat="1">
      <c r="A55" s="111"/>
      <c r="B55" s="111"/>
      <c r="C55" s="109"/>
      <c r="D55" s="109"/>
      <c r="E55" s="109"/>
      <c r="F55" s="109"/>
      <c r="G55" s="109"/>
      <c r="H55" s="109"/>
      <c r="I55" s="109"/>
      <c r="J55" s="109"/>
      <c r="K55" s="109"/>
      <c r="L55" s="109"/>
    </row>
    <row r="56" spans="1:12" customFormat="1">
      <c r="A56" s="111"/>
      <c r="B56" s="111"/>
      <c r="C56" s="109"/>
      <c r="D56" s="109"/>
      <c r="E56" s="109"/>
      <c r="F56" s="109"/>
      <c r="G56" s="109"/>
      <c r="H56" s="109"/>
      <c r="I56" s="109"/>
      <c r="J56" s="109"/>
      <c r="K56" s="109"/>
      <c r="L56" s="109"/>
    </row>
    <row r="57" spans="1:12" customFormat="1">
      <c r="A57" s="111"/>
      <c r="B57" s="111"/>
      <c r="C57" s="109"/>
      <c r="D57" s="109"/>
      <c r="E57" s="109"/>
      <c r="F57" s="109"/>
      <c r="G57" s="109"/>
      <c r="H57" s="109"/>
      <c r="I57" s="109"/>
      <c r="J57" s="109"/>
      <c r="K57" s="109"/>
      <c r="L57" s="109"/>
    </row>
    <row r="58" spans="1:12" customFormat="1">
      <c r="A58" s="111"/>
      <c r="B58" s="111"/>
      <c r="C58" s="109"/>
      <c r="D58" s="109"/>
      <c r="E58" s="109"/>
      <c r="F58" s="109"/>
      <c r="G58" s="109"/>
      <c r="H58" s="109"/>
      <c r="I58" s="109"/>
      <c r="J58" s="109"/>
      <c r="K58" s="109"/>
      <c r="L58" s="109"/>
    </row>
    <row r="59" spans="1:12" customFormat="1">
      <c r="A59" s="111"/>
      <c r="B59" s="111"/>
      <c r="C59" s="109"/>
      <c r="D59" s="109"/>
      <c r="E59" s="109"/>
      <c r="F59" s="109"/>
      <c r="G59" s="109"/>
      <c r="H59" s="109"/>
      <c r="I59" s="109"/>
      <c r="J59" s="109"/>
      <c r="K59" s="109"/>
      <c r="L59" s="109"/>
    </row>
    <row r="60" spans="1:12" customFormat="1">
      <c r="A60" s="111"/>
      <c r="B60" s="111"/>
      <c r="C60" s="109"/>
      <c r="D60" s="109"/>
      <c r="E60" s="109"/>
      <c r="F60" s="109"/>
      <c r="G60" s="109"/>
      <c r="H60" s="109"/>
      <c r="I60" s="109"/>
      <c r="J60" s="109"/>
      <c r="K60" s="109"/>
      <c r="L60" s="109"/>
    </row>
    <row r="61" spans="1:12" customFormat="1">
      <c r="A61" s="111"/>
      <c r="B61" s="111"/>
      <c r="C61" s="109"/>
      <c r="D61" s="109"/>
      <c r="E61" s="109"/>
      <c r="F61" s="109"/>
      <c r="G61" s="109"/>
      <c r="H61" s="109"/>
      <c r="I61" s="109"/>
      <c r="J61" s="109"/>
      <c r="K61" s="109"/>
      <c r="L61" s="109"/>
    </row>
    <row r="62" spans="1:12" customFormat="1">
      <c r="A62" s="111"/>
      <c r="B62" s="111"/>
      <c r="C62" s="109"/>
      <c r="D62" s="109"/>
      <c r="E62" s="109"/>
      <c r="F62" s="109"/>
      <c r="G62" s="109"/>
      <c r="H62" s="109"/>
      <c r="I62" s="109"/>
      <c r="J62" s="109"/>
      <c r="K62" s="109"/>
      <c r="L62" s="109"/>
    </row>
    <row r="63" spans="1:12" customFormat="1">
      <c r="A63" s="111"/>
      <c r="B63" s="111"/>
      <c r="C63" s="109"/>
      <c r="D63" s="109"/>
      <c r="E63" s="109"/>
      <c r="F63" s="109"/>
      <c r="G63" s="109"/>
      <c r="H63" s="109"/>
      <c r="I63" s="109"/>
      <c r="J63" s="109"/>
      <c r="K63" s="109"/>
      <c r="L63" s="109"/>
    </row>
    <row r="64" spans="1:12" customFormat="1">
      <c r="A64" s="111"/>
      <c r="B64" s="111"/>
      <c r="C64" s="109"/>
      <c r="D64" s="109"/>
      <c r="E64" s="109"/>
      <c r="F64" s="109"/>
      <c r="G64" s="109"/>
      <c r="H64" s="109"/>
      <c r="I64" s="109"/>
      <c r="J64" s="109"/>
      <c r="K64" s="109"/>
      <c r="L64" s="109"/>
    </row>
    <row r="65" spans="1:12" customFormat="1">
      <c r="A65" s="111"/>
      <c r="B65" s="111"/>
      <c r="C65" s="109"/>
      <c r="D65" s="109"/>
      <c r="E65" s="109"/>
      <c r="F65" s="109"/>
      <c r="G65" s="109"/>
      <c r="H65" s="109"/>
      <c r="I65" s="109"/>
      <c r="J65" s="109"/>
      <c r="K65" s="109"/>
      <c r="L65" s="109"/>
    </row>
    <row r="66" spans="1:12" customFormat="1">
      <c r="A66" s="111"/>
      <c r="B66" s="111"/>
      <c r="C66" s="109"/>
      <c r="D66" s="109"/>
      <c r="E66" s="109"/>
      <c r="F66" s="109"/>
      <c r="G66" s="109"/>
      <c r="H66" s="109"/>
      <c r="I66" s="109"/>
      <c r="J66" s="109"/>
      <c r="K66" s="109"/>
      <c r="L66" s="109"/>
    </row>
    <row r="67" spans="1:12" customFormat="1">
      <c r="A67" s="111"/>
      <c r="B67" s="111"/>
      <c r="C67" s="109"/>
      <c r="D67" s="109"/>
      <c r="E67" s="109"/>
      <c r="F67" s="109"/>
      <c r="G67" s="109"/>
      <c r="H67" s="109"/>
      <c r="I67" s="109"/>
      <c r="J67" s="109"/>
      <c r="K67" s="109"/>
      <c r="L67" s="109"/>
    </row>
    <row r="68" spans="1:12" customFormat="1">
      <c r="A68" s="111"/>
      <c r="B68" s="111"/>
      <c r="C68" s="109"/>
      <c r="D68" s="109"/>
      <c r="E68" s="109"/>
      <c r="F68" s="109"/>
      <c r="G68" s="109"/>
      <c r="H68" s="109"/>
      <c r="I68" s="109"/>
      <c r="J68" s="109"/>
      <c r="K68" s="109"/>
      <c r="L68" s="109"/>
    </row>
    <row r="69" spans="1:12" customFormat="1">
      <c r="A69" s="111"/>
      <c r="B69" s="111"/>
      <c r="C69" s="109"/>
      <c r="D69" s="109"/>
      <c r="E69" s="109"/>
      <c r="F69" s="109"/>
      <c r="G69" s="109"/>
      <c r="H69" s="109"/>
      <c r="I69" s="109"/>
      <c r="J69" s="109"/>
      <c r="K69" s="109"/>
      <c r="L69" s="109"/>
    </row>
    <row r="70" spans="1:12" customFormat="1">
      <c r="A70" s="111"/>
      <c r="B70" s="111"/>
      <c r="C70" s="109"/>
      <c r="D70" s="109"/>
      <c r="E70" s="109"/>
      <c r="F70" s="109"/>
      <c r="G70" s="109"/>
      <c r="H70" s="109"/>
      <c r="I70" s="109"/>
      <c r="J70" s="109"/>
      <c r="K70" s="109"/>
      <c r="L70" s="109"/>
    </row>
    <row r="71" spans="1:12" customFormat="1">
      <c r="A71" s="111"/>
      <c r="B71" s="111"/>
      <c r="C71" s="109"/>
      <c r="D71" s="109"/>
      <c r="E71" s="109"/>
      <c r="F71" s="109"/>
      <c r="G71" s="109"/>
      <c r="H71" s="109"/>
      <c r="I71" s="109"/>
      <c r="J71" s="109"/>
      <c r="K71" s="109"/>
      <c r="L71" s="109"/>
    </row>
    <row r="72" spans="1:12" customFormat="1">
      <c r="C72" s="28"/>
      <c r="D72" s="28"/>
      <c r="E72" s="28"/>
      <c r="F72" s="28"/>
      <c r="G72" s="28"/>
      <c r="H72" s="28"/>
      <c r="I72" s="28"/>
      <c r="J72" s="28"/>
      <c r="K72" s="28"/>
      <c r="L72" s="28"/>
    </row>
    <row r="73" spans="1:12" customFormat="1">
      <c r="C73" s="28"/>
      <c r="D73" s="28"/>
      <c r="E73" s="28"/>
      <c r="F73" s="28"/>
      <c r="G73" s="28"/>
      <c r="H73" s="28"/>
      <c r="I73" s="28"/>
      <c r="J73" s="28"/>
      <c r="K73" s="28"/>
      <c r="L73" s="28"/>
    </row>
    <row r="74" spans="1:12" customFormat="1">
      <c r="C74" s="28"/>
      <c r="D74" s="28"/>
      <c r="E74" s="28"/>
      <c r="F74" s="28"/>
      <c r="G74" s="28"/>
      <c r="H74" s="28"/>
      <c r="I74" s="28"/>
      <c r="J74" s="28"/>
      <c r="K74" s="28"/>
      <c r="L74" s="28"/>
    </row>
    <row r="75" spans="1:12">
      <c r="C75" s="85"/>
      <c r="D75" s="85"/>
      <c r="E75" s="85"/>
      <c r="F75" s="85"/>
      <c r="G75" s="85"/>
      <c r="H75" s="85"/>
      <c r="I75" s="85"/>
      <c r="J75" s="85"/>
      <c r="K75" s="85"/>
      <c r="L75" s="85"/>
    </row>
    <row r="76" spans="1:12">
      <c r="C76" s="85"/>
      <c r="D76" s="85"/>
      <c r="E76" s="85"/>
      <c r="F76" s="85"/>
      <c r="G76" s="85"/>
      <c r="H76" s="85"/>
      <c r="I76" s="85"/>
      <c r="J76" s="85"/>
      <c r="K76" s="85"/>
      <c r="L76" s="85"/>
    </row>
    <row r="77" spans="1:12">
      <c r="C77" s="85"/>
      <c r="D77" s="85"/>
      <c r="E77" s="85"/>
      <c r="F77" s="85"/>
      <c r="G77" s="85"/>
      <c r="H77" s="85"/>
      <c r="I77" s="85"/>
      <c r="J77" s="85"/>
      <c r="K77" s="85"/>
      <c r="L77" s="85"/>
    </row>
    <row r="78" spans="1:12">
      <c r="C78" s="85"/>
      <c r="D78" s="85"/>
      <c r="E78" s="85"/>
      <c r="F78" s="85"/>
      <c r="G78" s="85"/>
      <c r="H78" s="85"/>
      <c r="I78" s="85"/>
      <c r="J78" s="85"/>
      <c r="K78" s="85"/>
      <c r="L78" s="85"/>
    </row>
    <row r="79" spans="1:12">
      <c r="C79" s="85"/>
      <c r="D79" s="85"/>
      <c r="E79" s="85"/>
      <c r="F79" s="85"/>
      <c r="G79" s="85"/>
      <c r="H79" s="85"/>
      <c r="I79" s="85"/>
      <c r="J79" s="85"/>
      <c r="K79" s="85"/>
      <c r="L79" s="85"/>
    </row>
  </sheetData>
  <mergeCells count="2">
    <mergeCell ref="B3:H3"/>
    <mergeCell ref="A1:M1"/>
  </mergeCells>
  <printOptions horizontalCentered="1" verticalCentered="1"/>
  <pageMargins left="0.4" right="0.4" top="0.25" bottom="0.25" header="0.31496062992126" footer="0.31496062992126"/>
  <pageSetup scale="78"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Z56"/>
  <sheetViews>
    <sheetView showGridLines="0" view="pageBreakPreview" zoomScale="55" zoomScaleNormal="100" zoomScaleSheetLayoutView="55" zoomScalePageLayoutView="62" workbookViewId="0">
      <pane ySplit="1" topLeftCell="A2" activePane="bottomLeft" state="frozen"/>
      <selection pane="bottomLeft" activeCell="AB20" sqref="AB20"/>
    </sheetView>
  </sheetViews>
  <sheetFormatPr baseColWidth="10" defaultColWidth="11.42578125" defaultRowHeight="15"/>
  <cols>
    <col min="1" max="1" width="18.42578125" style="128" customWidth="1"/>
    <col min="2" max="2" width="19.85546875" style="128" customWidth="1"/>
    <col min="3" max="3" width="18.85546875" style="128" customWidth="1"/>
    <col min="4" max="4" width="17.85546875" style="128" customWidth="1"/>
    <col min="5" max="5" width="19" style="128" customWidth="1"/>
    <col min="6" max="6" width="13.7109375" style="128" customWidth="1"/>
    <col min="7" max="7" width="17.28515625" style="128" customWidth="1"/>
    <col min="8" max="8" width="13.42578125" style="128" customWidth="1"/>
    <col min="9" max="9" width="20.42578125" style="128" customWidth="1"/>
    <col min="10" max="11" width="20.85546875" style="128" customWidth="1"/>
    <col min="12" max="12" width="22.7109375" style="128" customWidth="1"/>
    <col min="13" max="13" width="15.42578125" style="128" customWidth="1"/>
    <col min="14" max="14" width="15.28515625" style="128" customWidth="1"/>
    <col min="15" max="15" width="12.5703125" style="128" customWidth="1"/>
    <col min="16" max="16" width="27" style="128" customWidth="1"/>
    <col min="17" max="17" width="14.85546875" style="128" customWidth="1"/>
    <col min="18" max="18" width="14.5703125" style="128" customWidth="1"/>
    <col min="19" max="19" width="11.42578125" style="128"/>
    <col min="20" max="20" width="18.7109375" style="128" bestFit="1" customWidth="1"/>
    <col min="21" max="16384" width="11.42578125" style="128"/>
  </cols>
  <sheetData>
    <row r="1" spans="1:18" ht="97.5" customHeight="1">
      <c r="A1" s="2226" t="s">
        <v>1924</v>
      </c>
      <c r="B1" s="2226"/>
      <c r="C1" s="2226"/>
      <c r="D1" s="2226"/>
      <c r="E1" s="2226"/>
      <c r="F1" s="2226"/>
      <c r="G1" s="2226"/>
      <c r="H1" s="2226"/>
      <c r="I1" s="2226"/>
      <c r="J1" s="2226"/>
      <c r="K1" s="2226"/>
      <c r="L1" s="2226"/>
      <c r="M1" s="2226"/>
      <c r="N1" s="2226"/>
      <c r="O1" s="2226"/>
      <c r="P1" s="2226"/>
      <c r="Q1" s="2226"/>
    </row>
    <row r="2" spans="1:18" ht="6" customHeight="1">
      <c r="A2" s="591" t="s">
        <v>407</v>
      </c>
      <c r="B2" s="591"/>
      <c r="C2" s="591"/>
      <c r="D2" s="591"/>
      <c r="E2" s="591"/>
      <c r="F2" s="591"/>
      <c r="G2" s="591"/>
      <c r="H2" s="591"/>
      <c r="I2" s="591"/>
      <c r="J2" s="591"/>
      <c r="K2" s="591"/>
      <c r="L2" s="591"/>
      <c r="M2" s="591"/>
      <c r="N2" s="591"/>
      <c r="O2" s="591"/>
      <c r="P2" s="591"/>
    </row>
    <row r="3" spans="1:18" ht="85.5" customHeight="1">
      <c r="A3" s="2137" t="s">
        <v>495</v>
      </c>
      <c r="B3" s="2138" t="s">
        <v>1402</v>
      </c>
      <c r="C3" s="2138" t="s">
        <v>1241</v>
      </c>
      <c r="D3" s="2138" t="s">
        <v>1242</v>
      </c>
      <c r="E3" s="2138" t="s">
        <v>1243</v>
      </c>
      <c r="F3" s="2138" t="s">
        <v>489</v>
      </c>
      <c r="G3" s="2138" t="s">
        <v>490</v>
      </c>
      <c r="H3" s="2138" t="s">
        <v>730</v>
      </c>
      <c r="I3" s="1305" t="s">
        <v>1244</v>
      </c>
      <c r="J3" s="1305" t="s">
        <v>1245</v>
      </c>
      <c r="K3" s="1305" t="s">
        <v>1246</v>
      </c>
      <c r="L3" s="1305" t="s">
        <v>1247</v>
      </c>
      <c r="M3" s="1305" t="s">
        <v>487</v>
      </c>
      <c r="N3" s="1305" t="s">
        <v>488</v>
      </c>
      <c r="O3" s="1305" t="s">
        <v>731</v>
      </c>
      <c r="P3" s="640" t="s">
        <v>1919</v>
      </c>
      <c r="Q3" s="90"/>
      <c r="R3" s="90"/>
    </row>
    <row r="4" spans="1:18" ht="21" hidden="1">
      <c r="A4" s="2129" t="s">
        <v>28</v>
      </c>
      <c r="B4" s="1164">
        <v>986538</v>
      </c>
      <c r="C4" s="231">
        <v>53200</v>
      </c>
      <c r="D4" s="487">
        <v>0</v>
      </c>
      <c r="E4" s="2073">
        <f t="shared" ref="E4:E5" si="0">B4+C4+D4</f>
        <v>1039738</v>
      </c>
      <c r="F4" s="2074">
        <f t="shared" ref="F4:F5" si="1">B4/E4</f>
        <v>0.94883326376452526</v>
      </c>
      <c r="G4" s="2074">
        <f t="shared" ref="G4:G5" si="2">C4/E4</f>
        <v>5.1166736235474707E-2</v>
      </c>
      <c r="H4" s="2075">
        <v>0</v>
      </c>
      <c r="I4" s="356">
        <v>576869</v>
      </c>
      <c r="J4" s="356">
        <v>44000</v>
      </c>
      <c r="K4" s="356">
        <v>0</v>
      </c>
      <c r="L4" s="2076">
        <f>I4+J4+K4</f>
        <v>620869</v>
      </c>
      <c r="M4" s="2124">
        <f t="shared" ref="M4:M5" si="3">I4/L4</f>
        <v>0.92913158814500318</v>
      </c>
      <c r="N4" s="2124">
        <f t="shared" ref="N4:N5" si="4">J4/L4</f>
        <v>7.0868411854996788E-2</v>
      </c>
      <c r="O4" s="2125">
        <v>0</v>
      </c>
      <c r="P4" s="1519">
        <f t="shared" ref="P4:P5" si="5">L4/E4</f>
        <v>0.59713985638689748</v>
      </c>
      <c r="Q4" s="90"/>
      <c r="R4" s="90"/>
    </row>
    <row r="5" spans="1:18" ht="21" hidden="1">
      <c r="A5" s="2129" t="s">
        <v>29</v>
      </c>
      <c r="B5" s="231">
        <v>1190202</v>
      </c>
      <c r="C5" s="231">
        <v>64713</v>
      </c>
      <c r="D5" s="487">
        <v>0</v>
      </c>
      <c r="E5" s="2073">
        <f t="shared" si="0"/>
        <v>1254915</v>
      </c>
      <c r="F5" s="2074">
        <f t="shared" si="1"/>
        <v>0.94843236394496844</v>
      </c>
      <c r="G5" s="2074">
        <f t="shared" si="2"/>
        <v>5.1567636055031618E-2</v>
      </c>
      <c r="H5" s="2075">
        <v>0</v>
      </c>
      <c r="I5" s="356">
        <v>593286</v>
      </c>
      <c r="J5" s="356">
        <v>65017</v>
      </c>
      <c r="K5" s="356">
        <v>0</v>
      </c>
      <c r="L5" s="2076">
        <f t="shared" ref="L5" si="6">I5+J5+K5</f>
        <v>658303</v>
      </c>
      <c r="M5" s="2124">
        <f t="shared" si="3"/>
        <v>0.90123544932956401</v>
      </c>
      <c r="N5" s="2124">
        <f t="shared" si="4"/>
        <v>9.8764550670435949E-2</v>
      </c>
      <c r="O5" s="2125">
        <v>0</v>
      </c>
      <c r="P5" s="1519">
        <f t="shared" si="5"/>
        <v>0.52457975241351007</v>
      </c>
      <c r="Q5" s="90"/>
      <c r="R5" s="90"/>
    </row>
    <row r="6" spans="1:18" ht="21">
      <c r="A6" s="2139" t="s">
        <v>30</v>
      </c>
      <c r="B6" s="1165">
        <v>1429521</v>
      </c>
      <c r="C6" s="231">
        <v>258191</v>
      </c>
      <c r="D6" s="487">
        <v>0</v>
      </c>
      <c r="E6" s="2133">
        <v>1687712</v>
      </c>
      <c r="F6" s="2134">
        <v>0.847017145105326</v>
      </c>
      <c r="G6" s="2134">
        <v>0.15298285489467398</v>
      </c>
      <c r="H6" s="2135">
        <v>0</v>
      </c>
      <c r="I6" s="356">
        <v>626615</v>
      </c>
      <c r="J6" s="356">
        <v>266531</v>
      </c>
      <c r="K6" s="356">
        <v>0</v>
      </c>
      <c r="L6" s="2130">
        <v>893146</v>
      </c>
      <c r="M6" s="2131">
        <v>0.70158182424821924</v>
      </c>
      <c r="N6" s="2131">
        <v>0.29841817575178076</v>
      </c>
      <c r="O6" s="2132">
        <v>0</v>
      </c>
      <c r="P6" s="1519">
        <v>0.52920521984793611</v>
      </c>
      <c r="Q6" s="90"/>
      <c r="R6" s="90"/>
    </row>
    <row r="7" spans="1:18" ht="21">
      <c r="A7" s="2139" t="s">
        <v>31</v>
      </c>
      <c r="B7" s="231">
        <v>1588621</v>
      </c>
      <c r="C7" s="231">
        <v>513906</v>
      </c>
      <c r="D7" s="487">
        <v>0</v>
      </c>
      <c r="E7" s="2133">
        <v>2102527</v>
      </c>
      <c r="F7" s="2134">
        <v>0.75557697951084579</v>
      </c>
      <c r="G7" s="2134">
        <v>0.24442302048915424</v>
      </c>
      <c r="H7" s="2135">
        <v>0</v>
      </c>
      <c r="I7" s="356">
        <v>808496</v>
      </c>
      <c r="J7" s="356">
        <v>513416</v>
      </c>
      <c r="K7" s="356">
        <v>0</v>
      </c>
      <c r="L7" s="2130">
        <v>1321912</v>
      </c>
      <c r="M7" s="2131">
        <v>0.61161106034289725</v>
      </c>
      <c r="N7" s="2131">
        <v>0.38838893965710275</v>
      </c>
      <c r="O7" s="2132">
        <v>0</v>
      </c>
      <c r="P7" s="1519">
        <v>0.62872533860445079</v>
      </c>
      <c r="Q7" s="90"/>
      <c r="R7" s="90"/>
    </row>
    <row r="8" spans="1:18" ht="21">
      <c r="A8" s="2139" t="s">
        <v>32</v>
      </c>
      <c r="B8" s="231">
        <v>1477181</v>
      </c>
      <c r="C8" s="231">
        <v>972427</v>
      </c>
      <c r="D8" s="487">
        <v>0</v>
      </c>
      <c r="E8" s="2133">
        <v>2449608</v>
      </c>
      <c r="F8" s="2134">
        <v>0.60302750480893275</v>
      </c>
      <c r="G8" s="2134">
        <v>0.39697249519106731</v>
      </c>
      <c r="H8" s="2135">
        <v>0</v>
      </c>
      <c r="I8" s="356">
        <v>1599467</v>
      </c>
      <c r="J8" s="356">
        <v>1081936</v>
      </c>
      <c r="K8" s="356">
        <v>0</v>
      </c>
      <c r="L8" s="2130">
        <v>2681403</v>
      </c>
      <c r="M8" s="2131">
        <v>0.59650377060068926</v>
      </c>
      <c r="N8" s="2131">
        <v>0.40349622939931074</v>
      </c>
      <c r="O8" s="2132">
        <v>0</v>
      </c>
      <c r="P8" s="1519">
        <v>1.0946253441366944</v>
      </c>
      <c r="Q8" s="90"/>
      <c r="R8" s="90"/>
    </row>
    <row r="9" spans="1:18" ht="21">
      <c r="A9" s="2139" t="s">
        <v>33</v>
      </c>
      <c r="B9" s="231">
        <v>1692259</v>
      </c>
      <c r="C9" s="231">
        <v>1242681</v>
      </c>
      <c r="D9" s="487">
        <v>0</v>
      </c>
      <c r="E9" s="2133">
        <v>2934940</v>
      </c>
      <c r="F9" s="2134">
        <v>0.57659066284148908</v>
      </c>
      <c r="G9" s="2134">
        <v>0.42340933715851092</v>
      </c>
      <c r="H9" s="2135">
        <v>0</v>
      </c>
      <c r="I9" s="356">
        <v>1729671</v>
      </c>
      <c r="J9" s="356">
        <v>1224643</v>
      </c>
      <c r="K9" s="356">
        <v>0</v>
      </c>
      <c r="L9" s="2130">
        <v>2954314</v>
      </c>
      <c r="M9" s="2131">
        <v>0.5854729727442648</v>
      </c>
      <c r="N9" s="2131">
        <v>0.41452702725573515</v>
      </c>
      <c r="O9" s="2132">
        <v>0</v>
      </c>
      <c r="P9" s="1519">
        <v>1.006601157093501</v>
      </c>
      <c r="Q9" s="90"/>
      <c r="R9" s="90"/>
    </row>
    <row r="10" spans="1:18" ht="21">
      <c r="A10" s="2139" t="s">
        <v>34</v>
      </c>
      <c r="B10" s="231">
        <v>2088299</v>
      </c>
      <c r="C10" s="231">
        <v>1411152</v>
      </c>
      <c r="D10" s="231">
        <v>21982</v>
      </c>
      <c r="E10" s="2133">
        <v>3521433</v>
      </c>
      <c r="F10" s="2134">
        <v>0.59302533940018165</v>
      </c>
      <c r="G10" s="2134">
        <v>0.40073231550905553</v>
      </c>
      <c r="H10" s="2136">
        <v>6.2423450907627661E-3</v>
      </c>
      <c r="I10" s="356">
        <v>2096232</v>
      </c>
      <c r="J10" s="356">
        <v>1346166</v>
      </c>
      <c r="K10" s="356">
        <v>18375</v>
      </c>
      <c r="L10" s="2130">
        <v>3460773</v>
      </c>
      <c r="M10" s="2131">
        <v>0.60571207646384206</v>
      </c>
      <c r="N10" s="2131">
        <v>0.3889784160937455</v>
      </c>
      <c r="O10" s="2131">
        <v>5.309507442412432E-3</v>
      </c>
      <c r="P10" s="1519">
        <v>0.98277405817461239</v>
      </c>
      <c r="Q10" s="90"/>
      <c r="R10" s="90"/>
    </row>
    <row r="11" spans="1:18" ht="21">
      <c r="A11" s="2139" t="s">
        <v>359</v>
      </c>
      <c r="B11" s="231">
        <v>2364083</v>
      </c>
      <c r="C11" s="233">
        <v>2023360</v>
      </c>
      <c r="D11" s="231">
        <v>27105</v>
      </c>
      <c r="E11" s="2133">
        <v>4414548</v>
      </c>
      <c r="F11" s="2134">
        <v>0.53552096386764847</v>
      </c>
      <c r="G11" s="2134">
        <v>0.45833910968914598</v>
      </c>
      <c r="H11" s="2136">
        <v>6.1399264432055109E-3</v>
      </c>
      <c r="I11" s="356">
        <v>2417992</v>
      </c>
      <c r="J11" s="356">
        <v>1847833</v>
      </c>
      <c r="K11" s="356">
        <v>27177</v>
      </c>
      <c r="L11" s="2130">
        <v>4293002</v>
      </c>
      <c r="M11" s="2131">
        <v>0.56324036187264759</v>
      </c>
      <c r="N11" s="2131">
        <v>0.43042910299133336</v>
      </c>
      <c r="O11" s="2131">
        <v>6.3305351360190372E-3</v>
      </c>
      <c r="P11" s="1519">
        <v>0.9724669433880887</v>
      </c>
      <c r="Q11" s="90"/>
      <c r="R11" s="90"/>
    </row>
    <row r="12" spans="1:18" ht="21">
      <c r="A12" s="2139" t="s">
        <v>477</v>
      </c>
      <c r="B12" s="357">
        <v>2517423</v>
      </c>
      <c r="C12" s="356">
        <v>2017423</v>
      </c>
      <c r="D12" s="357">
        <v>29726</v>
      </c>
      <c r="E12" s="2133">
        <v>4564572</v>
      </c>
      <c r="F12" s="2134">
        <v>0.55151348253461663</v>
      </c>
      <c r="G12" s="2134">
        <v>0.44197418728415283</v>
      </c>
      <c r="H12" s="2136">
        <v>6.5123301812305733E-3</v>
      </c>
      <c r="I12" s="356">
        <v>2586943</v>
      </c>
      <c r="J12" s="356">
        <v>1996335</v>
      </c>
      <c r="K12" s="356">
        <v>29648</v>
      </c>
      <c r="L12" s="2130">
        <v>4612926</v>
      </c>
      <c r="M12" s="2131">
        <v>0.56080305645484019</v>
      </c>
      <c r="N12" s="2131">
        <v>0.43276978646525005</v>
      </c>
      <c r="O12" s="2131">
        <v>6.4271570799098012E-3</v>
      </c>
      <c r="P12" s="1519">
        <v>1.0105933261650819</v>
      </c>
      <c r="Q12" s="90"/>
      <c r="R12" s="90"/>
    </row>
    <row r="13" spans="1:18" ht="21">
      <c r="A13" s="2139" t="s">
        <v>1057</v>
      </c>
      <c r="B13" s="801">
        <v>2688411</v>
      </c>
      <c r="C13" s="800">
        <v>2335292</v>
      </c>
      <c r="D13" s="801">
        <v>30703</v>
      </c>
      <c r="E13" s="2133">
        <v>5054406</v>
      </c>
      <c r="F13" s="2134">
        <v>0.53189454903306144</v>
      </c>
      <c r="G13" s="2134">
        <v>0.46203094883948775</v>
      </c>
      <c r="H13" s="2136">
        <v>6.0745021274507824E-3</v>
      </c>
      <c r="I13" s="356">
        <v>2747735</v>
      </c>
      <c r="J13" s="356">
        <v>2294356</v>
      </c>
      <c r="K13" s="356">
        <v>30884</v>
      </c>
      <c r="L13" s="2130">
        <v>5072975</v>
      </c>
      <c r="M13" s="2131">
        <v>0.54164173882189448</v>
      </c>
      <c r="N13" s="2131">
        <v>0.45227031475613422</v>
      </c>
      <c r="O13" s="2131">
        <v>6.0879464219713289E-3</v>
      </c>
      <c r="P13" s="1519">
        <v>1.003673824382133</v>
      </c>
      <c r="Q13" s="90"/>
      <c r="R13" s="90"/>
    </row>
    <row r="14" spans="1:18" ht="21">
      <c r="A14" s="2139" t="s">
        <v>1640</v>
      </c>
      <c r="B14" s="2084">
        <v>2859306</v>
      </c>
      <c r="C14" s="800">
        <v>2751753</v>
      </c>
      <c r="D14" s="801">
        <v>27273</v>
      </c>
      <c r="E14" s="2133">
        <v>5638332</v>
      </c>
      <c r="F14" s="2134">
        <v>0.50711912672045567</v>
      </c>
      <c r="G14" s="2134">
        <v>0.48804380444429307</v>
      </c>
      <c r="H14" s="2136">
        <v>4.8370688352512761E-3</v>
      </c>
      <c r="I14" s="800">
        <v>2965326</v>
      </c>
      <c r="J14" s="800">
        <v>2646899</v>
      </c>
      <c r="K14" s="800">
        <v>29217</v>
      </c>
      <c r="L14" s="2130">
        <v>5641442</v>
      </c>
      <c r="M14" s="2131">
        <v>0.52563263080609535</v>
      </c>
      <c r="N14" s="2131">
        <v>0.46918837417809134</v>
      </c>
      <c r="O14" s="2131">
        <v>5.1789950158133329E-3</v>
      </c>
      <c r="P14" s="1519">
        <v>1.0005515815670307</v>
      </c>
      <c r="Q14" s="90"/>
      <c r="R14" s="90"/>
    </row>
    <row r="15" spans="1:18" ht="21">
      <c r="A15" s="2139" t="s">
        <v>1922</v>
      </c>
      <c r="B15" s="2084">
        <v>3141599</v>
      </c>
      <c r="C15" s="800">
        <v>3015646</v>
      </c>
      <c r="D15" s="801">
        <v>30370</v>
      </c>
      <c r="E15" s="2133">
        <v>6187615</v>
      </c>
      <c r="F15" s="2134">
        <v>0.50772373523562797</v>
      </c>
      <c r="G15" s="2134">
        <v>0.48736807315904429</v>
      </c>
      <c r="H15" s="2136">
        <v>4.9081916053277394E-3</v>
      </c>
      <c r="I15" s="800">
        <v>3224947</v>
      </c>
      <c r="J15" s="800">
        <v>3015646</v>
      </c>
      <c r="K15" s="800">
        <v>30470</v>
      </c>
      <c r="L15" s="2130">
        <v>6271063</v>
      </c>
      <c r="M15" s="2131">
        <v>0.5142584279571103</v>
      </c>
      <c r="N15" s="2131">
        <v>0.48088274667309194</v>
      </c>
      <c r="O15" s="2131">
        <v>4.8588253697977521E-3</v>
      </c>
      <c r="P15" s="1519">
        <v>1.0134862948001775</v>
      </c>
      <c r="Q15" s="90"/>
      <c r="R15" s="90"/>
    </row>
    <row r="16" spans="1:18" ht="18.75">
      <c r="A16" s="2225" t="s">
        <v>1890</v>
      </c>
      <c r="B16" s="2225"/>
      <c r="C16" s="2225"/>
      <c r="D16" s="2225"/>
      <c r="E16" s="2225"/>
      <c r="F16" s="2225"/>
      <c r="G16" s="2225"/>
      <c r="H16" s="2225"/>
      <c r="I16" s="2225"/>
      <c r="J16" s="2225"/>
      <c r="K16" s="2225"/>
      <c r="L16" s="2225"/>
      <c r="M16" s="2225"/>
      <c r="N16" s="2225"/>
      <c r="O16" s="2225"/>
      <c r="P16" s="2225"/>
      <c r="Q16" s="90"/>
      <c r="R16" s="90"/>
    </row>
    <row r="17" spans="1:26" ht="25.5" customHeight="1">
      <c r="A17" s="39"/>
      <c r="B17" s="39"/>
      <c r="C17" s="39"/>
      <c r="D17" s="39"/>
      <c r="E17" s="39"/>
      <c r="F17" s="39"/>
      <c r="G17" s="39"/>
      <c r="H17" s="39"/>
      <c r="I17" s="39"/>
      <c r="J17" s="39"/>
      <c r="K17" s="39"/>
      <c r="L17" s="39"/>
      <c r="M17" s="39"/>
      <c r="N17" s="39"/>
      <c r="O17" s="39"/>
      <c r="P17" s="39"/>
      <c r="R17" s="90"/>
    </row>
    <row r="18" spans="1:26" ht="25.5" customHeight="1">
      <c r="A18" s="39"/>
      <c r="B18" s="39"/>
      <c r="C18" s="39"/>
      <c r="D18" s="39"/>
      <c r="E18" s="39"/>
      <c r="F18" s="39"/>
      <c r="G18" s="39"/>
      <c r="H18" s="39"/>
      <c r="I18" s="39"/>
      <c r="J18" s="39"/>
      <c r="K18" s="39"/>
      <c r="L18" s="39"/>
      <c r="M18" s="39"/>
      <c r="N18" s="39"/>
      <c r="O18" s="39"/>
      <c r="P18" s="39"/>
      <c r="Q18" s="39"/>
      <c r="R18" s="90"/>
    </row>
    <row r="19" spans="1:26" ht="25.5" customHeight="1">
      <c r="A19" s="39"/>
      <c r="B19" s="39"/>
      <c r="C19" s="39"/>
      <c r="D19" s="39"/>
      <c r="E19" s="39"/>
      <c r="F19" s="39"/>
      <c r="G19" s="39"/>
      <c r="H19" s="39"/>
      <c r="I19" s="39"/>
      <c r="J19" s="39"/>
      <c r="K19" s="39"/>
      <c r="L19" s="39"/>
      <c r="M19" s="39"/>
      <c r="N19" s="39"/>
      <c r="O19" s="39"/>
      <c r="P19" s="39"/>
      <c r="Q19" s="39"/>
      <c r="R19" s="90"/>
      <c r="Z19" s="128" t="s">
        <v>36</v>
      </c>
    </row>
    <row r="20" spans="1:26" ht="25.5" customHeight="1">
      <c r="A20" s="39"/>
      <c r="B20" s="39"/>
      <c r="C20" s="39"/>
      <c r="D20" s="39"/>
      <c r="E20" s="39"/>
      <c r="F20" s="39"/>
      <c r="G20" s="39"/>
      <c r="H20" s="39"/>
      <c r="I20" s="39"/>
      <c r="J20" s="39"/>
      <c r="K20" s="39"/>
      <c r="L20" s="39"/>
      <c r="M20" s="39"/>
      <c r="N20" s="39"/>
      <c r="O20" s="39"/>
      <c r="P20" s="39"/>
      <c r="Q20" s="39"/>
      <c r="R20" s="90"/>
    </row>
    <row r="21" spans="1:26" ht="25.5" customHeight="1">
      <c r="A21" s="39"/>
      <c r="B21" s="39"/>
      <c r="C21" s="39"/>
      <c r="D21" s="39"/>
      <c r="E21" s="39"/>
      <c r="F21" s="39"/>
      <c r="G21" s="39"/>
      <c r="H21" s="39"/>
      <c r="I21" s="39"/>
      <c r="J21" s="39"/>
      <c r="K21" s="39"/>
      <c r="L21" s="39"/>
      <c r="M21" s="39"/>
      <c r="N21" s="39"/>
      <c r="O21" s="39"/>
      <c r="P21" s="39"/>
      <c r="Q21" s="39"/>
      <c r="R21" s="90"/>
    </row>
    <row r="22" spans="1:26" ht="25.5" customHeight="1">
      <c r="A22" s="39"/>
      <c r="B22" s="39"/>
      <c r="C22" s="39"/>
      <c r="D22" s="39"/>
      <c r="E22" s="39"/>
      <c r="F22" s="39"/>
      <c r="G22" s="39"/>
      <c r="H22" s="39"/>
      <c r="I22" s="39"/>
      <c r="J22" s="39"/>
      <c r="K22" s="39"/>
      <c r="L22" s="39"/>
      <c r="M22" s="39"/>
      <c r="N22" s="39"/>
      <c r="O22" s="39"/>
      <c r="P22" s="39"/>
      <c r="Q22" s="39"/>
      <c r="R22" s="90"/>
    </row>
    <row r="23" spans="1:26" ht="25.5" customHeight="1">
      <c r="A23" s="39"/>
      <c r="B23" s="39"/>
      <c r="C23" s="39"/>
      <c r="D23" s="39"/>
      <c r="E23" s="39"/>
      <c r="F23" s="39"/>
      <c r="G23" s="39"/>
      <c r="H23" s="39"/>
      <c r="I23" s="39"/>
      <c r="J23" s="39"/>
      <c r="K23" s="39"/>
      <c r="L23" s="39"/>
      <c r="M23" s="39"/>
      <c r="N23" s="39"/>
      <c r="O23" s="39"/>
      <c r="P23" s="39"/>
      <c r="Q23" s="39"/>
      <c r="R23" s="90"/>
    </row>
    <row r="24" spans="1:26" ht="25.5" customHeight="1">
      <c r="A24" s="39"/>
      <c r="B24" s="39"/>
      <c r="C24" s="39"/>
      <c r="D24" s="39"/>
      <c r="E24" s="39"/>
      <c r="F24" s="39"/>
      <c r="G24" s="39"/>
      <c r="H24" s="39"/>
      <c r="I24" s="39"/>
      <c r="J24" s="39"/>
      <c r="K24" s="39"/>
      <c r="L24" s="39"/>
      <c r="M24" s="39"/>
      <c r="N24" s="39"/>
      <c r="O24" s="39"/>
      <c r="P24" s="39"/>
      <c r="Q24" s="39"/>
      <c r="R24" s="90"/>
    </row>
    <row r="25" spans="1:26" ht="25.5" customHeight="1">
      <c r="A25" s="39"/>
      <c r="B25" s="39"/>
      <c r="C25" s="39"/>
      <c r="D25" s="39"/>
      <c r="E25" s="39"/>
      <c r="F25" s="39"/>
      <c r="G25" s="39"/>
      <c r="H25" s="39"/>
      <c r="I25" s="39"/>
      <c r="J25" s="39"/>
      <c r="K25" s="39"/>
      <c r="L25" s="39"/>
      <c r="M25" s="39"/>
      <c r="N25" s="39"/>
      <c r="O25" s="39"/>
      <c r="P25" s="39"/>
      <c r="Q25" s="39"/>
      <c r="R25" s="90"/>
    </row>
    <row r="26" spans="1:26" ht="25.5" customHeight="1">
      <c r="A26" s="39"/>
      <c r="B26" s="39"/>
      <c r="C26" s="39"/>
      <c r="D26" s="39"/>
      <c r="E26" s="39"/>
      <c r="F26" s="39"/>
      <c r="G26" s="39"/>
      <c r="H26" s="39"/>
      <c r="I26" s="39"/>
      <c r="J26" s="39"/>
      <c r="K26" s="39"/>
      <c r="L26" s="39"/>
      <c r="M26" s="39"/>
      <c r="N26" s="39"/>
      <c r="O26" s="39"/>
      <c r="P26" s="39"/>
      <c r="Q26" s="39"/>
      <c r="R26" s="39"/>
    </row>
    <row r="27" spans="1:26" ht="25.5" customHeight="1">
      <c r="A27" s="39"/>
      <c r="B27" s="39"/>
      <c r="C27" s="39"/>
      <c r="D27" s="39"/>
      <c r="E27" s="39"/>
      <c r="F27" s="39"/>
      <c r="G27" s="39"/>
      <c r="H27" s="39"/>
      <c r="I27" s="39"/>
      <c r="J27" s="39"/>
      <c r="K27" s="39"/>
      <c r="L27" s="39"/>
      <c r="M27" s="39"/>
      <c r="N27" s="39"/>
      <c r="O27" s="39"/>
      <c r="P27" s="39"/>
      <c r="Q27" s="39"/>
      <c r="R27" s="39"/>
    </row>
    <row r="28" spans="1:26" ht="25.5" customHeight="1">
      <c r="A28" s="39"/>
      <c r="B28" s="39"/>
      <c r="C28" s="39"/>
      <c r="D28" s="39"/>
      <c r="E28" s="39"/>
      <c r="F28" s="39"/>
      <c r="G28" s="39"/>
      <c r="H28" s="39"/>
      <c r="I28" s="39"/>
      <c r="J28" s="39"/>
      <c r="K28" s="39"/>
      <c r="L28" s="39"/>
      <c r="M28" s="39"/>
      <c r="N28" s="39"/>
      <c r="O28" s="39"/>
      <c r="P28" s="39"/>
      <c r="Q28" s="39"/>
      <c r="R28" s="39"/>
    </row>
    <row r="29" spans="1:26" ht="25.5" customHeight="1">
      <c r="A29" s="39"/>
      <c r="B29" s="39"/>
      <c r="C29" s="39"/>
      <c r="D29" s="39"/>
      <c r="E29" s="39"/>
      <c r="F29" s="39"/>
      <c r="G29" s="39"/>
      <c r="H29" s="39"/>
      <c r="I29" s="39"/>
      <c r="J29" s="39"/>
      <c r="K29" s="39"/>
      <c r="L29" s="39"/>
      <c r="M29" s="39"/>
      <c r="N29" s="39"/>
      <c r="O29" s="39"/>
      <c r="P29" s="39"/>
      <c r="Q29" s="39"/>
      <c r="R29" s="39"/>
    </row>
    <row r="30" spans="1:26" ht="25.5" customHeight="1">
      <c r="A30" s="39"/>
      <c r="B30" s="39"/>
      <c r="C30" s="39"/>
      <c r="D30" s="39"/>
      <c r="E30" s="39"/>
      <c r="F30" s="39"/>
      <c r="G30" s="39"/>
      <c r="H30" s="39"/>
      <c r="I30" s="39"/>
      <c r="J30" s="39"/>
      <c r="K30" s="39"/>
      <c r="L30" s="39"/>
      <c r="M30" s="39"/>
      <c r="N30" s="39"/>
      <c r="O30" s="39"/>
      <c r="P30" s="39"/>
      <c r="Q30" s="39"/>
      <c r="R30" s="39"/>
    </row>
    <row r="31" spans="1:26" ht="25.5" customHeight="1">
      <c r="A31" s="39"/>
      <c r="B31" s="39"/>
      <c r="C31" s="39"/>
      <c r="D31" s="39"/>
      <c r="E31" s="39"/>
      <c r="F31" s="39"/>
      <c r="G31" s="39"/>
      <c r="H31" s="39"/>
      <c r="I31" s="39"/>
      <c r="J31" s="39"/>
      <c r="K31" s="39"/>
      <c r="L31" s="39"/>
      <c r="M31" s="39"/>
      <c r="N31" s="39"/>
      <c r="O31" s="39"/>
      <c r="P31" s="39"/>
      <c r="Q31" s="39"/>
      <c r="R31" s="39"/>
    </row>
    <row r="32" spans="1:26" ht="25.5" customHeight="1">
      <c r="A32" s="39"/>
      <c r="B32" s="39"/>
      <c r="C32" s="39"/>
      <c r="D32" s="39"/>
      <c r="E32" s="39"/>
      <c r="F32" s="39"/>
      <c r="G32" s="39"/>
      <c r="H32" s="39"/>
      <c r="I32" s="39"/>
      <c r="J32" s="39"/>
      <c r="K32" s="39"/>
      <c r="L32" s="39"/>
      <c r="M32" s="39"/>
      <c r="N32" s="39"/>
      <c r="O32" s="39"/>
      <c r="P32" s="39"/>
      <c r="Q32" s="39"/>
      <c r="R32" s="39"/>
    </row>
    <row r="33" spans="1:21" ht="25.5" customHeight="1">
      <c r="A33" s="39"/>
      <c r="B33" s="39"/>
      <c r="C33" s="39"/>
      <c r="D33" s="39"/>
      <c r="E33" s="39"/>
      <c r="F33" s="39"/>
      <c r="G33" s="39"/>
      <c r="H33" s="39"/>
      <c r="I33" s="39"/>
      <c r="J33" s="39"/>
      <c r="K33" s="39"/>
      <c r="L33" s="39"/>
      <c r="M33" s="39"/>
      <c r="N33" s="39"/>
      <c r="O33" s="39"/>
      <c r="P33" s="39"/>
      <c r="Q33" s="39"/>
      <c r="R33" s="39"/>
    </row>
    <row r="34" spans="1:21" ht="25.5" customHeight="1">
      <c r="A34" s="39"/>
      <c r="B34" s="39"/>
      <c r="C34" s="39"/>
      <c r="D34" s="39"/>
      <c r="E34" s="39"/>
      <c r="F34" s="39"/>
      <c r="G34" s="39"/>
      <c r="H34" s="39"/>
      <c r="I34" s="39"/>
      <c r="J34" s="39"/>
      <c r="K34" s="39"/>
      <c r="L34" s="39"/>
      <c r="M34" s="39"/>
      <c r="N34" s="39"/>
      <c r="O34" s="39"/>
      <c r="P34" s="39"/>
      <c r="Q34" s="39"/>
      <c r="R34" s="39"/>
    </row>
    <row r="35" spans="1:21" ht="25.5" customHeight="1">
      <c r="A35" s="39"/>
      <c r="B35" s="39"/>
      <c r="C35" s="39"/>
      <c r="D35" s="39"/>
      <c r="E35" s="39"/>
      <c r="F35" s="39"/>
      <c r="G35" s="39"/>
      <c r="H35" s="39"/>
      <c r="I35" s="39"/>
      <c r="J35" s="39"/>
      <c r="K35" s="39"/>
      <c r="L35" s="39"/>
      <c r="M35" s="39"/>
      <c r="N35" s="39"/>
      <c r="O35" s="39"/>
      <c r="P35" s="39"/>
      <c r="Q35" s="39"/>
      <c r="R35" s="39"/>
    </row>
    <row r="36" spans="1:21" ht="25.5" customHeight="1">
      <c r="A36" s="39"/>
      <c r="B36" s="39"/>
      <c r="C36" s="39"/>
      <c r="D36" s="39"/>
      <c r="E36" s="39"/>
      <c r="F36" s="39"/>
      <c r="G36" s="39"/>
      <c r="H36" s="39"/>
      <c r="I36" s="39"/>
      <c r="J36" s="39"/>
      <c r="K36" s="39"/>
      <c r="L36" s="39"/>
      <c r="M36" s="39"/>
      <c r="N36" s="39"/>
      <c r="O36" s="39"/>
      <c r="P36" s="39"/>
      <c r="Q36" s="39"/>
      <c r="R36" s="39"/>
    </row>
    <row r="37" spans="1:21" ht="25.5" customHeight="1">
      <c r="A37" s="39"/>
      <c r="B37" s="39"/>
      <c r="C37" s="39"/>
      <c r="D37" s="39"/>
      <c r="E37" s="39"/>
      <c r="F37" s="39"/>
      <c r="G37" s="39"/>
      <c r="H37" s="39"/>
      <c r="I37" s="39"/>
      <c r="J37" s="39"/>
      <c r="K37" s="39"/>
      <c r="L37" s="39"/>
      <c r="M37" s="39"/>
      <c r="N37" s="39"/>
      <c r="O37" s="39"/>
      <c r="P37" s="39"/>
      <c r="Q37" s="39"/>
      <c r="R37" s="39"/>
    </row>
    <row r="38" spans="1:21" ht="25.5" customHeight="1">
      <c r="A38" s="39"/>
      <c r="B38" s="39"/>
      <c r="C38" s="39"/>
      <c r="D38" s="39"/>
      <c r="E38" s="39"/>
      <c r="F38" s="39"/>
      <c r="G38" s="39"/>
      <c r="H38" s="39"/>
      <c r="I38" s="39"/>
      <c r="J38" s="39"/>
      <c r="K38" s="39"/>
      <c r="L38" s="39"/>
      <c r="M38" s="39"/>
      <c r="N38" s="39"/>
      <c r="O38" s="39"/>
      <c r="P38" s="39"/>
      <c r="Q38" s="39"/>
      <c r="R38" s="39"/>
    </row>
    <row r="39" spans="1:21">
      <c r="S39" s="151"/>
      <c r="T39" s="151"/>
      <c r="U39" s="151"/>
    </row>
    <row r="40" spans="1:21">
      <c r="S40" s="151"/>
      <c r="T40" s="151"/>
      <c r="U40" s="151"/>
    </row>
    <row r="41" spans="1:21">
      <c r="S41" s="151"/>
      <c r="T41" s="151"/>
      <c r="U41" s="151"/>
    </row>
    <row r="42" spans="1:21">
      <c r="S42" s="151"/>
      <c r="T42" s="151"/>
      <c r="U42" s="151"/>
    </row>
    <row r="43" spans="1:21" ht="51" customHeight="1">
      <c r="S43" s="151"/>
      <c r="T43" s="151"/>
      <c r="U43" s="151"/>
    </row>
    <row r="44" spans="1:21" ht="23.25">
      <c r="A44" s="1018"/>
      <c r="B44" s="1018"/>
      <c r="C44" s="1018"/>
      <c r="D44" s="1018"/>
      <c r="E44" s="1018"/>
      <c r="F44" s="1018"/>
      <c r="G44" s="1018"/>
      <c r="H44" s="1018"/>
      <c r="I44" s="1018"/>
      <c r="J44" s="1018"/>
      <c r="K44" s="1018"/>
      <c r="L44" s="1018"/>
      <c r="M44" s="1018"/>
      <c r="N44" s="1018"/>
      <c r="O44" s="1018"/>
      <c r="P44" s="1018"/>
      <c r="Q44" s="1018"/>
      <c r="R44" s="1018"/>
      <c r="S44" s="151"/>
      <c r="T44" s="151"/>
      <c r="U44" s="151"/>
    </row>
    <row r="50" spans="2:23">
      <c r="S50" s="151"/>
      <c r="T50" s="151"/>
      <c r="U50" s="151"/>
      <c r="V50" s="151"/>
      <c r="W50" s="151"/>
    </row>
    <row r="51" spans="2:23">
      <c r="S51" s="151"/>
      <c r="T51" s="151"/>
      <c r="U51" s="151"/>
      <c r="V51" s="151"/>
      <c r="W51" s="151"/>
    </row>
    <row r="52" spans="2:23">
      <c r="S52" s="151"/>
      <c r="T52" s="151"/>
      <c r="U52" s="151"/>
      <c r="V52" s="151"/>
      <c r="W52" s="151"/>
    </row>
    <row r="53" spans="2:23">
      <c r="S53" s="151"/>
      <c r="T53" s="151"/>
      <c r="U53" s="151"/>
      <c r="V53" s="151"/>
      <c r="W53" s="151"/>
    </row>
    <row r="54" spans="2:23">
      <c r="S54" s="151"/>
      <c r="T54" s="151"/>
      <c r="U54" s="151"/>
      <c r="V54" s="151"/>
      <c r="W54" s="151"/>
    </row>
    <row r="55" spans="2:23">
      <c r="S55" s="151"/>
      <c r="T55" s="151"/>
      <c r="U55" s="151"/>
      <c r="V55" s="151"/>
      <c r="W55" s="151"/>
    </row>
    <row r="56" spans="2:23">
      <c r="B56" s="151"/>
      <c r="C56" s="151"/>
      <c r="D56" s="151"/>
      <c r="E56" s="151"/>
      <c r="F56" s="151"/>
      <c r="G56" s="151"/>
      <c r="H56" s="151"/>
      <c r="I56" s="151"/>
      <c r="J56" s="151"/>
      <c r="K56" s="151"/>
      <c r="L56" s="151"/>
      <c r="M56" s="151"/>
      <c r="N56" s="151"/>
      <c r="O56" s="151"/>
      <c r="P56" s="151"/>
      <c r="Q56" s="151"/>
      <c r="R56" s="151"/>
      <c r="S56" s="151"/>
      <c r="T56" s="151"/>
      <c r="U56" s="151"/>
      <c r="V56" s="151"/>
      <c r="W56" s="151"/>
    </row>
  </sheetData>
  <mergeCells count="2">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L50"/>
  <sheetViews>
    <sheetView showGridLines="0" view="pageBreakPreview" zoomScale="85" zoomScaleNormal="100" zoomScaleSheetLayoutView="85" workbookViewId="0">
      <selection activeCell="O35" sqref="O35"/>
    </sheetView>
  </sheetViews>
  <sheetFormatPr baseColWidth="10" defaultColWidth="11.42578125" defaultRowHeight="15"/>
  <cols>
    <col min="1" max="1" width="15.5703125" style="59" customWidth="1"/>
    <col min="2" max="2" width="17.28515625" style="59" customWidth="1"/>
    <col min="3" max="3" width="19" style="59" customWidth="1"/>
    <col min="4" max="4" width="15.5703125" style="59" customWidth="1"/>
    <col min="5" max="5" width="16.85546875" style="59" customWidth="1"/>
    <col min="6" max="6" width="20.7109375" style="59" customWidth="1"/>
    <col min="7" max="7" width="18.28515625" style="59" customWidth="1"/>
    <col min="8" max="8" width="17.5703125" style="59" customWidth="1"/>
    <col min="9" max="9" width="17.42578125" style="59" customWidth="1"/>
    <col min="10" max="10" width="19.28515625" style="59" customWidth="1"/>
    <col min="11" max="11" width="14.42578125" style="59" customWidth="1"/>
    <col min="12" max="16384" width="11.42578125" style="59"/>
  </cols>
  <sheetData>
    <row r="1" spans="1:12" s="128" customFormat="1" ht="81.75" customHeight="1">
      <c r="A1" s="2293" t="s">
        <v>1992</v>
      </c>
      <c r="B1" s="2293"/>
      <c r="C1" s="2293"/>
      <c r="D1" s="2293"/>
      <c r="E1" s="2293"/>
      <c r="F1" s="2293"/>
      <c r="G1" s="2293"/>
      <c r="H1" s="2293"/>
      <c r="I1" s="2293"/>
      <c r="J1" s="2293"/>
      <c r="K1" s="2293"/>
      <c r="L1" s="2293"/>
    </row>
    <row r="2" spans="1:12" s="128" customFormat="1" ht="3.75" customHeight="1"/>
    <row r="3" spans="1:12" s="128" customFormat="1" ht="39.75" customHeight="1">
      <c r="A3" s="1772" t="s">
        <v>520</v>
      </c>
      <c r="B3" s="1752" t="s">
        <v>736</v>
      </c>
      <c r="C3" s="1752" t="s">
        <v>519</v>
      </c>
      <c r="D3" s="1772" t="s">
        <v>152</v>
      </c>
      <c r="E3" s="1752" t="s">
        <v>518</v>
      </c>
      <c r="F3" s="1752" t="s">
        <v>760</v>
      </c>
    </row>
    <row r="4" spans="1:12" s="128" customFormat="1" ht="18.75" hidden="1">
      <c r="A4" s="1773">
        <v>2004</v>
      </c>
      <c r="B4" s="1774">
        <v>2645</v>
      </c>
      <c r="C4" s="1774">
        <v>2</v>
      </c>
      <c r="D4" s="1792">
        <v>2647</v>
      </c>
      <c r="E4" s="2044">
        <f t="shared" ref="E4:E12" si="0">B4/D4</f>
        <v>0.99924442765394783</v>
      </c>
      <c r="F4" s="2044">
        <f t="shared" ref="F4:F11" si="1">C4/D4</f>
        <v>7.5557234605213447E-4</v>
      </c>
    </row>
    <row r="5" spans="1:12" s="128" customFormat="1" ht="18.75">
      <c r="A5" s="1775">
        <v>2005</v>
      </c>
      <c r="B5" s="1774">
        <v>3719</v>
      </c>
      <c r="C5" s="1774">
        <v>12</v>
      </c>
      <c r="D5" s="1792">
        <v>3731</v>
      </c>
      <c r="E5" s="2044">
        <f t="shared" si="0"/>
        <v>0.99678370410077732</v>
      </c>
      <c r="F5" s="2044">
        <f t="shared" si="1"/>
        <v>3.2162958992227285E-3</v>
      </c>
    </row>
    <row r="6" spans="1:12" s="128" customFormat="1" ht="18.75">
      <c r="A6" s="1773">
        <v>2006</v>
      </c>
      <c r="B6" s="1774">
        <v>5483</v>
      </c>
      <c r="C6" s="1774">
        <v>52</v>
      </c>
      <c r="D6" s="1792">
        <v>5535</v>
      </c>
      <c r="E6" s="2044">
        <f t="shared" si="0"/>
        <v>0.9906052393857272</v>
      </c>
      <c r="F6" s="2044">
        <f t="shared" si="1"/>
        <v>9.39476061427281E-3</v>
      </c>
    </row>
    <row r="7" spans="1:12" s="128" customFormat="1" ht="18.75">
      <c r="A7" s="1775">
        <v>2007</v>
      </c>
      <c r="B7" s="1774">
        <v>8459</v>
      </c>
      <c r="C7" s="1774">
        <v>85</v>
      </c>
      <c r="D7" s="1792">
        <v>8544</v>
      </c>
      <c r="E7" s="2044">
        <f t="shared" si="0"/>
        <v>0.99005149812734083</v>
      </c>
      <c r="F7" s="2044">
        <f t="shared" si="1"/>
        <v>9.948501872659176E-3</v>
      </c>
    </row>
    <row r="8" spans="1:12" s="128" customFormat="1" ht="18.75">
      <c r="A8" s="1773">
        <v>2008</v>
      </c>
      <c r="B8" s="1776">
        <v>10873</v>
      </c>
      <c r="C8" s="1776">
        <v>104</v>
      </c>
      <c r="D8" s="1792">
        <v>10977</v>
      </c>
      <c r="E8" s="2045">
        <f t="shared" si="0"/>
        <v>0.99052564452947067</v>
      </c>
      <c r="F8" s="2045">
        <f t="shared" si="1"/>
        <v>9.4743554705292877E-3</v>
      </c>
    </row>
    <row r="9" spans="1:12" s="128" customFormat="1" ht="18.75">
      <c r="A9" s="1775">
        <v>2009</v>
      </c>
      <c r="B9" s="1776">
        <v>14386</v>
      </c>
      <c r="C9" s="1776">
        <v>297</v>
      </c>
      <c r="D9" s="1792">
        <v>14683</v>
      </c>
      <c r="E9" s="2045">
        <f t="shared" si="0"/>
        <v>0.97977252605053466</v>
      </c>
      <c r="F9" s="2045">
        <f t="shared" si="1"/>
        <v>2.0227473949465367E-2</v>
      </c>
    </row>
    <row r="10" spans="1:12" s="128" customFormat="1" ht="18.75">
      <c r="A10" s="1773">
        <v>2010</v>
      </c>
      <c r="B10" s="1776">
        <v>17051</v>
      </c>
      <c r="C10" s="1776">
        <v>405</v>
      </c>
      <c r="D10" s="1792">
        <v>17456</v>
      </c>
      <c r="E10" s="2046">
        <f t="shared" si="0"/>
        <v>0.97679880843263056</v>
      </c>
      <c r="F10" s="2046">
        <f t="shared" si="1"/>
        <v>2.3201191567369387E-2</v>
      </c>
    </row>
    <row r="11" spans="1:12" s="128" customFormat="1" ht="18.75">
      <c r="A11" s="1773">
        <v>2011</v>
      </c>
      <c r="B11" s="1776">
        <v>22120</v>
      </c>
      <c r="C11" s="1776">
        <v>477</v>
      </c>
      <c r="D11" s="1792">
        <v>22597</v>
      </c>
      <c r="E11" s="2046">
        <f t="shared" si="0"/>
        <v>0.97889100323051736</v>
      </c>
      <c r="F11" s="2046">
        <f t="shared" si="1"/>
        <v>2.1108996769482673E-2</v>
      </c>
      <c r="K11" s="28"/>
    </row>
    <row r="12" spans="1:12" s="128" customFormat="1" ht="18.75">
      <c r="A12" s="1773" t="s">
        <v>1058</v>
      </c>
      <c r="B12" s="1776">
        <v>26233</v>
      </c>
      <c r="C12" s="1776">
        <v>455</v>
      </c>
      <c r="D12" s="1792">
        <f>+B12+C12</f>
        <v>26688</v>
      </c>
      <c r="E12" s="2046">
        <f t="shared" si="0"/>
        <v>0.982951139088729</v>
      </c>
      <c r="F12" s="2046">
        <f>C12/D12</f>
        <v>1.7048860911270985E-2</v>
      </c>
      <c r="K12" s="28"/>
    </row>
    <row r="13" spans="1:12" s="128" customFormat="1" ht="18.75">
      <c r="A13" s="1773" t="s">
        <v>1643</v>
      </c>
      <c r="B13" s="1776">
        <v>28246</v>
      </c>
      <c r="C13" s="1776">
        <v>389</v>
      </c>
      <c r="D13" s="1792">
        <f>+B13+C13</f>
        <v>28635</v>
      </c>
      <c r="E13" s="2046">
        <f>B13/D13</f>
        <v>0.98641522612187882</v>
      </c>
      <c r="F13" s="2046">
        <f>C13/D13</f>
        <v>1.358477387812118E-2</v>
      </c>
      <c r="K13" s="28"/>
    </row>
    <row r="14" spans="1:12" s="128" customFormat="1" ht="18.75">
      <c r="A14" s="1773" t="s">
        <v>1907</v>
      </c>
      <c r="B14" s="1776">
        <v>30630</v>
      </c>
      <c r="C14" s="1776">
        <v>402</v>
      </c>
      <c r="D14" s="1792">
        <f>+B14+C14</f>
        <v>31032</v>
      </c>
      <c r="E14" s="2046">
        <f>B14/D14</f>
        <v>0.98704563031709203</v>
      </c>
      <c r="F14" s="2046">
        <f>C14/D14</f>
        <v>1.2954369682907967E-2</v>
      </c>
      <c r="K14" s="28"/>
    </row>
    <row r="15" spans="1:12" s="128" customFormat="1" ht="18.75">
      <c r="A15" s="1777" t="s">
        <v>23</v>
      </c>
      <c r="B15" s="1778">
        <f>SUM(B5:B14)</f>
        <v>167200</v>
      </c>
      <c r="C15" s="1778">
        <f>SUM(C5:C14)</f>
        <v>2678</v>
      </c>
      <c r="D15" s="1778">
        <f>SUM(D5:D14)</f>
        <v>169878</v>
      </c>
      <c r="E15" s="1779">
        <f>AVERAGE(E5:E14)</f>
        <v>0.98598404193847</v>
      </c>
      <c r="F15" s="1779">
        <f>AVERAGE(F5:F14)</f>
        <v>1.4015958061530156E-2</v>
      </c>
      <c r="K15" s="28"/>
    </row>
    <row r="16" spans="1:12" s="128" customFormat="1">
      <c r="K16" s="59"/>
    </row>
    <row r="17" spans="11:12" s="128" customFormat="1">
      <c r="K17" s="59"/>
    </row>
    <row r="18" spans="11:12" s="128" customFormat="1">
      <c r="K18" s="28"/>
    </row>
    <row r="19" spans="11:12" s="128" customFormat="1">
      <c r="K19" s="28"/>
    </row>
    <row r="20" spans="11:12" s="128" customFormat="1">
      <c r="K20" s="28"/>
      <c r="L20" s="128" t="s">
        <v>252</v>
      </c>
    </row>
    <row r="21" spans="11:12" s="128" customFormat="1">
      <c r="K21" s="28"/>
    </row>
    <row r="22" spans="11:12" s="128" customFormat="1">
      <c r="K22" s="28"/>
    </row>
    <row r="23" spans="11:12" s="128" customFormat="1">
      <c r="K23" s="28"/>
    </row>
    <row r="24" spans="11:12" s="128" customFormat="1">
      <c r="K24" s="28"/>
    </row>
    <row r="25" spans="11:12" s="128" customFormat="1">
      <c r="K25" s="28"/>
    </row>
    <row r="26" spans="11:12" s="128" customFormat="1">
      <c r="K26" s="28"/>
    </row>
    <row r="27" spans="11:12" s="128" customFormat="1">
      <c r="K27" s="28"/>
    </row>
    <row r="28" spans="11:12" s="128" customFormat="1">
      <c r="K28" s="28"/>
    </row>
    <row r="29" spans="11:12" s="128" customFormat="1">
      <c r="K29" s="28"/>
    </row>
    <row r="30" spans="11:12" s="128" customFormat="1">
      <c r="K30" s="28"/>
    </row>
    <row r="31" spans="11:12" s="128" customFormat="1">
      <c r="K31" s="28"/>
    </row>
    <row r="32" spans="11:12" s="128" customFormat="1">
      <c r="K32" s="28"/>
    </row>
    <row r="33" spans="11:11" s="128" customFormat="1">
      <c r="K33" s="28"/>
    </row>
    <row r="34" spans="11:11" s="128" customFormat="1">
      <c r="K34" s="28"/>
    </row>
    <row r="35" spans="11:11" s="128" customFormat="1">
      <c r="K35" s="28"/>
    </row>
    <row r="36" spans="11:11" s="128" customFormat="1"/>
    <row r="37" spans="11:11" s="128" customFormat="1"/>
    <row r="38" spans="11:11" s="128" customFormat="1"/>
    <row r="39" spans="11:11" s="128" customFormat="1"/>
    <row r="40" spans="11:11" s="128" customFormat="1"/>
    <row r="41" spans="11:11" s="128" customFormat="1"/>
    <row r="42" spans="11:11" s="128" customFormat="1"/>
    <row r="43" spans="11:11" s="128" customFormat="1"/>
    <row r="44" spans="11:11" s="128" customFormat="1"/>
    <row r="45" spans="11:11" s="128" customFormat="1"/>
    <row r="46" spans="11:11" s="128" customFormat="1"/>
    <row r="47" spans="11:11" s="128" customFormat="1"/>
    <row r="48" spans="11:11" s="128" customFormat="1"/>
    <row r="49" s="128" customFormat="1"/>
    <row r="50" s="128" customFormat="1"/>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N50"/>
  <sheetViews>
    <sheetView showGridLines="0" view="pageBreakPreview" zoomScale="70" zoomScaleNormal="100" zoomScaleSheetLayoutView="70" workbookViewId="0">
      <pane ySplit="1" topLeftCell="A2" activePane="bottomLeft" state="frozen"/>
      <selection pane="bottomLeft" activeCell="H12" sqref="H12"/>
    </sheetView>
  </sheetViews>
  <sheetFormatPr baseColWidth="10" defaultColWidth="11.42578125" defaultRowHeight="15"/>
  <cols>
    <col min="1" max="1" width="16.28515625" style="59" customWidth="1"/>
    <col min="2" max="2" width="15.85546875" style="59" customWidth="1"/>
    <col min="3" max="3" width="21.85546875" style="59" customWidth="1"/>
    <col min="4" max="4" width="28.85546875" style="59" customWidth="1"/>
    <col min="5" max="5" width="18.85546875" style="59" customWidth="1"/>
    <col min="6" max="6" width="14.28515625" style="59" customWidth="1"/>
    <col min="7" max="7" width="13.140625" style="59" customWidth="1"/>
    <col min="8" max="8" width="17" style="59" customWidth="1"/>
    <col min="9" max="9" width="15.85546875" style="59" customWidth="1"/>
    <col min="10" max="10" width="15.5703125" style="59" customWidth="1"/>
    <col min="11" max="11" width="14.42578125" style="59" customWidth="1"/>
    <col min="12" max="12" width="14.28515625" style="59" customWidth="1"/>
    <col min="13" max="13" width="13.85546875" style="59" customWidth="1"/>
    <col min="14" max="16384" width="11.42578125" style="59"/>
  </cols>
  <sheetData>
    <row r="1" spans="1:14" s="128" customFormat="1" ht="81" customHeight="1">
      <c r="A1" s="2466" t="s">
        <v>1994</v>
      </c>
      <c r="B1" s="2467"/>
      <c r="C1" s="2467"/>
      <c r="D1" s="2467"/>
      <c r="E1" s="2467"/>
      <c r="F1" s="2467"/>
      <c r="G1" s="2467"/>
      <c r="H1" s="2467"/>
      <c r="I1" s="2467"/>
      <c r="J1" s="2468"/>
    </row>
    <row r="2" spans="1:14" s="128" customFormat="1" ht="167.25" customHeight="1">
      <c r="A2" s="2536" t="s">
        <v>1993</v>
      </c>
      <c r="B2" s="2536"/>
      <c r="C2" s="2536"/>
      <c r="D2" s="2536"/>
      <c r="E2" s="2536"/>
      <c r="F2" s="2536"/>
      <c r="G2" s="2536"/>
      <c r="H2" s="2536"/>
      <c r="I2" s="2536"/>
      <c r="J2" s="2536"/>
    </row>
    <row r="3" spans="1:14" s="128" customFormat="1" ht="50.25" customHeight="1">
      <c r="A3" s="1002" t="s">
        <v>0</v>
      </c>
      <c r="B3" s="1003" t="s">
        <v>526</v>
      </c>
      <c r="C3" s="1003" t="s">
        <v>737</v>
      </c>
      <c r="D3" s="1003" t="s">
        <v>525</v>
      </c>
      <c r="E3" s="1003" t="s">
        <v>524</v>
      </c>
      <c r="F3" s="148"/>
      <c r="G3" s="148"/>
      <c r="H3" s="148"/>
      <c r="I3" s="148"/>
      <c r="J3" s="148"/>
      <c r="K3" s="144"/>
    </row>
    <row r="4" spans="1:14" s="128" customFormat="1" ht="17.25" hidden="1" customHeight="1">
      <c r="A4" s="458" t="s">
        <v>523</v>
      </c>
      <c r="B4" s="170">
        <v>593286</v>
      </c>
      <c r="C4" s="170">
        <v>2647</v>
      </c>
      <c r="D4" s="1793">
        <f>C4/B4*$A$16</f>
        <v>446.15918798016475</v>
      </c>
      <c r="E4" s="193">
        <f t="shared" ref="E4:E11" si="0">C4/B4</f>
        <v>4.4615918798016473E-3</v>
      </c>
      <c r="F4" s="148"/>
      <c r="G4" s="148"/>
      <c r="H4" s="148"/>
      <c r="I4" s="148"/>
      <c r="J4" s="148"/>
      <c r="K4" s="144"/>
    </row>
    <row r="5" spans="1:14" s="128" customFormat="1" ht="15.75">
      <c r="A5" s="458" t="s">
        <v>522</v>
      </c>
      <c r="B5" s="170">
        <v>626615</v>
      </c>
      <c r="C5" s="170">
        <v>3731</v>
      </c>
      <c r="D5" s="1793">
        <f t="shared" ref="D5:D11" si="1">C5/B5*$A$16</f>
        <v>595.42143102223849</v>
      </c>
      <c r="E5" s="193">
        <f t="shared" si="0"/>
        <v>5.9542143102223853E-3</v>
      </c>
      <c r="F5" s="148"/>
      <c r="G5" s="148"/>
      <c r="I5" s="148"/>
      <c r="J5" s="148"/>
      <c r="K5" s="247"/>
      <c r="L5" s="247"/>
    </row>
    <row r="6" spans="1:14" s="128" customFormat="1" ht="15.75">
      <c r="A6" s="458" t="s">
        <v>521</v>
      </c>
      <c r="B6" s="170">
        <v>808496</v>
      </c>
      <c r="C6" s="170">
        <v>5535</v>
      </c>
      <c r="D6" s="1793">
        <f t="shared" si="1"/>
        <v>684.60450020779331</v>
      </c>
      <c r="E6" s="193">
        <f t="shared" si="0"/>
        <v>6.8460450020779327E-3</v>
      </c>
      <c r="F6" s="148"/>
      <c r="G6" s="148"/>
      <c r="H6" s="148"/>
      <c r="I6" s="148"/>
      <c r="J6" s="148"/>
    </row>
    <row r="7" spans="1:14" s="128" customFormat="1" ht="15.75">
      <c r="A7" s="458" t="s">
        <v>249</v>
      </c>
      <c r="B7" s="170">
        <v>913203</v>
      </c>
      <c r="C7" s="170">
        <v>8544</v>
      </c>
      <c r="D7" s="1793">
        <f t="shared" si="1"/>
        <v>935.60796449420332</v>
      </c>
      <c r="E7" s="193">
        <f t="shared" si="0"/>
        <v>9.3560796449420336E-3</v>
      </c>
      <c r="F7" s="148"/>
      <c r="G7" s="148"/>
      <c r="H7" s="148"/>
      <c r="I7" s="148" t="s">
        <v>36</v>
      </c>
      <c r="J7" s="148"/>
      <c r="N7" s="78"/>
    </row>
    <row r="8" spans="1:14" s="128" customFormat="1" ht="15.75">
      <c r="A8" s="458" t="s">
        <v>467</v>
      </c>
      <c r="B8" s="170">
        <v>992746</v>
      </c>
      <c r="C8" s="170">
        <v>10977</v>
      </c>
      <c r="D8" s="1793">
        <f t="shared" si="1"/>
        <v>1105.7208994042787</v>
      </c>
      <c r="E8" s="193">
        <f t="shared" si="0"/>
        <v>1.1057208994042786E-2</v>
      </c>
      <c r="F8" s="148"/>
      <c r="G8" s="148"/>
      <c r="H8" s="148"/>
      <c r="I8" s="148"/>
      <c r="J8" s="148"/>
      <c r="N8" s="78"/>
    </row>
    <row r="9" spans="1:14" s="128" customFormat="1" ht="15.75">
      <c r="A9" s="458" t="s">
        <v>468</v>
      </c>
      <c r="B9" s="170">
        <v>1084705</v>
      </c>
      <c r="C9" s="170">
        <v>14683</v>
      </c>
      <c r="D9" s="1793">
        <f t="shared" si="1"/>
        <v>1353.6399297504852</v>
      </c>
      <c r="E9" s="193">
        <f t="shared" si="0"/>
        <v>1.3536399297504852E-2</v>
      </c>
      <c r="F9" s="148"/>
      <c r="G9" s="148"/>
      <c r="H9" s="148"/>
      <c r="I9" s="148"/>
      <c r="J9" s="148"/>
      <c r="N9" s="78"/>
    </row>
    <row r="10" spans="1:14" s="128" customFormat="1" ht="15.75">
      <c r="A10" s="884" t="s">
        <v>360</v>
      </c>
      <c r="B10" s="885">
        <v>1183463</v>
      </c>
      <c r="C10" s="885">
        <v>17456</v>
      </c>
      <c r="D10" s="1794">
        <f t="shared" si="1"/>
        <v>1474.9933035506815</v>
      </c>
      <c r="E10" s="886">
        <f t="shared" si="0"/>
        <v>1.4749933035506814E-2</v>
      </c>
      <c r="F10" s="148"/>
      <c r="G10" s="148"/>
      <c r="H10" s="148"/>
      <c r="I10" s="148"/>
      <c r="J10" s="148"/>
      <c r="N10" s="78"/>
    </row>
    <row r="11" spans="1:14" s="128" customFormat="1" ht="15.75">
      <c r="A11" s="884" t="s">
        <v>469</v>
      </c>
      <c r="B11" s="885">
        <v>1367790</v>
      </c>
      <c r="C11" s="885">
        <v>22597</v>
      </c>
      <c r="D11" s="1794">
        <f t="shared" si="1"/>
        <v>1652.0810943200345</v>
      </c>
      <c r="E11" s="886">
        <f t="shared" si="0"/>
        <v>1.6520810943200345E-2</v>
      </c>
      <c r="F11" s="148"/>
      <c r="G11" s="148"/>
      <c r="H11" s="148"/>
      <c r="I11" s="148"/>
      <c r="J11" s="148"/>
      <c r="K11" s="28"/>
      <c r="N11" s="78"/>
    </row>
    <row r="12" spans="1:14" s="128" customFormat="1" ht="15.75">
      <c r="A12" s="887" t="s">
        <v>1058</v>
      </c>
      <c r="B12" s="888">
        <v>1430273</v>
      </c>
      <c r="C12" s="888">
        <f>+'VI.3.1 NA. Reportes ARL'!D12</f>
        <v>26688</v>
      </c>
      <c r="D12" s="1795">
        <f>C12/B12*$A$16</f>
        <v>1865.9374818653503</v>
      </c>
      <c r="E12" s="889">
        <f>C12/B12</f>
        <v>1.8659374818653502E-2</v>
      </c>
      <c r="F12" s="148"/>
      <c r="G12" s="148"/>
      <c r="H12" s="148"/>
      <c r="I12" s="148"/>
      <c r="J12" s="148"/>
      <c r="K12" s="28"/>
      <c r="N12" s="78"/>
    </row>
    <row r="13" spans="1:14" s="128" customFormat="1" ht="15.75">
      <c r="A13" s="887" t="s">
        <v>1643</v>
      </c>
      <c r="B13" s="888">
        <v>1530322</v>
      </c>
      <c r="C13" s="888">
        <v>28635</v>
      </c>
      <c r="D13" s="1795">
        <f>C13/B13*$A$16</f>
        <v>1871.174824644748</v>
      </c>
      <c r="E13" s="889">
        <f>C13/B13</f>
        <v>1.8711748246447481E-2</v>
      </c>
      <c r="F13" s="148"/>
      <c r="G13" s="148"/>
      <c r="H13" s="148"/>
      <c r="I13" s="148"/>
      <c r="J13" s="148"/>
      <c r="K13" s="28"/>
      <c r="N13" s="78"/>
    </row>
    <row r="14" spans="1:14" s="128" customFormat="1" ht="15.75">
      <c r="A14" s="887" t="s">
        <v>1907</v>
      </c>
      <c r="B14" s="888">
        <f>+'VI.1.1 Afil. SRL'!D10</f>
        <v>1651202</v>
      </c>
      <c r="C14" s="888">
        <f>+'VI.3.1 NA. Reportes ARL'!D14</f>
        <v>31032</v>
      </c>
      <c r="D14" s="1795">
        <f>C14/B14*$A$16</f>
        <v>1879.3581887618836</v>
      </c>
      <c r="E14" s="889">
        <f>C14/B14</f>
        <v>1.8793581887618836E-2</v>
      </c>
      <c r="F14" s="148"/>
      <c r="G14" s="148"/>
      <c r="H14" s="148"/>
      <c r="I14" s="148"/>
      <c r="J14" s="148"/>
      <c r="K14" s="28"/>
      <c r="N14" s="78"/>
    </row>
    <row r="15" spans="1:14" s="128" customFormat="1" ht="17.25" customHeight="1">
      <c r="A15" s="1004" t="s">
        <v>23</v>
      </c>
      <c r="B15" s="1005"/>
      <c r="C15" s="1005">
        <f>SUM(C5:C14)</f>
        <v>169878</v>
      </c>
      <c r="D15" s="1005"/>
      <c r="E15" s="1006">
        <f>AVERAGE(E4:E14)</f>
        <v>1.2604271641819875E-2</v>
      </c>
      <c r="F15" s="148"/>
      <c r="G15" s="148"/>
      <c r="H15" s="148"/>
      <c r="I15" s="148"/>
      <c r="J15" s="148"/>
      <c r="K15" s="28"/>
      <c r="N15" s="78"/>
    </row>
    <row r="16" spans="1:14" s="128" customFormat="1" ht="15.75">
      <c r="A16" s="467">
        <v>100000</v>
      </c>
      <c r="B16" s="148"/>
      <c r="C16" s="148"/>
      <c r="D16" s="148"/>
      <c r="E16" s="148"/>
      <c r="F16" s="148"/>
      <c r="G16" s="148"/>
      <c r="H16" s="148"/>
      <c r="I16" s="148"/>
      <c r="J16" s="148"/>
      <c r="K16" s="59"/>
      <c r="N16" s="78"/>
    </row>
    <row r="17" spans="1:14" s="128" customFormat="1">
      <c r="A17" s="148"/>
      <c r="B17" s="148"/>
      <c r="C17" s="148"/>
      <c r="D17" s="148"/>
      <c r="E17" s="148"/>
      <c r="F17" s="148"/>
      <c r="G17" s="148"/>
      <c r="H17" s="148"/>
      <c r="I17" s="148"/>
      <c r="J17" s="148"/>
      <c r="K17" s="59"/>
      <c r="N17" s="78"/>
    </row>
    <row r="18" spans="1:14" s="128" customFormat="1">
      <c r="A18" s="148"/>
      <c r="B18" s="148"/>
      <c r="C18" s="148"/>
      <c r="D18" s="148"/>
      <c r="E18" s="148"/>
      <c r="F18" s="148"/>
      <c r="G18" s="148"/>
      <c r="H18" s="148"/>
      <c r="I18" s="148"/>
      <c r="J18" s="148"/>
      <c r="K18" s="28"/>
      <c r="L18" s="28"/>
      <c r="N18" s="78"/>
    </row>
    <row r="19" spans="1:14" s="128" customFormat="1">
      <c r="A19" s="148"/>
      <c r="B19" s="148"/>
      <c r="C19" s="148"/>
      <c r="D19" s="148"/>
      <c r="E19" s="148"/>
      <c r="F19" s="148"/>
      <c r="G19" s="148"/>
      <c r="H19" s="148"/>
      <c r="I19" s="148"/>
      <c r="J19" s="148"/>
      <c r="K19" s="28"/>
      <c r="L19" s="28"/>
    </row>
    <row r="20" spans="1:14" s="128" customFormat="1">
      <c r="A20" s="148"/>
      <c r="B20" s="148"/>
      <c r="C20" s="148"/>
      <c r="D20" s="148"/>
      <c r="E20" s="148"/>
      <c r="F20" s="148"/>
      <c r="G20" s="148"/>
      <c r="H20" s="148"/>
      <c r="I20" s="148"/>
      <c r="J20" s="148"/>
      <c r="K20" s="28"/>
      <c r="L20" s="28"/>
      <c r="N20" s="385"/>
    </row>
    <row r="21" spans="1:14" s="128" customFormat="1">
      <c r="A21" s="148"/>
      <c r="B21" s="148"/>
      <c r="C21" s="148"/>
      <c r="D21" s="148"/>
      <c r="E21" s="148"/>
      <c r="F21" s="148"/>
      <c r="G21" s="148"/>
      <c r="H21" s="148"/>
      <c r="I21" s="148"/>
      <c r="J21" s="148"/>
      <c r="K21" s="28"/>
      <c r="L21" s="28"/>
    </row>
    <row r="22" spans="1:14" s="128" customFormat="1">
      <c r="A22" s="148"/>
      <c r="B22" s="148"/>
      <c r="C22" s="148"/>
      <c r="D22" s="148"/>
      <c r="E22" s="148"/>
      <c r="F22" s="148"/>
      <c r="G22" s="148"/>
      <c r="H22" s="148"/>
      <c r="I22" s="148"/>
      <c r="J22" s="148"/>
      <c r="K22" s="28"/>
      <c r="L22" s="22"/>
    </row>
    <row r="23" spans="1:14" s="128" customFormat="1">
      <c r="A23" s="148"/>
      <c r="B23" s="148"/>
      <c r="C23" s="148"/>
      <c r="D23" s="148"/>
      <c r="E23" s="148"/>
      <c r="F23" s="148"/>
      <c r="G23" s="148"/>
      <c r="H23" s="148"/>
      <c r="I23" s="148"/>
      <c r="J23" s="148"/>
      <c r="K23" s="28"/>
      <c r="L23" s="28"/>
    </row>
    <row r="24" spans="1:14" s="128" customFormat="1">
      <c r="A24" s="148"/>
      <c r="B24" s="148"/>
      <c r="C24" s="148"/>
      <c r="D24" s="148"/>
      <c r="E24" s="148"/>
      <c r="F24" s="148"/>
      <c r="G24" s="148"/>
      <c r="H24" s="148"/>
      <c r="I24" s="148"/>
      <c r="J24" s="148"/>
      <c r="K24" s="28"/>
      <c r="L24" s="28"/>
    </row>
    <row r="25" spans="1:14" s="128" customFormat="1">
      <c r="A25" s="148"/>
      <c r="B25" s="148"/>
      <c r="C25" s="148"/>
      <c r="D25" s="148"/>
      <c r="E25" s="148"/>
      <c r="F25" s="148"/>
      <c r="G25" s="148"/>
      <c r="H25" s="148"/>
      <c r="I25" s="148"/>
      <c r="J25" s="148"/>
      <c r="K25" s="28"/>
      <c r="L25" s="28"/>
    </row>
    <row r="26" spans="1:14" s="128" customFormat="1">
      <c r="A26" s="148"/>
      <c r="B26" s="148"/>
      <c r="C26" s="148"/>
      <c r="D26" s="148"/>
      <c r="E26" s="148"/>
      <c r="F26" s="148"/>
      <c r="G26" s="148"/>
      <c r="H26" s="148"/>
      <c r="I26" s="148"/>
      <c r="J26" s="148"/>
      <c r="K26" s="28"/>
      <c r="L26" s="28"/>
    </row>
    <row r="27" spans="1:14" s="128" customFormat="1">
      <c r="A27" s="148"/>
      <c r="B27" s="148"/>
      <c r="C27" s="148"/>
      <c r="D27" s="148"/>
      <c r="E27" s="148"/>
      <c r="F27" s="148"/>
      <c r="G27" s="148"/>
      <c r="H27" s="148"/>
      <c r="I27" s="148"/>
      <c r="J27" s="148"/>
      <c r="K27" s="28"/>
      <c r="L27" s="28"/>
    </row>
    <row r="28" spans="1:14" s="128" customFormat="1">
      <c r="A28" s="148"/>
      <c r="B28" s="148"/>
      <c r="C28" s="148"/>
      <c r="D28" s="148"/>
      <c r="E28" s="148"/>
      <c r="F28" s="148"/>
      <c r="G28" s="148"/>
      <c r="H28" s="148"/>
      <c r="I28" s="148"/>
      <c r="J28" s="148"/>
      <c r="K28" s="28"/>
      <c r="L28" s="28"/>
      <c r="M28" s="22"/>
    </row>
    <row r="29" spans="1:14" s="128" customFormat="1">
      <c r="A29" s="148"/>
      <c r="B29" s="148"/>
      <c r="C29" s="148"/>
      <c r="D29" s="148"/>
      <c r="E29" s="148"/>
      <c r="F29" s="148"/>
      <c r="G29" s="148"/>
      <c r="H29" s="148"/>
      <c r="I29" s="148"/>
      <c r="J29" s="148"/>
      <c r="K29" s="28"/>
      <c r="L29" s="28"/>
    </row>
    <row r="30" spans="1:14" s="128" customFormat="1">
      <c r="A30" s="148"/>
      <c r="B30" s="148"/>
      <c r="C30" s="148"/>
      <c r="D30" s="148"/>
      <c r="E30" s="148"/>
      <c r="F30" s="148"/>
      <c r="G30" s="148"/>
      <c r="H30" s="148"/>
      <c r="I30" s="148"/>
      <c r="J30" s="148"/>
      <c r="K30" s="28"/>
      <c r="L30" s="28"/>
    </row>
    <row r="31" spans="1:14" s="128" customFormat="1">
      <c r="A31" s="148"/>
      <c r="B31" s="148"/>
      <c r="C31" s="148"/>
      <c r="D31" s="148"/>
      <c r="E31" s="148"/>
      <c r="F31" s="148"/>
      <c r="G31" s="148"/>
      <c r="H31" s="148"/>
      <c r="I31" s="148"/>
      <c r="J31" s="148"/>
      <c r="K31" s="28"/>
      <c r="L31" s="28"/>
    </row>
    <row r="32" spans="1:14" s="128" customFormat="1">
      <c r="A32" s="148"/>
      <c r="B32" s="148"/>
      <c r="C32" s="148"/>
      <c r="D32" s="148"/>
      <c r="E32" s="148"/>
      <c r="F32" s="148"/>
      <c r="G32" s="148"/>
      <c r="H32" s="148"/>
      <c r="I32" s="148"/>
      <c r="J32" s="148"/>
      <c r="K32" s="28"/>
      <c r="L32" s="28"/>
    </row>
    <row r="33" spans="1:12" s="128" customFormat="1">
      <c r="A33" s="148"/>
      <c r="B33" s="148"/>
      <c r="C33" s="148"/>
      <c r="D33" s="148"/>
      <c r="E33" s="148"/>
      <c r="F33" s="148"/>
      <c r="G33" s="148"/>
      <c r="H33" s="148"/>
      <c r="I33" s="148"/>
      <c r="J33" s="148"/>
      <c r="K33" s="28"/>
      <c r="L33" s="28"/>
    </row>
    <row r="34" spans="1:12" s="128" customFormat="1">
      <c r="A34" s="148"/>
      <c r="B34" s="148"/>
      <c r="C34" s="148"/>
      <c r="D34" s="148"/>
      <c r="E34" s="148"/>
      <c r="F34" s="148"/>
      <c r="G34" s="148"/>
      <c r="H34" s="148"/>
      <c r="I34" s="148"/>
      <c r="J34" s="148"/>
      <c r="K34" s="28"/>
      <c r="L34" s="28"/>
    </row>
    <row r="35" spans="1:12" s="128" customFormat="1">
      <c r="A35" s="148"/>
      <c r="B35" s="148"/>
      <c r="C35" s="148"/>
      <c r="D35" s="148"/>
      <c r="E35" s="148"/>
      <c r="F35" s="148"/>
      <c r="G35" s="148"/>
      <c r="H35" s="148"/>
      <c r="I35" s="148"/>
      <c r="J35" s="148"/>
      <c r="K35" s="28"/>
      <c r="L35" s="28"/>
    </row>
    <row r="36" spans="1:12" s="128" customFormat="1">
      <c r="A36" s="148"/>
      <c r="B36" s="148"/>
      <c r="C36" s="148"/>
      <c r="D36" s="148"/>
      <c r="E36" s="148"/>
      <c r="F36" s="148"/>
      <c r="G36" s="148"/>
      <c r="H36" s="148"/>
      <c r="I36" s="148"/>
      <c r="J36" s="148"/>
    </row>
    <row r="37" spans="1:12" s="128" customFormat="1">
      <c r="A37" s="148"/>
      <c r="B37" s="148"/>
      <c r="C37" s="148"/>
      <c r="D37" s="148"/>
      <c r="E37" s="148"/>
      <c r="F37" s="148"/>
      <c r="G37" s="148"/>
      <c r="H37" s="148"/>
      <c r="I37" s="148"/>
      <c r="J37" s="148"/>
    </row>
    <row r="38" spans="1:12" s="128" customFormat="1">
      <c r="A38" s="148"/>
      <c r="B38" s="148"/>
      <c r="C38" s="148"/>
      <c r="D38" s="148"/>
      <c r="E38" s="148"/>
      <c r="F38" s="148"/>
      <c r="G38" s="148"/>
      <c r="H38" s="148"/>
      <c r="I38" s="148"/>
      <c r="J38" s="148"/>
    </row>
    <row r="39" spans="1:12" s="128" customFormat="1">
      <c r="A39" s="148"/>
      <c r="B39" s="148"/>
      <c r="C39" s="148"/>
      <c r="D39" s="148"/>
      <c r="E39" s="148"/>
      <c r="F39" s="148"/>
      <c r="G39" s="148"/>
      <c r="H39" s="148"/>
      <c r="I39" s="148"/>
      <c r="J39" s="148"/>
    </row>
    <row r="40" spans="1:12" s="128" customFormat="1">
      <c r="A40" s="148"/>
      <c r="B40" s="148"/>
      <c r="C40" s="148"/>
      <c r="D40" s="148"/>
      <c r="E40" s="148"/>
      <c r="F40" s="148"/>
      <c r="G40" s="148"/>
      <c r="H40" s="148"/>
      <c r="I40" s="148"/>
      <c r="J40" s="148"/>
    </row>
    <row r="41" spans="1:12" s="128" customFormat="1">
      <c r="A41" s="148"/>
      <c r="B41" s="148"/>
      <c r="C41" s="148"/>
      <c r="D41" s="148"/>
      <c r="E41" s="148"/>
      <c r="F41" s="148"/>
      <c r="G41" s="148"/>
      <c r="H41" s="148"/>
      <c r="I41" s="148"/>
      <c r="J41" s="148"/>
    </row>
    <row r="42" spans="1:12" s="128" customFormat="1">
      <c r="A42" s="148"/>
      <c r="B42" s="148"/>
      <c r="C42" s="148"/>
      <c r="D42" s="148"/>
      <c r="E42" s="148"/>
      <c r="F42" s="148"/>
      <c r="G42" s="148"/>
      <c r="H42" s="148"/>
      <c r="I42" s="148"/>
      <c r="J42" s="148"/>
    </row>
    <row r="43" spans="1:12" s="128" customFormat="1">
      <c r="A43" s="148"/>
      <c r="B43" s="148"/>
      <c r="C43" s="148"/>
      <c r="D43" s="148"/>
      <c r="E43" s="148"/>
      <c r="F43" s="148"/>
      <c r="G43" s="148"/>
      <c r="H43" s="148"/>
      <c r="I43" s="148"/>
      <c r="J43" s="148"/>
    </row>
    <row r="44" spans="1:12" s="128" customFormat="1">
      <c r="A44" s="148"/>
      <c r="B44" s="148"/>
      <c r="C44" s="148"/>
      <c r="D44" s="148"/>
      <c r="E44" s="148"/>
      <c r="F44" s="148"/>
      <c r="G44" s="148"/>
      <c r="H44" s="148"/>
      <c r="I44" s="148"/>
      <c r="J44" s="148"/>
    </row>
    <row r="45" spans="1:12" s="128" customFormat="1">
      <c r="A45" s="148"/>
      <c r="B45" s="148"/>
      <c r="C45" s="148"/>
      <c r="D45" s="148"/>
      <c r="E45" s="148"/>
      <c r="F45" s="148"/>
      <c r="G45" s="148"/>
      <c r="H45" s="148"/>
      <c r="I45" s="148"/>
      <c r="J45" s="148"/>
    </row>
    <row r="46" spans="1:12" s="128" customFormat="1"/>
    <row r="47" spans="1:12" s="128" customFormat="1"/>
    <row r="48" spans="1:12" s="128" customFormat="1"/>
    <row r="49" s="128" customFormat="1"/>
    <row r="50" s="128"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T50"/>
  <sheetViews>
    <sheetView showGridLines="0" view="pageBreakPreview" zoomScale="70" zoomScaleNormal="100" zoomScaleSheetLayoutView="70" workbookViewId="0">
      <pane ySplit="1" topLeftCell="A2" activePane="bottomLeft" state="frozen"/>
      <selection pane="bottomLeft" activeCell="X27" sqref="X27"/>
    </sheetView>
  </sheetViews>
  <sheetFormatPr baseColWidth="10" defaultColWidth="11.42578125" defaultRowHeight="15"/>
  <cols>
    <col min="1" max="1" width="13.5703125" style="59" customWidth="1"/>
    <col min="2" max="2" width="10.28515625" style="59" customWidth="1"/>
    <col min="3" max="3" width="9.42578125" style="59" customWidth="1"/>
    <col min="4" max="4" width="9.7109375" style="59" bestFit="1" customWidth="1"/>
    <col min="5" max="5" width="8.85546875" style="59" customWidth="1"/>
    <col min="6" max="6" width="8.7109375" style="59" customWidth="1"/>
    <col min="7" max="7" width="9.28515625" style="59" customWidth="1"/>
    <col min="8" max="8" width="8.28515625" style="59" customWidth="1"/>
    <col min="9" max="9" width="10.28515625" style="59" customWidth="1"/>
    <col min="10" max="10" width="8.5703125" style="59" hidden="1" customWidth="1"/>
    <col min="11" max="11" width="11.140625" style="59" customWidth="1"/>
    <col min="12" max="13" width="10.42578125" style="59" customWidth="1"/>
    <col min="14" max="14" width="10.7109375" style="59" customWidth="1"/>
    <col min="15" max="15" width="10.42578125" style="59" customWidth="1"/>
    <col min="16" max="16" width="10.7109375" style="59" customWidth="1"/>
    <col min="17" max="18" width="10.28515625" style="59" customWidth="1"/>
    <col min="19" max="19" width="10.140625" style="59" customWidth="1"/>
    <col min="20" max="20" width="10.28515625" style="59" customWidth="1"/>
    <col min="21" max="21" width="3.7109375" style="59" customWidth="1"/>
    <col min="22" max="22" width="5.140625" style="59" customWidth="1"/>
    <col min="23" max="23" width="6.28515625" style="59" customWidth="1"/>
    <col min="24" max="36" width="24.5703125" style="59" customWidth="1"/>
    <col min="37" max="16384" width="11.42578125" style="59"/>
  </cols>
  <sheetData>
    <row r="1" spans="1:20" s="128" customFormat="1" ht="68.25" customHeight="1">
      <c r="A1" s="2537" t="s">
        <v>1995</v>
      </c>
      <c r="B1" s="2537"/>
      <c r="C1" s="2537"/>
      <c r="D1" s="2537"/>
      <c r="E1" s="2537"/>
      <c r="F1" s="2537"/>
      <c r="G1" s="2537"/>
      <c r="H1" s="2537"/>
      <c r="I1" s="2537"/>
      <c r="J1" s="2537"/>
      <c r="K1" s="2537"/>
      <c r="L1" s="2537"/>
      <c r="M1" s="2537"/>
      <c r="N1" s="2537"/>
      <c r="O1" s="2537"/>
      <c r="P1" s="2537"/>
      <c r="Q1" s="2537"/>
      <c r="R1" s="2537"/>
      <c r="S1" s="2537"/>
      <c r="T1" s="2537"/>
    </row>
    <row r="2" spans="1:20" s="128" customFormat="1" ht="3.75" customHeight="1">
      <c r="A2" s="2538"/>
      <c r="B2" s="2538"/>
      <c r="C2" s="2538"/>
      <c r="D2" s="2538"/>
      <c r="E2" s="2538"/>
      <c r="F2" s="2538"/>
      <c r="G2" s="2538"/>
      <c r="H2" s="2538"/>
      <c r="I2" s="2538"/>
      <c r="J2" s="2538"/>
      <c r="K2" s="2538"/>
      <c r="L2" s="2538"/>
      <c r="M2" s="2538"/>
      <c r="N2" s="2538"/>
      <c r="O2" s="2538"/>
      <c r="P2" s="2538"/>
      <c r="Q2" s="2538"/>
      <c r="R2" s="2538"/>
      <c r="S2" s="2538"/>
      <c r="T2" s="2539"/>
    </row>
    <row r="3" spans="1:20" s="347" customFormat="1" ht="31.5">
      <c r="A3" s="562" t="s">
        <v>520</v>
      </c>
      <c r="B3" s="560" t="s">
        <v>545</v>
      </c>
      <c r="C3" s="560" t="s">
        <v>544</v>
      </c>
      <c r="D3" s="560" t="s">
        <v>543</v>
      </c>
      <c r="E3" s="560" t="s">
        <v>542</v>
      </c>
      <c r="F3" s="560" t="s">
        <v>541</v>
      </c>
      <c r="G3" s="560" t="s">
        <v>540</v>
      </c>
      <c r="H3" s="560" t="s">
        <v>539</v>
      </c>
      <c r="I3" s="560" t="s">
        <v>538</v>
      </c>
      <c r="J3" s="560" t="s">
        <v>537</v>
      </c>
      <c r="K3" s="560" t="s">
        <v>536</v>
      </c>
      <c r="L3" s="560" t="s">
        <v>535</v>
      </c>
      <c r="M3" s="560" t="s">
        <v>534</v>
      </c>
      <c r="N3" s="560" t="s">
        <v>533</v>
      </c>
      <c r="O3" s="560" t="s">
        <v>532</v>
      </c>
      <c r="P3" s="560" t="s">
        <v>531</v>
      </c>
      <c r="Q3" s="560" t="s">
        <v>530</v>
      </c>
      <c r="R3" s="560" t="s">
        <v>529</v>
      </c>
      <c r="S3" s="560" t="s">
        <v>528</v>
      </c>
      <c r="T3" s="560" t="s">
        <v>527</v>
      </c>
    </row>
    <row r="4" spans="1:20" s="128" customFormat="1" ht="17.25" hidden="1" customHeight="1">
      <c r="A4" s="791">
        <v>2004</v>
      </c>
      <c r="B4" s="170">
        <v>2644</v>
      </c>
      <c r="C4" s="170">
        <v>1</v>
      </c>
      <c r="D4" s="170">
        <v>1</v>
      </c>
      <c r="E4" s="170">
        <v>0</v>
      </c>
      <c r="F4" s="170">
        <v>0</v>
      </c>
      <c r="G4" s="170">
        <v>1</v>
      </c>
      <c r="H4" s="170">
        <v>0</v>
      </c>
      <c r="I4" s="170">
        <v>0</v>
      </c>
      <c r="J4" s="170">
        <v>0</v>
      </c>
      <c r="K4" s="561">
        <f t="shared" ref="K4:K11" si="0">SUM(B4:J4)</f>
        <v>2647</v>
      </c>
      <c r="L4" s="1962">
        <f t="shared" ref="L4:L11" si="1">B4/K4</f>
        <v>0.99886664148092175</v>
      </c>
      <c r="M4" s="1962">
        <f t="shared" ref="M4:M15" si="2">C4/K4</f>
        <v>3.7778617302606723E-4</v>
      </c>
      <c r="N4" s="1962">
        <f t="shared" ref="N4:N15" si="3">D4/K4</f>
        <v>3.7778617302606723E-4</v>
      </c>
      <c r="O4" s="1962">
        <f t="shared" ref="O4:O15" si="4">E4/K4</f>
        <v>0</v>
      </c>
      <c r="P4" s="1962">
        <f t="shared" ref="P4:P15" si="5">F4/K4</f>
        <v>0</v>
      </c>
      <c r="Q4" s="1962">
        <f t="shared" ref="Q4:Q15" si="6">G4/K4</f>
        <v>3.7778617302606723E-4</v>
      </c>
      <c r="R4" s="1962">
        <f t="shared" ref="R4:R15" si="7">H4/K4</f>
        <v>0</v>
      </c>
      <c r="S4" s="1962">
        <f t="shared" ref="S4:S15" si="8">I4/K4</f>
        <v>0</v>
      </c>
      <c r="T4" s="1962">
        <f t="shared" ref="T4:T15" si="9">J4/K4</f>
        <v>0</v>
      </c>
    </row>
    <row r="5" spans="1:20" s="128" customFormat="1" ht="15.75">
      <c r="A5" s="792">
        <v>2005</v>
      </c>
      <c r="B5" s="170">
        <v>3726</v>
      </c>
      <c r="C5" s="170">
        <v>1</v>
      </c>
      <c r="D5" s="170">
        <v>1</v>
      </c>
      <c r="E5" s="170">
        <v>0</v>
      </c>
      <c r="F5" s="170">
        <v>1</v>
      </c>
      <c r="G5" s="170">
        <v>2</v>
      </c>
      <c r="H5" s="170">
        <v>0</v>
      </c>
      <c r="I5" s="170">
        <v>0</v>
      </c>
      <c r="J5" s="170">
        <v>0</v>
      </c>
      <c r="K5" s="561">
        <f t="shared" si="0"/>
        <v>3731</v>
      </c>
      <c r="L5" s="1962">
        <f t="shared" si="1"/>
        <v>0.99865987670865719</v>
      </c>
      <c r="M5" s="1962">
        <f t="shared" si="2"/>
        <v>2.6802465826856071E-4</v>
      </c>
      <c r="N5" s="1962">
        <f t="shared" si="3"/>
        <v>2.6802465826856071E-4</v>
      </c>
      <c r="O5" s="1962">
        <f t="shared" si="4"/>
        <v>0</v>
      </c>
      <c r="P5" s="1962">
        <f t="shared" si="5"/>
        <v>2.6802465826856071E-4</v>
      </c>
      <c r="Q5" s="1962">
        <f t="shared" si="6"/>
        <v>5.3604931653712141E-4</v>
      </c>
      <c r="R5" s="1962">
        <f t="shared" si="7"/>
        <v>0</v>
      </c>
      <c r="S5" s="1962">
        <f t="shared" si="8"/>
        <v>0</v>
      </c>
      <c r="T5" s="1962">
        <f t="shared" si="9"/>
        <v>0</v>
      </c>
    </row>
    <row r="6" spans="1:20" s="128" customFormat="1" ht="15.75">
      <c r="A6" s="791">
        <v>2006</v>
      </c>
      <c r="B6" s="170">
        <v>5469</v>
      </c>
      <c r="C6" s="170">
        <v>10</v>
      </c>
      <c r="D6" s="170">
        <v>17</v>
      </c>
      <c r="E6" s="170">
        <v>2</v>
      </c>
      <c r="F6" s="170">
        <v>1</v>
      </c>
      <c r="G6" s="170">
        <v>23</v>
      </c>
      <c r="H6" s="170">
        <v>5</v>
      </c>
      <c r="I6" s="170">
        <v>8</v>
      </c>
      <c r="J6" s="170">
        <v>0</v>
      </c>
      <c r="K6" s="561">
        <f t="shared" si="0"/>
        <v>5535</v>
      </c>
      <c r="L6" s="1962">
        <f t="shared" si="1"/>
        <v>0.98807588075880759</v>
      </c>
      <c r="M6" s="1962">
        <f t="shared" si="2"/>
        <v>1.8066847335140017E-3</v>
      </c>
      <c r="N6" s="1962">
        <f t="shared" si="3"/>
        <v>3.0713640469738029E-3</v>
      </c>
      <c r="O6" s="1962">
        <f t="shared" si="4"/>
        <v>3.6133694670280038E-4</v>
      </c>
      <c r="P6" s="1962">
        <f t="shared" si="5"/>
        <v>1.8066847335140019E-4</v>
      </c>
      <c r="Q6" s="1962">
        <f t="shared" si="6"/>
        <v>4.1553748870822044E-3</v>
      </c>
      <c r="R6" s="1962">
        <f t="shared" si="7"/>
        <v>9.0334236675700087E-4</v>
      </c>
      <c r="S6" s="1962">
        <f t="shared" si="8"/>
        <v>1.4453477868112015E-3</v>
      </c>
      <c r="T6" s="1962">
        <f t="shared" si="9"/>
        <v>0</v>
      </c>
    </row>
    <row r="7" spans="1:20" s="128" customFormat="1" ht="15.75">
      <c r="A7" s="792">
        <v>2007</v>
      </c>
      <c r="B7" s="170">
        <v>5248</v>
      </c>
      <c r="C7" s="170">
        <v>259</v>
      </c>
      <c r="D7" s="170">
        <v>1131</v>
      </c>
      <c r="E7" s="170">
        <v>112</v>
      </c>
      <c r="F7" s="170">
        <v>54</v>
      </c>
      <c r="G7" s="170">
        <v>1402</v>
      </c>
      <c r="H7" s="170">
        <v>67</v>
      </c>
      <c r="I7" s="170">
        <v>271</v>
      </c>
      <c r="J7" s="170">
        <v>0</v>
      </c>
      <c r="K7" s="561">
        <f t="shared" si="0"/>
        <v>8544</v>
      </c>
      <c r="L7" s="1962">
        <f t="shared" si="1"/>
        <v>0.61423220973782766</v>
      </c>
      <c r="M7" s="1962">
        <f>C7/K7</f>
        <v>3.031367041198502E-2</v>
      </c>
      <c r="N7" s="1962">
        <f t="shared" si="3"/>
        <v>0.13237359550561797</v>
      </c>
      <c r="O7" s="1962">
        <f t="shared" si="4"/>
        <v>1.3108614232209739E-2</v>
      </c>
      <c r="P7" s="1962">
        <f t="shared" si="5"/>
        <v>6.3202247191011234E-3</v>
      </c>
      <c r="Q7" s="1962">
        <f t="shared" si="6"/>
        <v>0.16409176029962547</v>
      </c>
      <c r="R7" s="1962">
        <f t="shared" si="7"/>
        <v>7.8417602996254682E-3</v>
      </c>
      <c r="S7" s="1962">
        <f t="shared" si="8"/>
        <v>3.1718164794007492E-2</v>
      </c>
      <c r="T7" s="1962">
        <f t="shared" si="9"/>
        <v>0</v>
      </c>
    </row>
    <row r="8" spans="1:20" s="128" customFormat="1" ht="15.75">
      <c r="A8" s="791">
        <v>2008</v>
      </c>
      <c r="B8" s="170">
        <v>5249</v>
      </c>
      <c r="C8" s="170">
        <v>457</v>
      </c>
      <c r="D8" s="170">
        <v>2480</v>
      </c>
      <c r="E8" s="170">
        <v>167</v>
      </c>
      <c r="F8" s="170">
        <v>61</v>
      </c>
      <c r="G8" s="170">
        <v>2135</v>
      </c>
      <c r="H8" s="170">
        <v>47</v>
      </c>
      <c r="I8" s="170">
        <v>381</v>
      </c>
      <c r="J8" s="170">
        <v>0</v>
      </c>
      <c r="K8" s="561">
        <f t="shared" si="0"/>
        <v>10977</v>
      </c>
      <c r="L8" s="1962">
        <f t="shared" si="1"/>
        <v>0.47818165254623302</v>
      </c>
      <c r="M8" s="1962">
        <f t="shared" si="2"/>
        <v>4.1632504327229661E-2</v>
      </c>
      <c r="N8" s="1962">
        <f t="shared" si="3"/>
        <v>0.22592693814339074</v>
      </c>
      <c r="O8" s="1962">
        <f t="shared" si="4"/>
        <v>1.5213628495946069E-2</v>
      </c>
      <c r="P8" s="1962">
        <f t="shared" si="5"/>
        <v>5.5570738817527559E-3</v>
      </c>
      <c r="Q8" s="1962">
        <f t="shared" si="6"/>
        <v>0.19449758586134644</v>
      </c>
      <c r="R8" s="1962">
        <f t="shared" si="7"/>
        <v>4.2816798761045822E-3</v>
      </c>
      <c r="S8" s="1962">
        <f t="shared" si="8"/>
        <v>3.4708936867996719E-2</v>
      </c>
      <c r="T8" s="1962">
        <f t="shared" si="9"/>
        <v>0</v>
      </c>
    </row>
    <row r="9" spans="1:20" s="128" customFormat="1" ht="15.75">
      <c r="A9" s="792">
        <v>2009</v>
      </c>
      <c r="B9" s="170">
        <v>5951</v>
      </c>
      <c r="C9" s="170">
        <v>466</v>
      </c>
      <c r="D9" s="170">
        <v>3922</v>
      </c>
      <c r="E9" s="170">
        <v>308</v>
      </c>
      <c r="F9" s="170">
        <v>128</v>
      </c>
      <c r="G9" s="170">
        <v>2899</v>
      </c>
      <c r="H9" s="170">
        <v>159</v>
      </c>
      <c r="I9" s="170">
        <v>850</v>
      </c>
      <c r="J9" s="170">
        <v>0</v>
      </c>
      <c r="K9" s="561">
        <f t="shared" si="0"/>
        <v>14683</v>
      </c>
      <c r="L9" s="1962">
        <f t="shared" si="1"/>
        <v>0.40529864469113941</v>
      </c>
      <c r="M9" s="1962">
        <f t="shared" si="2"/>
        <v>3.1737383368521423E-2</v>
      </c>
      <c r="N9" s="1962">
        <f t="shared" si="3"/>
        <v>0.26711162568957297</v>
      </c>
      <c r="O9" s="1962">
        <f t="shared" si="4"/>
        <v>2.0976639651297417E-2</v>
      </c>
      <c r="P9" s="1962">
        <f t="shared" si="5"/>
        <v>8.7175645304093177E-3</v>
      </c>
      <c r="Q9" s="1962">
        <f t="shared" si="6"/>
        <v>0.19743921541919227</v>
      </c>
      <c r="R9" s="1962">
        <f t="shared" si="7"/>
        <v>1.0828849690117824E-2</v>
      </c>
      <c r="S9" s="1962">
        <f t="shared" si="8"/>
        <v>5.7890076959749369E-2</v>
      </c>
      <c r="T9" s="1962">
        <f t="shared" si="9"/>
        <v>0</v>
      </c>
    </row>
    <row r="10" spans="1:20" s="128" customFormat="1" ht="15.75">
      <c r="A10" s="791">
        <v>2010</v>
      </c>
      <c r="B10" s="170">
        <v>6247</v>
      </c>
      <c r="C10" s="170">
        <v>524</v>
      </c>
      <c r="D10" s="170">
        <v>4790</v>
      </c>
      <c r="E10" s="170">
        <v>428</v>
      </c>
      <c r="F10" s="170">
        <v>239</v>
      </c>
      <c r="G10" s="170">
        <v>3860</v>
      </c>
      <c r="H10" s="170">
        <v>234</v>
      </c>
      <c r="I10" s="170">
        <v>1134</v>
      </c>
      <c r="J10" s="170">
        <v>0</v>
      </c>
      <c r="K10" s="561">
        <f t="shared" si="0"/>
        <v>17456</v>
      </c>
      <c r="L10" s="1962">
        <f t="shared" si="1"/>
        <v>0.35787121906507791</v>
      </c>
      <c r="M10" s="1962">
        <f t="shared" si="2"/>
        <v>3.0018331805682859E-2</v>
      </c>
      <c r="N10" s="1962">
        <f t="shared" si="3"/>
        <v>0.27440421631530704</v>
      </c>
      <c r="O10" s="1962">
        <f t="shared" si="4"/>
        <v>2.451879010082493E-2</v>
      </c>
      <c r="P10" s="1962">
        <f t="shared" si="5"/>
        <v>1.3691567369385885E-2</v>
      </c>
      <c r="Q10" s="1962">
        <f t="shared" si="6"/>
        <v>0.22112740604949588</v>
      </c>
      <c r="R10" s="1962">
        <f t="shared" si="7"/>
        <v>1.3405132905591201E-2</v>
      </c>
      <c r="S10" s="1962">
        <f t="shared" si="8"/>
        <v>6.4963336388634274E-2</v>
      </c>
      <c r="T10" s="1962">
        <f t="shared" si="9"/>
        <v>0</v>
      </c>
    </row>
    <row r="11" spans="1:20" s="128" customFormat="1" ht="15.75">
      <c r="A11" s="791">
        <v>2011</v>
      </c>
      <c r="B11" s="170">
        <v>7512</v>
      </c>
      <c r="C11" s="170">
        <v>818</v>
      </c>
      <c r="D11" s="170">
        <v>6018</v>
      </c>
      <c r="E11" s="170">
        <v>681</v>
      </c>
      <c r="F11" s="170">
        <v>471</v>
      </c>
      <c r="G11" s="170">
        <v>5158</v>
      </c>
      <c r="H11" s="170">
        <v>364</v>
      </c>
      <c r="I11" s="170">
        <v>1575</v>
      </c>
      <c r="J11" s="170">
        <v>0</v>
      </c>
      <c r="K11" s="561">
        <f t="shared" si="0"/>
        <v>22597</v>
      </c>
      <c r="L11" s="1962">
        <f t="shared" si="1"/>
        <v>0.33243350887285922</v>
      </c>
      <c r="M11" s="1962">
        <f t="shared" si="2"/>
        <v>3.6199495508253306E-2</v>
      </c>
      <c r="N11" s="1962">
        <f t="shared" si="3"/>
        <v>0.26631853785900783</v>
      </c>
      <c r="O11" s="1962">
        <f t="shared" si="4"/>
        <v>3.0136743815550735E-2</v>
      </c>
      <c r="P11" s="1962">
        <f t="shared" si="5"/>
        <v>2.0843474797539497E-2</v>
      </c>
      <c r="Q11" s="1962">
        <f t="shared" si="6"/>
        <v>0.22826038854715228</v>
      </c>
      <c r="R11" s="1962">
        <f t="shared" si="7"/>
        <v>1.6108332964552816E-2</v>
      </c>
      <c r="S11" s="1962">
        <f t="shared" si="8"/>
        <v>6.9699517635084307E-2</v>
      </c>
      <c r="T11" s="1962">
        <f t="shared" si="9"/>
        <v>0</v>
      </c>
    </row>
    <row r="12" spans="1:20" s="128" customFormat="1" ht="15.75">
      <c r="A12" s="791" t="s">
        <v>1058</v>
      </c>
      <c r="B12" s="392">
        <v>8554</v>
      </c>
      <c r="C12" s="392">
        <v>1073</v>
      </c>
      <c r="D12" s="392">
        <v>7266</v>
      </c>
      <c r="E12" s="392">
        <v>925</v>
      </c>
      <c r="F12" s="392">
        <v>535</v>
      </c>
      <c r="G12" s="392">
        <v>5902</v>
      </c>
      <c r="H12" s="392">
        <v>474</v>
      </c>
      <c r="I12" s="392">
        <v>1959</v>
      </c>
      <c r="J12" s="392">
        <v>0</v>
      </c>
      <c r="K12" s="561">
        <f>SUM(B12:J12)</f>
        <v>26688</v>
      </c>
      <c r="L12" s="1962">
        <f>B12/K12</f>
        <v>0.32051858513189446</v>
      </c>
      <c r="M12" s="1962">
        <f>C12/K12</f>
        <v>4.0205335731414868E-2</v>
      </c>
      <c r="N12" s="1962">
        <f>D12/K12</f>
        <v>0.27225719424460432</v>
      </c>
      <c r="O12" s="1962">
        <f>E12/K12</f>
        <v>3.4659772182254196E-2</v>
      </c>
      <c r="P12" s="1962">
        <f>F12/K12</f>
        <v>2.0046462829736211E-2</v>
      </c>
      <c r="Q12" s="1962">
        <f>G12/K12</f>
        <v>0.2211480815347722</v>
      </c>
      <c r="R12" s="1962">
        <f>H12/K12</f>
        <v>1.7760791366906475E-2</v>
      </c>
      <c r="S12" s="1962">
        <f>I12/K12</f>
        <v>7.3403776978417268E-2</v>
      </c>
      <c r="T12" s="1962">
        <f>J12/K12</f>
        <v>0</v>
      </c>
    </row>
    <row r="13" spans="1:20" s="347" customFormat="1" ht="15.75">
      <c r="A13" s="791" t="s">
        <v>1643</v>
      </c>
      <c r="B13" s="885">
        <v>9093</v>
      </c>
      <c r="C13" s="885">
        <v>1147</v>
      </c>
      <c r="D13" s="885">
        <v>8256</v>
      </c>
      <c r="E13" s="885">
        <v>933</v>
      </c>
      <c r="F13" s="885">
        <v>584</v>
      </c>
      <c r="G13" s="885">
        <v>5913</v>
      </c>
      <c r="H13" s="885">
        <v>417</v>
      </c>
      <c r="I13" s="885">
        <v>2292</v>
      </c>
      <c r="J13" s="885">
        <v>0</v>
      </c>
      <c r="K13" s="561">
        <f>SUM(B13:J13)</f>
        <v>28635</v>
      </c>
      <c r="L13" s="1962">
        <f>B13/K13</f>
        <v>0.31754845468831849</v>
      </c>
      <c r="M13" s="1962">
        <f>C13/K13</f>
        <v>4.0055875676619522E-2</v>
      </c>
      <c r="N13" s="1962">
        <f>D13/K13</f>
        <v>0.28831849135673127</v>
      </c>
      <c r="O13" s="1962">
        <f>E13/K13</f>
        <v>3.2582503928758513E-2</v>
      </c>
      <c r="P13" s="1962">
        <f>F13/K13</f>
        <v>2.0394621966125372E-2</v>
      </c>
      <c r="Q13" s="1962">
        <f>G13/K13</f>
        <v>0.20649554740701939</v>
      </c>
      <c r="R13" s="1962">
        <f>H13/K13</f>
        <v>1.4562598218962807E-2</v>
      </c>
      <c r="S13" s="1962">
        <f>I13/K13</f>
        <v>8.0041906757464643E-2</v>
      </c>
      <c r="T13" s="1962">
        <f>J13/K13</f>
        <v>0</v>
      </c>
    </row>
    <row r="14" spans="1:20" s="128" customFormat="1" ht="15.75">
      <c r="A14" s="791" t="s">
        <v>1907</v>
      </c>
      <c r="B14" s="885">
        <v>10098</v>
      </c>
      <c r="C14" s="885">
        <v>1346</v>
      </c>
      <c r="D14" s="885">
        <v>8494</v>
      </c>
      <c r="E14" s="885">
        <v>1003</v>
      </c>
      <c r="F14" s="885">
        <v>627</v>
      </c>
      <c r="G14" s="885">
        <v>6354</v>
      </c>
      <c r="H14" s="885">
        <v>518</v>
      </c>
      <c r="I14" s="885">
        <v>2592</v>
      </c>
      <c r="J14" s="885">
        <v>0</v>
      </c>
      <c r="K14" s="561">
        <f>SUM(B14:J14)</f>
        <v>31032</v>
      </c>
      <c r="L14" s="1962">
        <f>B14/K14</f>
        <v>0.32540603248259858</v>
      </c>
      <c r="M14" s="1962">
        <f>C14/K14</f>
        <v>4.337458107759732E-2</v>
      </c>
      <c r="N14" s="1962">
        <f>D14/K14</f>
        <v>0.27371745295179167</v>
      </c>
      <c r="O14" s="1962">
        <f>E14/K14</f>
        <v>3.2321474606857435E-2</v>
      </c>
      <c r="P14" s="1962">
        <f>F14/K14</f>
        <v>2.0204949729311677E-2</v>
      </c>
      <c r="Q14" s="1962">
        <f>G14/K14</f>
        <v>0.20475638051044084</v>
      </c>
      <c r="R14" s="1962">
        <f>H14/K14</f>
        <v>1.6692446506831656E-2</v>
      </c>
      <c r="S14" s="1962">
        <f>I14/K14</f>
        <v>8.3526682134570762E-2</v>
      </c>
      <c r="T14" s="1962">
        <f>J14/K14</f>
        <v>0</v>
      </c>
    </row>
    <row r="15" spans="1:20" s="128" customFormat="1" ht="15.75">
      <c r="A15" s="562" t="s">
        <v>167</v>
      </c>
      <c r="B15" s="659">
        <f>SUM(B5:B14)</f>
        <v>67147</v>
      </c>
      <c r="C15" s="659">
        <f t="shared" ref="C15:K15" si="10">SUM(C5:C14)</f>
        <v>6101</v>
      </c>
      <c r="D15" s="659">
        <f t="shared" si="10"/>
        <v>42375</v>
      </c>
      <c r="E15" s="659">
        <f t="shared" si="10"/>
        <v>4559</v>
      </c>
      <c r="F15" s="659">
        <f t="shared" si="10"/>
        <v>2701</v>
      </c>
      <c r="G15" s="659">
        <f t="shared" si="10"/>
        <v>33648</v>
      </c>
      <c r="H15" s="659">
        <f t="shared" si="10"/>
        <v>2285</v>
      </c>
      <c r="I15" s="659">
        <f t="shared" si="10"/>
        <v>11062</v>
      </c>
      <c r="J15" s="659">
        <f t="shared" si="10"/>
        <v>0</v>
      </c>
      <c r="K15" s="659">
        <f t="shared" si="10"/>
        <v>169878</v>
      </c>
      <c r="L15" s="658">
        <f>B15/K15</f>
        <v>0.39526601443388787</v>
      </c>
      <c r="M15" s="658">
        <f t="shared" si="2"/>
        <v>3.591400887695876E-2</v>
      </c>
      <c r="N15" s="658">
        <f t="shared" si="3"/>
        <v>0.24944371843322855</v>
      </c>
      <c r="O15" s="658">
        <f t="shared" si="4"/>
        <v>2.6836906485831008E-2</v>
      </c>
      <c r="P15" s="658">
        <f t="shared" si="5"/>
        <v>1.5899645628038944E-2</v>
      </c>
      <c r="Q15" s="658">
        <f t="shared" si="6"/>
        <v>0.19807155723519232</v>
      </c>
      <c r="R15" s="658">
        <f t="shared" si="7"/>
        <v>1.3450829418759344E-2</v>
      </c>
      <c r="S15" s="658">
        <f t="shared" si="8"/>
        <v>6.5117319488103231E-2</v>
      </c>
      <c r="T15" s="658">
        <f t="shared" si="9"/>
        <v>0</v>
      </c>
    </row>
    <row r="16" spans="1:20" s="128" customFormat="1">
      <c r="K16" s="59"/>
    </row>
    <row r="17" spans="8:12" s="128" customFormat="1" ht="15.75">
      <c r="H17" s="386"/>
      <c r="K17" s="59"/>
    </row>
    <row r="18" spans="8:12" s="128" customFormat="1">
      <c r="K18" s="28"/>
    </row>
    <row r="19" spans="8:12" s="128" customFormat="1">
      <c r="K19" s="28"/>
    </row>
    <row r="20" spans="8:12" s="128" customFormat="1">
      <c r="K20" s="28"/>
      <c r="L20" s="28"/>
    </row>
    <row r="21" spans="8:12" s="128" customFormat="1">
      <c r="K21" s="28"/>
      <c r="L21" s="28"/>
    </row>
    <row r="22" spans="8:12" s="128" customFormat="1">
      <c r="K22" s="28"/>
      <c r="L22" s="28"/>
    </row>
    <row r="23" spans="8:12" s="128" customFormat="1">
      <c r="K23" s="28"/>
      <c r="L23" s="28"/>
    </row>
    <row r="24" spans="8:12" s="128" customFormat="1">
      <c r="K24" s="28"/>
      <c r="L24" s="28"/>
    </row>
    <row r="25" spans="8:12" s="128" customFormat="1">
      <c r="K25" s="28"/>
      <c r="L25" s="28"/>
    </row>
    <row r="26" spans="8:12" s="128" customFormat="1">
      <c r="K26" s="28"/>
      <c r="L26" s="28"/>
    </row>
    <row r="27" spans="8:12" s="128" customFormat="1">
      <c r="K27" s="28"/>
      <c r="L27" s="28"/>
    </row>
    <row r="28" spans="8:12" s="128" customFormat="1">
      <c r="K28" s="28"/>
      <c r="L28" s="28"/>
    </row>
    <row r="29" spans="8:12" s="128" customFormat="1">
      <c r="K29" s="28"/>
      <c r="L29" s="28"/>
    </row>
    <row r="30" spans="8:12" s="128" customFormat="1">
      <c r="K30" s="28"/>
      <c r="L30" s="28"/>
    </row>
    <row r="31" spans="8:12" s="128" customFormat="1">
      <c r="K31" s="28"/>
      <c r="L31" s="28"/>
    </row>
    <row r="32" spans="8:12" s="128" customFormat="1">
      <c r="K32" s="28"/>
      <c r="L32" s="28"/>
    </row>
    <row r="33" spans="3:12" s="128" customFormat="1">
      <c r="K33" s="28"/>
      <c r="L33" s="28"/>
    </row>
    <row r="34" spans="3:12" s="128" customFormat="1">
      <c r="K34" s="28"/>
      <c r="L34" s="28"/>
    </row>
    <row r="35" spans="3:12" s="128" customFormat="1">
      <c r="K35" s="28"/>
      <c r="L35" s="28"/>
    </row>
    <row r="36" spans="3:12" s="128" customFormat="1"/>
    <row r="37" spans="3:12" s="128" customFormat="1"/>
    <row r="38" spans="3:12" s="128" customFormat="1" ht="15.75">
      <c r="C38" s="353"/>
    </row>
    <row r="39" spans="3:12" s="128" customFormat="1"/>
    <row r="40" spans="3:12" s="128" customFormat="1"/>
    <row r="41" spans="3:12" s="128" customFormat="1"/>
    <row r="42" spans="3:12" s="128" customFormat="1" ht="46.5" customHeight="1"/>
    <row r="43" spans="3:12" s="128" customFormat="1" ht="54.75" customHeight="1"/>
    <row r="44" spans="3:12" s="128" customFormat="1"/>
    <row r="45" spans="3:12" s="128" customFormat="1"/>
    <row r="46" spans="3:12" s="128" customFormat="1"/>
    <row r="47" spans="3:12" s="128" customFormat="1"/>
    <row r="48" spans="3:12" s="128" customFormat="1"/>
    <row r="49" spans="1:20">
      <c r="A49" s="128"/>
      <c r="B49" s="128"/>
      <c r="C49" s="128"/>
      <c r="D49" s="128"/>
      <c r="E49" s="128"/>
      <c r="F49" s="128"/>
      <c r="G49" s="128"/>
      <c r="H49" s="128"/>
      <c r="I49" s="128"/>
      <c r="J49" s="128"/>
      <c r="K49" s="128"/>
      <c r="L49" s="128"/>
      <c r="M49" s="128"/>
      <c r="N49" s="128"/>
      <c r="O49" s="128"/>
      <c r="P49" s="128"/>
      <c r="Q49" s="128"/>
      <c r="R49" s="128"/>
      <c r="S49" s="128"/>
      <c r="T49" s="128"/>
    </row>
    <row r="50" spans="1:20">
      <c r="A50" s="128"/>
      <c r="B50" s="128"/>
      <c r="Q50" s="128"/>
      <c r="R50" s="128"/>
      <c r="S50" s="128"/>
      <c r="T50" s="128"/>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P49"/>
  <sheetViews>
    <sheetView showGridLines="0" view="pageBreakPreview" zoomScale="55" zoomScaleNormal="100" zoomScaleSheetLayoutView="55" workbookViewId="0">
      <pane xSplit="1" ySplit="3" topLeftCell="C4" activePane="bottomRight" state="frozen"/>
      <selection pane="topRight" activeCell="B1" sqref="B1"/>
      <selection pane="bottomLeft" activeCell="A4" sqref="A4"/>
      <selection pane="bottomRight" activeCell="T17" sqref="T17"/>
    </sheetView>
  </sheetViews>
  <sheetFormatPr baseColWidth="10" defaultColWidth="11.42578125" defaultRowHeight="15"/>
  <cols>
    <col min="1" max="1" width="31.140625" style="59" customWidth="1"/>
    <col min="2" max="2" width="12.42578125" style="59" hidden="1" customWidth="1"/>
    <col min="3" max="3" width="10" style="59" customWidth="1"/>
    <col min="4" max="4" width="12.42578125" style="59" customWidth="1"/>
    <col min="5" max="5" width="13.7109375" style="59" customWidth="1"/>
    <col min="6" max="6" width="12.42578125" style="59" customWidth="1"/>
    <col min="7" max="7" width="12.85546875" style="59" customWidth="1"/>
    <col min="8" max="8" width="12.7109375" style="59" customWidth="1"/>
    <col min="9" max="9" width="13.85546875" style="59" customWidth="1"/>
    <col min="10" max="10" width="13.5703125" style="59" customWidth="1"/>
    <col min="11" max="11" width="14" style="59" customWidth="1"/>
    <col min="12" max="12" width="17.5703125" style="59" customWidth="1"/>
    <col min="13" max="13" width="18.7109375" style="690" customWidth="1"/>
    <col min="14" max="14" width="13.5703125" style="1339" customWidth="1"/>
    <col min="15" max="15" width="11.42578125" style="59"/>
    <col min="16" max="16" width="6.7109375" style="59" customWidth="1"/>
    <col min="17" max="16384" width="11.42578125" style="59"/>
  </cols>
  <sheetData>
    <row r="1" spans="1:16" s="128" customFormat="1" ht="84" customHeight="1">
      <c r="A1" s="2540" t="s">
        <v>1996</v>
      </c>
      <c r="B1" s="2541"/>
      <c r="C1" s="2541"/>
      <c r="D1" s="2541"/>
      <c r="E1" s="2541"/>
      <c r="F1" s="2541"/>
      <c r="G1" s="2541"/>
      <c r="H1" s="2541"/>
      <c r="I1" s="2541"/>
      <c r="J1" s="2541"/>
      <c r="K1" s="2541"/>
      <c r="L1" s="2541"/>
      <c r="M1" s="2541"/>
      <c r="N1" s="2541"/>
      <c r="O1" s="2541"/>
      <c r="P1" s="2542"/>
    </row>
    <row r="2" spans="1:16" s="128" customFormat="1" ht="4.5" customHeight="1">
      <c r="A2" s="717"/>
      <c r="B2" s="718"/>
      <c r="C2" s="718"/>
      <c r="D2" s="718"/>
      <c r="E2" s="718"/>
      <c r="F2" s="718"/>
      <c r="G2" s="718"/>
      <c r="H2" s="718"/>
      <c r="I2" s="718"/>
      <c r="J2" s="718"/>
      <c r="K2" s="718"/>
      <c r="L2" s="1639"/>
      <c r="M2" s="719"/>
      <c r="N2" s="63"/>
    </row>
    <row r="3" spans="1:16" s="347" customFormat="1" ht="45" customHeight="1">
      <c r="A3" s="1144" t="s">
        <v>576</v>
      </c>
      <c r="B3" s="1145" t="s">
        <v>523</v>
      </c>
      <c r="C3" s="1145" t="s">
        <v>522</v>
      </c>
      <c r="D3" s="1145" t="s">
        <v>521</v>
      </c>
      <c r="E3" s="1145" t="s">
        <v>249</v>
      </c>
      <c r="F3" s="1145" t="s">
        <v>467</v>
      </c>
      <c r="G3" s="1145" t="s">
        <v>468</v>
      </c>
      <c r="H3" s="1145" t="s">
        <v>360</v>
      </c>
      <c r="I3" s="1145" t="s">
        <v>469</v>
      </c>
      <c r="J3" s="1145" t="s">
        <v>1058</v>
      </c>
      <c r="K3" s="1145" t="s">
        <v>1643</v>
      </c>
      <c r="L3" s="1145" t="s">
        <v>1907</v>
      </c>
      <c r="M3" s="1145" t="s">
        <v>167</v>
      </c>
      <c r="N3" s="1145" t="s">
        <v>575</v>
      </c>
    </row>
    <row r="4" spans="1:16" s="128" customFormat="1" ht="18.75">
      <c r="A4" s="1146" t="s">
        <v>1015</v>
      </c>
      <c r="B4" s="1147">
        <v>1</v>
      </c>
      <c r="C4" s="1147">
        <v>2</v>
      </c>
      <c r="D4" s="1147">
        <v>10</v>
      </c>
      <c r="E4" s="1147">
        <v>636</v>
      </c>
      <c r="F4" s="1147">
        <v>1044</v>
      </c>
      <c r="G4" s="1147">
        <v>1446</v>
      </c>
      <c r="H4" s="1147">
        <v>2079</v>
      </c>
      <c r="I4" s="1147">
        <v>2640</v>
      </c>
      <c r="J4" s="1147">
        <v>3181</v>
      </c>
      <c r="K4" s="1580">
        <v>3142</v>
      </c>
      <c r="L4" s="1580">
        <v>3337</v>
      </c>
      <c r="M4" s="1148">
        <f>+SUM(C4:L4)</f>
        <v>17517</v>
      </c>
      <c r="N4" s="1582">
        <f t="shared" ref="N4:N35" si="0">M4/$M$36</f>
        <v>0.10311517677392011</v>
      </c>
      <c r="O4" s="347"/>
      <c r="P4" s="347"/>
    </row>
    <row r="5" spans="1:16" s="128" customFormat="1" ht="18.75">
      <c r="A5" s="1146" t="s">
        <v>573</v>
      </c>
      <c r="B5" s="1147">
        <v>0</v>
      </c>
      <c r="C5" s="1147">
        <v>0</v>
      </c>
      <c r="D5" s="1147">
        <v>2</v>
      </c>
      <c r="E5" s="1147">
        <v>29</v>
      </c>
      <c r="F5" s="1147">
        <v>19</v>
      </c>
      <c r="G5" s="1147">
        <v>63</v>
      </c>
      <c r="H5" s="1147">
        <v>110</v>
      </c>
      <c r="I5" s="1147">
        <v>126</v>
      </c>
      <c r="J5" s="1147">
        <v>156</v>
      </c>
      <c r="K5" s="1580">
        <v>132</v>
      </c>
      <c r="L5" s="1580">
        <v>173</v>
      </c>
      <c r="M5" s="1148">
        <f>+SUM(C5:L5)</f>
        <v>810</v>
      </c>
      <c r="N5" s="1582">
        <f t="shared" si="0"/>
        <v>4.768127715183838E-3</v>
      </c>
    </row>
    <row r="6" spans="1:16" s="128" customFormat="1" ht="18.75">
      <c r="A6" s="1146" t="s">
        <v>572</v>
      </c>
      <c r="B6" s="1147">
        <v>0</v>
      </c>
      <c r="C6" s="1147">
        <v>0</v>
      </c>
      <c r="D6" s="1147">
        <v>0</v>
      </c>
      <c r="E6" s="1147">
        <v>2</v>
      </c>
      <c r="F6" s="1147">
        <v>4</v>
      </c>
      <c r="G6" s="1147">
        <v>8</v>
      </c>
      <c r="H6" s="1147">
        <v>9</v>
      </c>
      <c r="I6" s="1147">
        <v>24</v>
      </c>
      <c r="J6" s="1147">
        <v>50</v>
      </c>
      <c r="K6" s="1580">
        <v>53</v>
      </c>
      <c r="L6" s="1580">
        <v>93</v>
      </c>
      <c r="M6" s="1148">
        <f t="shared" ref="M6:M35" si="1">+SUM(C6:L6)</f>
        <v>243</v>
      </c>
      <c r="N6" s="1582">
        <f t="shared" si="0"/>
        <v>1.4304383145551513E-3</v>
      </c>
    </row>
    <row r="7" spans="1:16" s="128" customFormat="1" ht="18.75">
      <c r="A7" s="1146" t="s">
        <v>571</v>
      </c>
      <c r="B7" s="1147">
        <v>0</v>
      </c>
      <c r="C7" s="1147">
        <v>0</v>
      </c>
      <c r="D7" s="1147">
        <v>0</v>
      </c>
      <c r="E7" s="1147">
        <v>32</v>
      </c>
      <c r="F7" s="1147">
        <v>44</v>
      </c>
      <c r="G7" s="1147">
        <v>91</v>
      </c>
      <c r="H7" s="1147">
        <v>158</v>
      </c>
      <c r="I7" s="1147">
        <v>245</v>
      </c>
      <c r="J7" s="1147">
        <v>293</v>
      </c>
      <c r="K7" s="1580">
        <v>348</v>
      </c>
      <c r="L7" s="1580">
        <v>309</v>
      </c>
      <c r="M7" s="1148">
        <f t="shared" si="1"/>
        <v>1520</v>
      </c>
      <c r="N7" s="1582">
        <f t="shared" si="0"/>
        <v>8.9475976877523879E-3</v>
      </c>
    </row>
    <row r="8" spans="1:16" s="128" customFormat="1" ht="18.75">
      <c r="A8" s="1146" t="s">
        <v>570</v>
      </c>
      <c r="B8" s="1147">
        <v>0</v>
      </c>
      <c r="C8" s="1147">
        <v>0</v>
      </c>
      <c r="D8" s="1147">
        <v>0</v>
      </c>
      <c r="E8" s="1147">
        <v>3</v>
      </c>
      <c r="F8" s="1147">
        <v>1</v>
      </c>
      <c r="G8" s="1147">
        <v>38</v>
      </c>
      <c r="H8" s="1147">
        <v>52</v>
      </c>
      <c r="I8" s="1147">
        <v>89</v>
      </c>
      <c r="J8" s="1147">
        <v>103</v>
      </c>
      <c r="K8" s="1580">
        <v>157</v>
      </c>
      <c r="L8" s="1580">
        <v>134</v>
      </c>
      <c r="M8" s="1148">
        <f t="shared" si="1"/>
        <v>577</v>
      </c>
      <c r="N8" s="1582">
        <f t="shared" si="0"/>
        <v>3.3965551748902155E-3</v>
      </c>
    </row>
    <row r="9" spans="1:16" s="128" customFormat="1" ht="18.75">
      <c r="A9" s="1146" t="s">
        <v>155</v>
      </c>
      <c r="B9" s="1147">
        <v>2643</v>
      </c>
      <c r="C9" s="1147">
        <v>3722</v>
      </c>
      <c r="D9" s="1147">
        <v>5459</v>
      </c>
      <c r="E9" s="1147">
        <v>4339</v>
      </c>
      <c r="F9" s="1147">
        <v>4630</v>
      </c>
      <c r="G9" s="1147">
        <v>5594</v>
      </c>
      <c r="H9" s="1147">
        <v>5468</v>
      </c>
      <c r="I9" s="1147">
        <v>6340</v>
      </c>
      <c r="J9" s="1147">
        <v>7066</v>
      </c>
      <c r="K9" s="1580">
        <v>7848</v>
      </c>
      <c r="L9" s="1580">
        <v>8452</v>
      </c>
      <c r="M9" s="1148">
        <f t="shared" si="1"/>
        <v>58918</v>
      </c>
      <c r="N9" s="1582">
        <f t="shared" si="0"/>
        <v>0.34682536879407577</v>
      </c>
    </row>
    <row r="10" spans="1:16" s="128" customFormat="1" ht="18.75">
      <c r="A10" s="1146" t="s">
        <v>569</v>
      </c>
      <c r="B10" s="1147">
        <v>0</v>
      </c>
      <c r="C10" s="1147">
        <v>0</v>
      </c>
      <c r="D10" s="1147">
        <v>2</v>
      </c>
      <c r="E10" s="1147">
        <v>81</v>
      </c>
      <c r="F10" s="1147">
        <v>108</v>
      </c>
      <c r="G10" s="1147">
        <v>152</v>
      </c>
      <c r="H10" s="1147">
        <v>189</v>
      </c>
      <c r="I10" s="1147">
        <v>337</v>
      </c>
      <c r="J10" s="1147">
        <v>416</v>
      </c>
      <c r="K10" s="1580">
        <v>423</v>
      </c>
      <c r="L10" s="1580">
        <v>467</v>
      </c>
      <c r="M10" s="1148">
        <f t="shared" si="1"/>
        <v>2175</v>
      </c>
      <c r="N10" s="1582">
        <f t="shared" si="0"/>
        <v>1.2803305901882528E-2</v>
      </c>
    </row>
    <row r="11" spans="1:16" s="128" customFormat="1" ht="18.75">
      <c r="A11" s="1146" t="s">
        <v>568</v>
      </c>
      <c r="B11" s="1147">
        <v>0</v>
      </c>
      <c r="C11" s="1147">
        <v>0</v>
      </c>
      <c r="D11" s="1147">
        <v>0</v>
      </c>
      <c r="E11" s="1147">
        <v>13</v>
      </c>
      <c r="F11" s="1147">
        <v>15</v>
      </c>
      <c r="G11" s="1147">
        <v>14</v>
      </c>
      <c r="H11" s="1147">
        <v>12</v>
      </c>
      <c r="I11" s="1147">
        <v>29</v>
      </c>
      <c r="J11" s="1147">
        <v>40</v>
      </c>
      <c r="K11" s="1580">
        <v>35</v>
      </c>
      <c r="L11" s="1580">
        <v>54</v>
      </c>
      <c r="M11" s="1148">
        <f t="shared" si="1"/>
        <v>212</v>
      </c>
      <c r="N11" s="1582">
        <f t="shared" si="0"/>
        <v>1.2479544143444118E-3</v>
      </c>
    </row>
    <row r="12" spans="1:16" s="128" customFormat="1" ht="18.75">
      <c r="A12" s="1146" t="s">
        <v>892</v>
      </c>
      <c r="B12" s="1147">
        <v>0</v>
      </c>
      <c r="C12" s="1147">
        <v>0</v>
      </c>
      <c r="D12" s="1147">
        <v>0</v>
      </c>
      <c r="E12" s="1147">
        <v>0</v>
      </c>
      <c r="F12" s="1147">
        <v>8</v>
      </c>
      <c r="G12" s="1147">
        <v>12</v>
      </c>
      <c r="H12" s="1147">
        <v>12</v>
      </c>
      <c r="I12" s="1147">
        <v>47</v>
      </c>
      <c r="J12" s="1147">
        <v>85</v>
      </c>
      <c r="K12" s="1580">
        <v>84</v>
      </c>
      <c r="L12" s="1580">
        <v>104</v>
      </c>
      <c r="M12" s="1148">
        <f t="shared" si="1"/>
        <v>352</v>
      </c>
      <c r="N12" s="1582">
        <f t="shared" si="0"/>
        <v>2.072075254005816E-3</v>
      </c>
    </row>
    <row r="13" spans="1:16" s="128" customFormat="1" ht="18.75">
      <c r="A13" s="1146" t="s">
        <v>567</v>
      </c>
      <c r="B13" s="1147">
        <v>0</v>
      </c>
      <c r="C13" s="1147">
        <v>0</v>
      </c>
      <c r="D13" s="1147">
        <v>1</v>
      </c>
      <c r="E13" s="1147">
        <v>23</v>
      </c>
      <c r="F13" s="1147">
        <v>38</v>
      </c>
      <c r="G13" s="1147">
        <v>65</v>
      </c>
      <c r="H13" s="1147">
        <v>123</v>
      </c>
      <c r="I13" s="1147">
        <v>268</v>
      </c>
      <c r="J13" s="1147">
        <v>441</v>
      </c>
      <c r="K13" s="1580">
        <v>608</v>
      </c>
      <c r="L13" s="1580">
        <v>672</v>
      </c>
      <c r="M13" s="1148">
        <f t="shared" si="1"/>
        <v>2239</v>
      </c>
      <c r="N13" s="1582">
        <f t="shared" si="0"/>
        <v>1.3180046857156312E-2</v>
      </c>
    </row>
    <row r="14" spans="1:16" s="128" customFormat="1" ht="18.75">
      <c r="A14" s="1146" t="s">
        <v>566</v>
      </c>
      <c r="B14" s="1147">
        <v>0</v>
      </c>
      <c r="C14" s="1147">
        <v>0</v>
      </c>
      <c r="D14" s="1147">
        <v>0</v>
      </c>
      <c r="E14" s="1147">
        <v>67</v>
      </c>
      <c r="F14" s="1147">
        <v>40</v>
      </c>
      <c r="G14" s="1147">
        <v>69</v>
      </c>
      <c r="H14" s="1147">
        <v>67</v>
      </c>
      <c r="I14" s="1147">
        <v>110</v>
      </c>
      <c r="J14" s="1147">
        <v>161</v>
      </c>
      <c r="K14" s="1580">
        <v>200</v>
      </c>
      <c r="L14" s="1580">
        <v>223</v>
      </c>
      <c r="M14" s="1148">
        <f t="shared" si="1"/>
        <v>937</v>
      </c>
      <c r="N14" s="1582">
        <f t="shared" si="0"/>
        <v>5.515723048305254E-3</v>
      </c>
    </row>
    <row r="15" spans="1:16" s="128" customFormat="1" ht="18.75">
      <c r="A15" s="1146" t="s">
        <v>565</v>
      </c>
      <c r="B15" s="1147">
        <v>0</v>
      </c>
      <c r="C15" s="1147">
        <v>0</v>
      </c>
      <c r="D15" s="1147">
        <v>0</v>
      </c>
      <c r="E15" s="1147">
        <v>3</v>
      </c>
      <c r="F15" s="1147">
        <v>2</v>
      </c>
      <c r="G15" s="1147">
        <v>13</v>
      </c>
      <c r="H15" s="1147">
        <v>29</v>
      </c>
      <c r="I15" s="1147">
        <v>36</v>
      </c>
      <c r="J15" s="1147">
        <v>51</v>
      </c>
      <c r="K15" s="1580">
        <v>44</v>
      </c>
      <c r="L15" s="1580">
        <v>73</v>
      </c>
      <c r="M15" s="1148">
        <f t="shared" si="1"/>
        <v>251</v>
      </c>
      <c r="N15" s="1582">
        <f t="shared" si="0"/>
        <v>1.4775309339643745E-3</v>
      </c>
    </row>
    <row r="16" spans="1:16" s="128" customFormat="1" ht="18.75">
      <c r="A16" s="1146" t="s">
        <v>564</v>
      </c>
      <c r="B16" s="1147">
        <v>0</v>
      </c>
      <c r="C16" s="1147">
        <v>1</v>
      </c>
      <c r="D16" s="1147">
        <v>9</v>
      </c>
      <c r="E16" s="1147">
        <v>512</v>
      </c>
      <c r="F16" s="1147">
        <v>667</v>
      </c>
      <c r="G16" s="1147">
        <v>854</v>
      </c>
      <c r="H16" s="1147">
        <v>1224</v>
      </c>
      <c r="I16" s="1147">
        <v>1579</v>
      </c>
      <c r="J16" s="1147">
        <v>1879</v>
      </c>
      <c r="K16" s="1580">
        <v>1757</v>
      </c>
      <c r="L16" s="1580">
        <v>1808</v>
      </c>
      <c r="M16" s="1148">
        <f t="shared" si="1"/>
        <v>10290</v>
      </c>
      <c r="N16" s="1582">
        <f t="shared" si="0"/>
        <v>6.05728817151132E-2</v>
      </c>
    </row>
    <row r="17" spans="1:14" s="128" customFormat="1" ht="18.75">
      <c r="A17" s="1146" t="s">
        <v>563</v>
      </c>
      <c r="B17" s="1147">
        <v>0</v>
      </c>
      <c r="C17" s="1147">
        <v>0</v>
      </c>
      <c r="D17" s="1147">
        <v>1</v>
      </c>
      <c r="E17" s="1147">
        <v>124</v>
      </c>
      <c r="F17" s="1147">
        <v>218</v>
      </c>
      <c r="G17" s="1147">
        <v>320</v>
      </c>
      <c r="H17" s="1147">
        <v>324</v>
      </c>
      <c r="I17" s="1147">
        <v>467</v>
      </c>
      <c r="J17" s="1147">
        <v>655</v>
      </c>
      <c r="K17" s="1580">
        <v>716</v>
      </c>
      <c r="L17" s="1580">
        <v>816</v>
      </c>
      <c r="M17" s="1148">
        <f t="shared" si="1"/>
        <v>3641</v>
      </c>
      <c r="N17" s="1582">
        <f t="shared" si="0"/>
        <v>2.143302840862266E-2</v>
      </c>
    </row>
    <row r="18" spans="1:14" s="128" customFormat="1" ht="18.75">
      <c r="A18" s="1146" t="s">
        <v>562</v>
      </c>
      <c r="B18" s="1147">
        <v>0</v>
      </c>
      <c r="C18" s="1147">
        <v>0</v>
      </c>
      <c r="D18" s="1147">
        <v>0</v>
      </c>
      <c r="E18" s="1147">
        <v>13</v>
      </c>
      <c r="F18" s="1147">
        <v>38</v>
      </c>
      <c r="G18" s="1147">
        <v>131</v>
      </c>
      <c r="H18" s="1147">
        <v>173</v>
      </c>
      <c r="I18" s="1147">
        <v>155</v>
      </c>
      <c r="J18" s="1147">
        <v>229</v>
      </c>
      <c r="K18" s="1580">
        <v>180</v>
      </c>
      <c r="L18" s="1580">
        <v>232</v>
      </c>
      <c r="M18" s="1148">
        <f t="shared" si="1"/>
        <v>1151</v>
      </c>
      <c r="N18" s="1582">
        <f t="shared" si="0"/>
        <v>6.775450617501972E-3</v>
      </c>
    </row>
    <row r="19" spans="1:14" s="128" customFormat="1" ht="18.75">
      <c r="A19" s="1146" t="s">
        <v>561</v>
      </c>
      <c r="B19" s="1147">
        <v>0</v>
      </c>
      <c r="C19" s="1147">
        <v>0</v>
      </c>
      <c r="D19" s="1147">
        <v>5</v>
      </c>
      <c r="E19" s="1147">
        <v>63</v>
      </c>
      <c r="F19" s="1147">
        <v>48</v>
      </c>
      <c r="G19" s="1147">
        <v>187</v>
      </c>
      <c r="H19" s="1147">
        <v>303</v>
      </c>
      <c r="I19" s="1147">
        <v>303</v>
      </c>
      <c r="J19" s="1147">
        <v>397</v>
      </c>
      <c r="K19" s="1580">
        <v>370</v>
      </c>
      <c r="L19" s="1580">
        <v>402</v>
      </c>
      <c r="M19" s="1148">
        <f t="shared" si="1"/>
        <v>2078</v>
      </c>
      <c r="N19" s="1582">
        <f t="shared" si="0"/>
        <v>1.2232307891545698E-2</v>
      </c>
    </row>
    <row r="20" spans="1:14" s="128" customFormat="1" ht="18.75">
      <c r="A20" s="1146" t="s">
        <v>560</v>
      </c>
      <c r="B20" s="1147">
        <v>0</v>
      </c>
      <c r="C20" s="1147">
        <v>1</v>
      </c>
      <c r="D20" s="1147">
        <v>0</v>
      </c>
      <c r="E20" s="1147">
        <v>11</v>
      </c>
      <c r="F20" s="1147">
        <v>6</v>
      </c>
      <c r="G20" s="1147">
        <v>15</v>
      </c>
      <c r="H20" s="1147">
        <v>47</v>
      </c>
      <c r="I20" s="1147">
        <v>54</v>
      </c>
      <c r="J20" s="1147">
        <v>66</v>
      </c>
      <c r="K20" s="1580">
        <v>77</v>
      </c>
      <c r="L20" s="1580">
        <v>175</v>
      </c>
      <c r="M20" s="1148">
        <f t="shared" si="1"/>
        <v>452</v>
      </c>
      <c r="N20" s="1582">
        <f t="shared" si="0"/>
        <v>2.6607329966211045E-3</v>
      </c>
    </row>
    <row r="21" spans="1:14" s="128" customFormat="1" ht="18.75">
      <c r="A21" s="1146" t="s">
        <v>559</v>
      </c>
      <c r="B21" s="1147">
        <v>0</v>
      </c>
      <c r="C21" s="1147">
        <v>0</v>
      </c>
      <c r="D21" s="1147">
        <v>0</v>
      </c>
      <c r="E21" s="1147">
        <v>8</v>
      </c>
      <c r="F21" s="1147">
        <v>9</v>
      </c>
      <c r="G21" s="1147">
        <v>22</v>
      </c>
      <c r="H21" s="1147">
        <v>66</v>
      </c>
      <c r="I21" s="1147">
        <v>121</v>
      </c>
      <c r="J21" s="1147">
        <v>133</v>
      </c>
      <c r="K21" s="1580">
        <v>223</v>
      </c>
      <c r="L21" s="1580">
        <v>266</v>
      </c>
      <c r="M21" s="1148">
        <f t="shared" si="1"/>
        <v>848</v>
      </c>
      <c r="N21" s="1582">
        <f t="shared" si="0"/>
        <v>4.9918176573776471E-3</v>
      </c>
    </row>
    <row r="22" spans="1:14" s="128" customFormat="1" ht="18.75">
      <c r="A22" s="1146" t="s">
        <v>558</v>
      </c>
      <c r="B22" s="1147">
        <v>0</v>
      </c>
      <c r="C22" s="1147">
        <v>1</v>
      </c>
      <c r="D22" s="1147">
        <v>1</v>
      </c>
      <c r="E22" s="1147">
        <v>17</v>
      </c>
      <c r="F22" s="1147">
        <v>11</v>
      </c>
      <c r="G22" s="1147">
        <v>16</v>
      </c>
      <c r="H22" s="1147">
        <v>43</v>
      </c>
      <c r="I22" s="1147">
        <v>166</v>
      </c>
      <c r="J22" s="1147">
        <v>141</v>
      </c>
      <c r="K22" s="1580">
        <v>139</v>
      </c>
      <c r="L22" s="1580">
        <v>152</v>
      </c>
      <c r="M22" s="1148">
        <f t="shared" si="1"/>
        <v>687</v>
      </c>
      <c r="N22" s="1582">
        <f t="shared" si="0"/>
        <v>4.044078691767033E-3</v>
      </c>
    </row>
    <row r="23" spans="1:14" s="128" customFormat="1" ht="18.75">
      <c r="A23" s="1146" t="s">
        <v>557</v>
      </c>
      <c r="B23" s="1147">
        <v>0</v>
      </c>
      <c r="C23" s="1147">
        <v>0</v>
      </c>
      <c r="D23" s="1147">
        <v>1</v>
      </c>
      <c r="E23" s="1147">
        <v>22</v>
      </c>
      <c r="F23" s="1147">
        <v>30</v>
      </c>
      <c r="G23" s="1147">
        <v>44</v>
      </c>
      <c r="H23" s="1147">
        <v>82</v>
      </c>
      <c r="I23" s="1147">
        <v>177</v>
      </c>
      <c r="J23" s="1147">
        <v>260</v>
      </c>
      <c r="K23" s="1580">
        <v>282</v>
      </c>
      <c r="L23" s="1580">
        <v>342</v>
      </c>
      <c r="M23" s="1148">
        <f t="shared" si="1"/>
        <v>1240</v>
      </c>
      <c r="N23" s="1582">
        <f t="shared" si="0"/>
        <v>7.299356008429579E-3</v>
      </c>
    </row>
    <row r="24" spans="1:14" s="128" customFormat="1" ht="18.75">
      <c r="A24" s="1146" t="s">
        <v>556</v>
      </c>
      <c r="B24" s="1147">
        <v>0</v>
      </c>
      <c r="C24" s="1147">
        <v>0</v>
      </c>
      <c r="D24" s="1147">
        <v>4</v>
      </c>
      <c r="E24" s="1147">
        <v>278</v>
      </c>
      <c r="F24" s="1147">
        <v>496</v>
      </c>
      <c r="G24" s="1147">
        <v>725</v>
      </c>
      <c r="H24" s="1147">
        <v>943</v>
      </c>
      <c r="I24" s="1147">
        <v>992</v>
      </c>
      <c r="J24" s="1147">
        <v>1013</v>
      </c>
      <c r="K24" s="1580">
        <v>1085</v>
      </c>
      <c r="L24" s="1580">
        <v>1043</v>
      </c>
      <c r="M24" s="1148">
        <f t="shared" si="1"/>
        <v>6579</v>
      </c>
      <c r="N24" s="1582">
        <f t="shared" si="0"/>
        <v>3.872779288665984E-2</v>
      </c>
    </row>
    <row r="25" spans="1:14" s="128" customFormat="1" ht="18.75">
      <c r="A25" s="1146" t="s">
        <v>555</v>
      </c>
      <c r="B25" s="1147">
        <v>0</v>
      </c>
      <c r="C25" s="1147">
        <v>0</v>
      </c>
      <c r="D25" s="1147">
        <v>0</v>
      </c>
      <c r="E25" s="1147">
        <v>2</v>
      </c>
      <c r="F25" s="1147">
        <v>9</v>
      </c>
      <c r="G25" s="1147">
        <v>19</v>
      </c>
      <c r="H25" s="1147">
        <v>33</v>
      </c>
      <c r="I25" s="1147">
        <v>83</v>
      </c>
      <c r="J25" s="1147">
        <v>128</v>
      </c>
      <c r="K25" s="1580">
        <v>180</v>
      </c>
      <c r="L25" s="1580">
        <v>177</v>
      </c>
      <c r="M25" s="1148">
        <f t="shared" si="1"/>
        <v>631</v>
      </c>
      <c r="N25" s="1582">
        <f t="shared" si="0"/>
        <v>3.714430355902471E-3</v>
      </c>
    </row>
    <row r="26" spans="1:14" s="128" customFormat="1" ht="18.75">
      <c r="A26" s="1146" t="s">
        <v>554</v>
      </c>
      <c r="B26" s="1147">
        <v>0</v>
      </c>
      <c r="C26" s="1147">
        <v>0</v>
      </c>
      <c r="D26" s="1147">
        <v>0</v>
      </c>
      <c r="E26" s="1147">
        <v>17</v>
      </c>
      <c r="F26" s="1147">
        <v>12</v>
      </c>
      <c r="G26" s="1147">
        <v>6</v>
      </c>
      <c r="H26" s="1147">
        <v>33</v>
      </c>
      <c r="I26" s="1147">
        <v>106</v>
      </c>
      <c r="J26" s="1147">
        <v>152</v>
      </c>
      <c r="K26" s="1580">
        <v>150</v>
      </c>
      <c r="L26" s="1580">
        <v>127</v>
      </c>
      <c r="M26" s="1148">
        <f t="shared" si="1"/>
        <v>603</v>
      </c>
      <c r="N26" s="1582">
        <f t="shared" si="0"/>
        <v>3.5496061879701905E-3</v>
      </c>
    </row>
    <row r="27" spans="1:14" s="128" customFormat="1" ht="18.75">
      <c r="A27" s="1146" t="s">
        <v>553</v>
      </c>
      <c r="B27" s="1147">
        <v>1</v>
      </c>
      <c r="C27" s="1147">
        <v>1</v>
      </c>
      <c r="D27" s="1147">
        <v>9</v>
      </c>
      <c r="E27" s="1147">
        <v>234</v>
      </c>
      <c r="F27" s="1147">
        <v>426</v>
      </c>
      <c r="G27" s="1147">
        <v>422</v>
      </c>
      <c r="H27" s="1147">
        <v>441</v>
      </c>
      <c r="I27" s="1147">
        <v>639</v>
      </c>
      <c r="J27" s="1147">
        <v>812</v>
      </c>
      <c r="K27" s="1580">
        <v>865</v>
      </c>
      <c r="L27" s="1580">
        <v>1003</v>
      </c>
      <c r="M27" s="1148">
        <f t="shared" si="1"/>
        <v>4852</v>
      </c>
      <c r="N27" s="1582">
        <f t="shared" si="0"/>
        <v>2.8561673671693804E-2</v>
      </c>
    </row>
    <row r="28" spans="1:14" s="128" customFormat="1" ht="18.75">
      <c r="A28" s="1146" t="s">
        <v>552</v>
      </c>
      <c r="B28" s="1147">
        <v>0</v>
      </c>
      <c r="C28" s="1147">
        <v>0</v>
      </c>
      <c r="D28" s="1147">
        <v>0</v>
      </c>
      <c r="E28" s="1147">
        <v>4</v>
      </c>
      <c r="F28" s="1147">
        <v>1</v>
      </c>
      <c r="G28" s="1149">
        <v>0</v>
      </c>
      <c r="H28" s="1147">
        <v>1</v>
      </c>
      <c r="I28" s="1147">
        <v>2</v>
      </c>
      <c r="J28" s="1147">
        <v>1</v>
      </c>
      <c r="K28" s="1581">
        <v>0</v>
      </c>
      <c r="L28" s="1580">
        <v>2</v>
      </c>
      <c r="M28" s="1148">
        <f t="shared" si="1"/>
        <v>11</v>
      </c>
      <c r="N28" s="1582">
        <f t="shared" si="0"/>
        <v>6.475235168768175E-5</v>
      </c>
    </row>
    <row r="29" spans="1:14" s="128" customFormat="1" ht="18.75">
      <c r="A29" s="1146" t="s">
        <v>551</v>
      </c>
      <c r="B29" s="1147">
        <v>0</v>
      </c>
      <c r="C29" s="1147">
        <v>0</v>
      </c>
      <c r="D29" s="1147">
        <v>3</v>
      </c>
      <c r="E29" s="1147">
        <v>39</v>
      </c>
      <c r="F29" s="1147">
        <v>21</v>
      </c>
      <c r="G29" s="1147">
        <v>84</v>
      </c>
      <c r="H29" s="1147">
        <v>112</v>
      </c>
      <c r="I29" s="1147">
        <v>191</v>
      </c>
      <c r="J29" s="1147">
        <v>233</v>
      </c>
      <c r="K29" s="1580">
        <v>201</v>
      </c>
      <c r="L29" s="1580">
        <v>241</v>
      </c>
      <c r="M29" s="1148">
        <f t="shared" si="1"/>
        <v>1125</v>
      </c>
      <c r="N29" s="1582">
        <f t="shared" si="0"/>
        <v>6.622399604421997E-3</v>
      </c>
    </row>
    <row r="30" spans="1:14" s="128" customFormat="1" ht="18.75">
      <c r="A30" s="1146" t="s">
        <v>550</v>
      </c>
      <c r="B30" s="1147">
        <v>0</v>
      </c>
      <c r="C30" s="1147">
        <v>0</v>
      </c>
      <c r="D30" s="1147">
        <v>3</v>
      </c>
      <c r="E30" s="1147">
        <v>175</v>
      </c>
      <c r="F30" s="1147">
        <v>369</v>
      </c>
      <c r="G30" s="1147">
        <v>516</v>
      </c>
      <c r="H30" s="1147">
        <v>478</v>
      </c>
      <c r="I30" s="1147">
        <v>801</v>
      </c>
      <c r="J30" s="1147">
        <v>641</v>
      </c>
      <c r="K30" s="1580">
        <v>779</v>
      </c>
      <c r="L30" s="1580">
        <v>932</v>
      </c>
      <c r="M30" s="1148">
        <f t="shared" si="1"/>
        <v>4694</v>
      </c>
      <c r="N30" s="1582">
        <f t="shared" si="0"/>
        <v>2.7631594438361648E-2</v>
      </c>
    </row>
    <row r="31" spans="1:14" s="128" customFormat="1" ht="18.75">
      <c r="A31" s="1146" t="s">
        <v>549</v>
      </c>
      <c r="B31" s="1147">
        <v>0</v>
      </c>
      <c r="C31" s="1147">
        <v>0</v>
      </c>
      <c r="D31" s="1147">
        <v>1</v>
      </c>
      <c r="E31" s="1147">
        <v>21</v>
      </c>
      <c r="F31" s="1147">
        <v>26</v>
      </c>
      <c r="G31" s="1147">
        <v>71</v>
      </c>
      <c r="H31" s="1147">
        <v>90</v>
      </c>
      <c r="I31" s="1147">
        <v>191</v>
      </c>
      <c r="J31" s="1147">
        <v>177</v>
      </c>
      <c r="K31" s="1580">
        <v>230</v>
      </c>
      <c r="L31" s="1580">
        <v>227</v>
      </c>
      <c r="M31" s="1148">
        <f t="shared" si="1"/>
        <v>1034</v>
      </c>
      <c r="N31" s="1582">
        <f t="shared" si="0"/>
        <v>6.086721058642084E-3</v>
      </c>
    </row>
    <row r="32" spans="1:14" s="128" customFormat="1" ht="18.75">
      <c r="A32" s="1146" t="s">
        <v>548</v>
      </c>
      <c r="B32" s="1147">
        <v>1</v>
      </c>
      <c r="C32" s="1147">
        <v>1</v>
      </c>
      <c r="D32" s="1147">
        <v>11</v>
      </c>
      <c r="E32" s="1147">
        <v>831</v>
      </c>
      <c r="F32" s="1147">
        <v>1946</v>
      </c>
      <c r="G32" s="1147">
        <v>3132</v>
      </c>
      <c r="H32" s="1147">
        <v>3724</v>
      </c>
      <c r="I32" s="1147">
        <v>4758</v>
      </c>
      <c r="J32" s="1147">
        <v>5812</v>
      </c>
      <c r="K32" s="1580">
        <v>6563</v>
      </c>
      <c r="L32" s="1580">
        <v>6779</v>
      </c>
      <c r="M32" s="1148">
        <f t="shared" si="1"/>
        <v>33557</v>
      </c>
      <c r="N32" s="1582">
        <f t="shared" si="0"/>
        <v>0.19753587868941241</v>
      </c>
    </row>
    <row r="33" spans="1:16" s="128" customFormat="1" ht="18.75">
      <c r="A33" s="1146" t="s">
        <v>547</v>
      </c>
      <c r="B33" s="1147">
        <v>0</v>
      </c>
      <c r="C33" s="1147">
        <v>0</v>
      </c>
      <c r="D33" s="1147">
        <v>1</v>
      </c>
      <c r="E33" s="1147">
        <v>18</v>
      </c>
      <c r="F33" s="1147">
        <v>26</v>
      </c>
      <c r="G33" s="1147">
        <v>63</v>
      </c>
      <c r="H33" s="1147">
        <v>84</v>
      </c>
      <c r="I33" s="1147">
        <v>122</v>
      </c>
      <c r="J33" s="1147">
        <v>134</v>
      </c>
      <c r="K33" s="1580">
        <v>149</v>
      </c>
      <c r="L33" s="1580">
        <v>131</v>
      </c>
      <c r="M33" s="1148">
        <f t="shared" si="1"/>
        <v>728</v>
      </c>
      <c r="N33" s="1582">
        <f t="shared" si="0"/>
        <v>4.285428366239301E-3</v>
      </c>
    </row>
    <row r="34" spans="1:16" s="128" customFormat="1" ht="18.75">
      <c r="A34" s="1146" t="s">
        <v>156</v>
      </c>
      <c r="B34" s="1147">
        <v>1</v>
      </c>
      <c r="C34" s="1147">
        <v>2</v>
      </c>
      <c r="D34" s="1147">
        <v>12</v>
      </c>
      <c r="E34" s="1147">
        <v>891</v>
      </c>
      <c r="F34" s="1147">
        <v>611</v>
      </c>
      <c r="G34" s="1147">
        <v>342</v>
      </c>
      <c r="H34" s="1147">
        <v>732</v>
      </c>
      <c r="I34" s="1147">
        <v>1119</v>
      </c>
      <c r="J34" s="1147">
        <v>1422</v>
      </c>
      <c r="K34" s="1580">
        <v>1168</v>
      </c>
      <c r="L34" s="1580">
        <v>1470</v>
      </c>
      <c r="M34" s="1148">
        <f t="shared" si="1"/>
        <v>7769</v>
      </c>
      <c r="N34" s="1582">
        <f t="shared" si="0"/>
        <v>4.5732820023781776E-2</v>
      </c>
    </row>
    <row r="35" spans="1:16" s="347" customFormat="1" ht="18.75">
      <c r="A35" s="1150" t="s">
        <v>546</v>
      </c>
      <c r="B35" s="1021">
        <v>0</v>
      </c>
      <c r="C35" s="1021">
        <v>0</v>
      </c>
      <c r="D35" s="1021">
        <v>0</v>
      </c>
      <c r="E35" s="1021">
        <v>36</v>
      </c>
      <c r="F35" s="1021">
        <v>54</v>
      </c>
      <c r="G35" s="1021">
        <v>149</v>
      </c>
      <c r="H35" s="1021">
        <v>215</v>
      </c>
      <c r="I35" s="1021">
        <v>280</v>
      </c>
      <c r="J35" s="1147">
        <v>360</v>
      </c>
      <c r="K35" s="1580">
        <v>447</v>
      </c>
      <c r="L35" s="1580">
        <v>616</v>
      </c>
      <c r="M35" s="1148">
        <f t="shared" si="1"/>
        <v>2157</v>
      </c>
      <c r="N35" s="1583">
        <f t="shared" si="0"/>
        <v>1.2697347508211776E-2</v>
      </c>
    </row>
    <row r="36" spans="1:16" s="347" customFormat="1" ht="21" customHeight="1">
      <c r="A36" s="1145" t="s">
        <v>23</v>
      </c>
      <c r="B36" s="1151">
        <f>SUM(B4:B35)</f>
        <v>2647</v>
      </c>
      <c r="C36" s="1151">
        <f t="shared" ref="C36:M36" si="2">SUM(C4:C35)</f>
        <v>3731</v>
      </c>
      <c r="D36" s="1151">
        <f t="shared" si="2"/>
        <v>5535</v>
      </c>
      <c r="E36" s="1151">
        <f t="shared" si="2"/>
        <v>8544</v>
      </c>
      <c r="F36" s="1151">
        <f t="shared" si="2"/>
        <v>10977</v>
      </c>
      <c r="G36" s="1151">
        <f t="shared" si="2"/>
        <v>14683</v>
      </c>
      <c r="H36" s="1151">
        <f t="shared" si="2"/>
        <v>17456</v>
      </c>
      <c r="I36" s="1151">
        <f t="shared" si="2"/>
        <v>22597</v>
      </c>
      <c r="J36" s="1151">
        <f t="shared" si="2"/>
        <v>26688</v>
      </c>
      <c r="K36" s="1151">
        <f t="shared" si="2"/>
        <v>28635</v>
      </c>
      <c r="L36" s="1151">
        <f t="shared" si="2"/>
        <v>31032</v>
      </c>
      <c r="M36" s="1151">
        <f t="shared" si="2"/>
        <v>169878</v>
      </c>
      <c r="N36" s="1583">
        <f>SUM(N4:N35)</f>
        <v>1</v>
      </c>
      <c r="P36" s="128"/>
    </row>
    <row r="37" spans="1:16" s="128" customFormat="1">
      <c r="M37" s="1577"/>
      <c r="N37" s="63"/>
    </row>
    <row r="38" spans="1:16" s="128" customFormat="1">
      <c r="M38" s="1577"/>
      <c r="N38" s="63"/>
      <c r="O38" s="347"/>
      <c r="P38" s="347"/>
    </row>
    <row r="39" spans="1:16" s="128" customFormat="1" ht="21" customHeight="1">
      <c r="M39" s="1577"/>
      <c r="N39" s="63"/>
    </row>
    <row r="40" spans="1:16" s="128" customFormat="1">
      <c r="M40" s="1577"/>
      <c r="N40" s="63"/>
    </row>
    <row r="41" spans="1:16" s="128" customFormat="1">
      <c r="M41" s="1577"/>
      <c r="N41" s="63"/>
    </row>
    <row r="42" spans="1:16" s="128" customFormat="1" ht="21" customHeight="1">
      <c r="M42" s="1577"/>
      <c r="N42" s="63"/>
    </row>
    <row r="43" spans="1:16" s="128" customFormat="1">
      <c r="M43" s="1577"/>
      <c r="N43" s="63"/>
    </row>
    <row r="44" spans="1:16" s="128" customFormat="1">
      <c r="M44" s="1577"/>
      <c r="N44" s="63"/>
    </row>
    <row r="45" spans="1:16" s="128" customFormat="1" ht="21" customHeight="1">
      <c r="M45" s="1577"/>
      <c r="N45" s="63"/>
    </row>
    <row r="46" spans="1:16" s="128" customFormat="1" ht="31.5" customHeight="1">
      <c r="M46" s="1577"/>
      <c r="N46" s="63"/>
    </row>
    <row r="47" spans="1:16" s="128" customFormat="1">
      <c r="M47" s="1577"/>
      <c r="N47" s="63"/>
    </row>
    <row r="48" spans="1:16" ht="21" customHeight="1">
      <c r="O48" s="128"/>
      <c r="P48" s="128"/>
    </row>
    <row r="49" spans="15:16">
      <c r="O49" s="128"/>
      <c r="P49" s="128"/>
    </row>
  </sheetData>
  <mergeCells count="1">
    <mergeCell ref="A1:P1"/>
  </mergeCells>
  <printOptions horizontalCentered="1"/>
  <pageMargins left="0.39370078740157483" right="0.39370078740157483" top="0.23622047244094491" bottom="0.23622047244094491" header="0.31496062992125984" footer="0.31496062992125984"/>
  <pageSetup scale="45" orientation="landscape" r:id="rId1"/>
  <rowBreaks count="1" manualBreakCount="1">
    <brk id="18" max="16383"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M26"/>
  <sheetViews>
    <sheetView showGridLines="0" view="pageBreakPreview" zoomScale="70" zoomScaleNormal="100" zoomScaleSheetLayoutView="70" workbookViewId="0">
      <selection activeCell="R25" sqref="R25"/>
    </sheetView>
  </sheetViews>
  <sheetFormatPr baseColWidth="10" defaultColWidth="11.42578125" defaultRowHeight="15"/>
  <cols>
    <col min="1" max="1" width="16.42578125" style="59" customWidth="1"/>
    <col min="2" max="2" width="11" style="59" customWidth="1"/>
    <col min="3" max="3" width="10.85546875" style="59" customWidth="1"/>
    <col min="4" max="4" width="13.85546875" style="59" customWidth="1"/>
    <col min="5" max="5" width="11.5703125" style="59" customWidth="1"/>
    <col min="6" max="6" width="13.85546875" style="59" customWidth="1"/>
    <col min="7" max="7" width="14.5703125" style="59" customWidth="1"/>
    <col min="8" max="8" width="16.140625" style="59" customWidth="1"/>
    <col min="9" max="9" width="18.7109375" style="59" customWidth="1"/>
    <col min="10" max="10" width="15.42578125" style="59" customWidth="1"/>
    <col min="11" max="11" width="22.140625" style="59" customWidth="1"/>
    <col min="12" max="12" width="16.7109375" style="59" customWidth="1"/>
    <col min="13" max="13" width="5" style="59" customWidth="1"/>
    <col min="14" max="16384" width="11.42578125" style="59"/>
  </cols>
  <sheetData>
    <row r="1" spans="1:13" s="128" customFormat="1" ht="69" customHeight="1">
      <c r="A1" s="2543" t="s">
        <v>1997</v>
      </c>
      <c r="B1" s="2544"/>
      <c r="C1" s="2544"/>
      <c r="D1" s="2544"/>
      <c r="E1" s="2544"/>
      <c r="F1" s="2544"/>
      <c r="G1" s="2544"/>
      <c r="H1" s="2544"/>
      <c r="I1" s="2544"/>
      <c r="J1" s="2544"/>
      <c r="K1" s="2544"/>
      <c r="L1" s="2545"/>
      <c r="M1" s="455"/>
    </row>
    <row r="2" spans="1:13" s="128" customFormat="1" ht="5.25" customHeight="1">
      <c r="A2" s="347"/>
      <c r="B2" s="347"/>
      <c r="C2" s="347"/>
      <c r="D2" s="347"/>
      <c r="E2" s="347"/>
      <c r="F2" s="347"/>
      <c r="G2" s="347"/>
      <c r="H2" s="347"/>
      <c r="I2" s="347"/>
      <c r="J2" s="347"/>
      <c r="K2" s="347"/>
      <c r="L2" s="347"/>
      <c r="M2" s="455"/>
    </row>
    <row r="3" spans="1:13" s="347" customFormat="1" ht="39.75" customHeight="1">
      <c r="A3" s="562" t="s">
        <v>0</v>
      </c>
      <c r="B3" s="563" t="s">
        <v>582</v>
      </c>
      <c r="C3" s="563" t="s">
        <v>581</v>
      </c>
      <c r="D3" s="563" t="s">
        <v>580</v>
      </c>
      <c r="E3" s="563" t="s">
        <v>167</v>
      </c>
      <c r="F3" s="563" t="s">
        <v>579</v>
      </c>
      <c r="G3" s="563" t="s">
        <v>578</v>
      </c>
      <c r="H3" s="563" t="s">
        <v>577</v>
      </c>
    </row>
    <row r="4" spans="1:13" s="128" customFormat="1" ht="17.25" hidden="1" customHeight="1" thickBot="1">
      <c r="A4" s="559" t="s">
        <v>523</v>
      </c>
      <c r="B4" s="460">
        <v>124</v>
      </c>
      <c r="C4" s="460">
        <v>2251</v>
      </c>
      <c r="D4" s="460">
        <v>272</v>
      </c>
      <c r="E4" s="566">
        <f t="shared" ref="E4:E11" si="0">SUM(B4:D4)</f>
        <v>2647</v>
      </c>
      <c r="F4" s="2032">
        <f t="shared" ref="F4:F11" si="1">B4/E4</f>
        <v>4.6845485455232337E-2</v>
      </c>
      <c r="G4" s="2032">
        <f t="shared" ref="G4:G15" si="2">C4/E4</f>
        <v>0.85039667548167741</v>
      </c>
      <c r="H4" s="2032">
        <f t="shared" ref="H4:H15" si="3">D4/E4</f>
        <v>0.10275783906309029</v>
      </c>
      <c r="K4" s="1613"/>
    </row>
    <row r="5" spans="1:13" s="128" customFormat="1" ht="15.75">
      <c r="A5" s="559">
        <v>2005</v>
      </c>
      <c r="B5" s="460">
        <v>215</v>
      </c>
      <c r="C5" s="460">
        <v>3135</v>
      </c>
      <c r="D5" s="460">
        <v>381</v>
      </c>
      <c r="E5" s="566">
        <f t="shared" si="0"/>
        <v>3731</v>
      </c>
      <c r="F5" s="2032">
        <f t="shared" si="1"/>
        <v>5.7625301527740549E-2</v>
      </c>
      <c r="G5" s="2032">
        <f t="shared" si="2"/>
        <v>0.84025730367193785</v>
      </c>
      <c r="H5" s="2032">
        <f t="shared" si="3"/>
        <v>0.10211739480032163</v>
      </c>
    </row>
    <row r="6" spans="1:13" s="128" customFormat="1" ht="15.75">
      <c r="A6" s="559" t="s">
        <v>521</v>
      </c>
      <c r="B6" s="460">
        <v>530</v>
      </c>
      <c r="C6" s="460">
        <v>4514</v>
      </c>
      <c r="D6" s="460">
        <v>491</v>
      </c>
      <c r="E6" s="566">
        <f t="shared" si="0"/>
        <v>5535</v>
      </c>
      <c r="F6" s="2032">
        <f t="shared" si="1"/>
        <v>9.5754290876242099E-2</v>
      </c>
      <c r="G6" s="2032">
        <f t="shared" si="2"/>
        <v>0.8155374887082204</v>
      </c>
      <c r="H6" s="2032">
        <f t="shared" si="3"/>
        <v>8.8708220415537484E-2</v>
      </c>
    </row>
    <row r="7" spans="1:13" s="128" customFormat="1" ht="15.75">
      <c r="A7" s="559" t="s">
        <v>249</v>
      </c>
      <c r="B7" s="460">
        <v>973</v>
      </c>
      <c r="C7" s="460">
        <v>7357</v>
      </c>
      <c r="D7" s="460">
        <v>214</v>
      </c>
      <c r="E7" s="566">
        <f t="shared" si="0"/>
        <v>8544</v>
      </c>
      <c r="F7" s="2032">
        <f t="shared" si="1"/>
        <v>0.11388108614232209</v>
      </c>
      <c r="G7" s="2032">
        <f t="shared" si="2"/>
        <v>0.86107209737827717</v>
      </c>
      <c r="H7" s="2032">
        <f t="shared" si="3"/>
        <v>2.5046816479400748E-2</v>
      </c>
    </row>
    <row r="8" spans="1:13" s="128" customFormat="1" ht="15.75">
      <c r="A8" s="559" t="s">
        <v>467</v>
      </c>
      <c r="B8" s="460">
        <v>1313</v>
      </c>
      <c r="C8" s="460">
        <v>9407</v>
      </c>
      <c r="D8" s="460">
        <v>257</v>
      </c>
      <c r="E8" s="566">
        <f t="shared" si="0"/>
        <v>10977</v>
      </c>
      <c r="F8" s="2032">
        <f t="shared" si="1"/>
        <v>0.11961373781543226</v>
      </c>
      <c r="G8" s="2032">
        <f t="shared" si="2"/>
        <v>0.85697367222374055</v>
      </c>
      <c r="H8" s="2032">
        <f t="shared" si="3"/>
        <v>2.3412589960827183E-2</v>
      </c>
    </row>
    <row r="9" spans="1:13" s="128" customFormat="1" ht="15.75">
      <c r="A9" s="559" t="s">
        <v>468</v>
      </c>
      <c r="B9" s="460">
        <v>1953</v>
      </c>
      <c r="C9" s="460">
        <v>12523</v>
      </c>
      <c r="D9" s="460">
        <v>207</v>
      </c>
      <c r="E9" s="566">
        <f t="shared" si="0"/>
        <v>14683</v>
      </c>
      <c r="F9" s="2032">
        <f t="shared" si="1"/>
        <v>0.1330109650616359</v>
      </c>
      <c r="G9" s="2032">
        <f t="shared" si="2"/>
        <v>0.85289109854934275</v>
      </c>
      <c r="H9" s="2032">
        <f t="shared" si="3"/>
        <v>1.4097936389021317E-2</v>
      </c>
    </row>
    <row r="10" spans="1:13" s="128" customFormat="1" ht="15.75">
      <c r="A10" s="559" t="s">
        <v>360</v>
      </c>
      <c r="B10" s="460">
        <v>2519</v>
      </c>
      <c r="C10" s="460">
        <v>14493</v>
      </c>
      <c r="D10" s="460">
        <v>444</v>
      </c>
      <c r="E10" s="566">
        <f t="shared" si="0"/>
        <v>17456</v>
      </c>
      <c r="F10" s="2032">
        <f t="shared" si="1"/>
        <v>0.1443056828597617</v>
      </c>
      <c r="G10" s="2032">
        <f t="shared" si="2"/>
        <v>0.8302589367552704</v>
      </c>
      <c r="H10" s="2032">
        <f t="shared" si="3"/>
        <v>2.5435380384967919E-2</v>
      </c>
      <c r="M10" s="59"/>
    </row>
    <row r="11" spans="1:13" s="128" customFormat="1" ht="15.75">
      <c r="A11" s="559" t="s">
        <v>469</v>
      </c>
      <c r="B11" s="460">
        <v>3191</v>
      </c>
      <c r="C11" s="460">
        <v>18636</v>
      </c>
      <c r="D11" s="460">
        <v>770</v>
      </c>
      <c r="E11" s="566">
        <f t="shared" si="0"/>
        <v>22597</v>
      </c>
      <c r="F11" s="2032">
        <f t="shared" si="1"/>
        <v>0.14121343541178033</v>
      </c>
      <c r="G11" s="2032">
        <f t="shared" si="2"/>
        <v>0.82471124485551184</v>
      </c>
      <c r="H11" s="2032">
        <f t="shared" si="3"/>
        <v>3.407531973270788E-2</v>
      </c>
      <c r="M11" s="59"/>
    </row>
    <row r="12" spans="1:13" s="128" customFormat="1" ht="15.75">
      <c r="A12" s="559" t="s">
        <v>1058</v>
      </c>
      <c r="B12" s="460">
        <v>3646</v>
      </c>
      <c r="C12" s="460">
        <v>23042</v>
      </c>
      <c r="D12" s="460">
        <v>0</v>
      </c>
      <c r="E12" s="566">
        <f>SUM(B12:D12)</f>
        <v>26688</v>
      </c>
      <c r="F12" s="2032">
        <f>B12/E12</f>
        <v>0.13661570743405277</v>
      </c>
      <c r="G12" s="2032">
        <f>C12/E12</f>
        <v>0.86338429256594729</v>
      </c>
      <c r="H12" s="2032">
        <f>D12/E12</f>
        <v>0</v>
      </c>
      <c r="M12" s="59"/>
    </row>
    <row r="13" spans="1:13" s="128" customFormat="1" ht="15.75">
      <c r="A13" s="559" t="s">
        <v>1643</v>
      </c>
      <c r="B13" s="1584">
        <v>4605</v>
      </c>
      <c r="C13" s="1584">
        <v>24027</v>
      </c>
      <c r="D13" s="1584">
        <v>3</v>
      </c>
      <c r="E13" s="566">
        <f>SUM(B13:D13)</f>
        <v>28635</v>
      </c>
      <c r="F13" s="2032">
        <f>B13/E13</f>
        <v>0.16081718177056051</v>
      </c>
      <c r="G13" s="2032">
        <f>C13/E13</f>
        <v>0.83907805133577784</v>
      </c>
      <c r="H13" s="2032">
        <f>D13/E13</f>
        <v>1.0476689366160294E-4</v>
      </c>
      <c r="M13" s="59"/>
    </row>
    <row r="14" spans="1:13" s="128" customFormat="1" ht="15.75">
      <c r="A14" s="559" t="s">
        <v>1907</v>
      </c>
      <c r="B14" s="1584">
        <v>4791</v>
      </c>
      <c r="C14" s="1584">
        <v>26240</v>
      </c>
      <c r="D14" s="1584">
        <v>1</v>
      </c>
      <c r="E14" s="566">
        <f>SUM(B14:D14)</f>
        <v>31032</v>
      </c>
      <c r="F14" s="2032">
        <f>B14/E14</f>
        <v>0.15438901778808972</v>
      </c>
      <c r="G14" s="2032">
        <f>C14/E14</f>
        <v>0.84557875741170407</v>
      </c>
      <c r="H14" s="2032">
        <f>D14/E14</f>
        <v>3.2224800206238723E-5</v>
      </c>
      <c r="M14" s="59"/>
    </row>
    <row r="15" spans="1:13" s="128" customFormat="1" ht="15.75">
      <c r="A15" s="563" t="s">
        <v>23</v>
      </c>
      <c r="B15" s="564">
        <f>SUM(B5:B14)</f>
        <v>23736</v>
      </c>
      <c r="C15" s="564">
        <f>SUM(C5:C14)</f>
        <v>143374</v>
      </c>
      <c r="D15" s="564">
        <f>SUM(D5:D14)</f>
        <v>2768</v>
      </c>
      <c r="E15" s="564">
        <f>SUM(E5:E14)</f>
        <v>169878</v>
      </c>
      <c r="F15" s="565">
        <f>B15/E15</f>
        <v>0.1397238017871649</v>
      </c>
      <c r="G15" s="565">
        <f t="shared" si="2"/>
        <v>0.8439821518972439</v>
      </c>
      <c r="H15" s="565">
        <f t="shared" si="3"/>
        <v>1.6294046315591188E-2</v>
      </c>
      <c r="L15" s="59"/>
      <c r="M15" s="59"/>
    </row>
    <row r="16" spans="1:13" s="128" customFormat="1">
      <c r="A16" s="379"/>
      <c r="B16" s="378"/>
      <c r="C16" s="378"/>
      <c r="D16" s="378"/>
      <c r="L16" s="59"/>
      <c r="M16" s="59"/>
    </row>
    <row r="17" spans="1:12" s="128" customFormat="1">
      <c r="A17" s="379"/>
      <c r="B17" s="378"/>
      <c r="C17" s="378"/>
      <c r="D17" s="378"/>
    </row>
    <row r="18" spans="1:12" s="128" customFormat="1">
      <c r="A18" s="379"/>
      <c r="B18" s="378"/>
      <c r="C18" s="378"/>
      <c r="D18" s="378"/>
    </row>
    <row r="19" spans="1:12" s="128" customFormat="1">
      <c r="A19" s="379"/>
      <c r="B19" s="378"/>
      <c r="C19" s="378"/>
      <c r="D19" s="378"/>
    </row>
    <row r="20" spans="1:12" s="128" customFormat="1"/>
    <row r="21" spans="1:12" s="128" customFormat="1"/>
    <row r="22" spans="1:12" s="128" customFormat="1"/>
    <row r="23" spans="1:12" s="128" customFormat="1"/>
    <row r="24" spans="1:12" s="128" customFormat="1"/>
    <row r="25" spans="1:12">
      <c r="A25" s="128"/>
      <c r="B25" s="128"/>
      <c r="C25" s="128"/>
      <c r="D25" s="128"/>
      <c r="E25" s="128"/>
      <c r="F25" s="128"/>
      <c r="G25" s="128"/>
      <c r="H25" s="128"/>
    </row>
    <row r="26" spans="1:12">
      <c r="A26" s="128"/>
      <c r="B26" s="128"/>
      <c r="C26" s="128"/>
      <c r="D26" s="128"/>
      <c r="E26" s="128"/>
      <c r="F26" s="128"/>
      <c r="G26" s="128"/>
      <c r="H26" s="128"/>
      <c r="L26" s="377"/>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O33"/>
  <sheetViews>
    <sheetView showGridLines="0" view="pageBreakPreview" zoomScale="85" zoomScaleNormal="100" zoomScaleSheetLayoutView="85" workbookViewId="0">
      <pane xSplit="1" ySplit="3" topLeftCell="J4" activePane="bottomRight" state="frozen"/>
      <selection pane="topRight" activeCell="B1" sqref="B1"/>
      <selection pane="bottomLeft" activeCell="A4" sqref="A4"/>
      <selection pane="bottomRight" activeCell="K23" sqref="K23"/>
    </sheetView>
  </sheetViews>
  <sheetFormatPr baseColWidth="10" defaultColWidth="11.42578125" defaultRowHeight="19.5" customHeight="1"/>
  <cols>
    <col min="1" max="1" width="43.28515625" style="59" customWidth="1"/>
    <col min="2" max="2" width="10.140625" style="59" customWidth="1"/>
    <col min="3" max="3" width="10.28515625" style="59" bestFit="1" customWidth="1"/>
    <col min="4" max="4" width="10.5703125" style="59" customWidth="1"/>
    <col min="5" max="5" width="10.85546875" style="59" customWidth="1"/>
    <col min="6" max="6" width="10.42578125" style="59" customWidth="1"/>
    <col min="7" max="7" width="10" style="59" customWidth="1"/>
    <col min="8" max="8" width="12.5703125" style="59" customWidth="1"/>
    <col min="9" max="9" width="11.42578125" style="59" customWidth="1"/>
    <col min="10" max="10" width="10.5703125" style="59" customWidth="1"/>
    <col min="11" max="11" width="15.42578125" style="59" customWidth="1"/>
    <col min="12" max="12" width="12.85546875" style="59" bestFit="1" customWidth="1"/>
    <col min="13" max="13" width="12.7109375" style="59" customWidth="1"/>
    <col min="14" max="14" width="11.42578125" style="59"/>
    <col min="15" max="15" width="10.28515625" style="59" customWidth="1"/>
    <col min="16" max="16384" width="11.42578125" style="59"/>
  </cols>
  <sheetData>
    <row r="1" spans="1:14" s="128" customFormat="1" ht="64.5" customHeight="1">
      <c r="A1" s="2548" t="s">
        <v>1427</v>
      </c>
      <c r="B1" s="2548"/>
      <c r="C1" s="2548"/>
      <c r="D1" s="2548"/>
      <c r="E1" s="2548"/>
      <c r="F1" s="2548"/>
      <c r="G1" s="2548"/>
      <c r="H1" s="2548"/>
      <c r="I1" s="2548"/>
      <c r="J1" s="2548"/>
      <c r="K1" s="2548"/>
      <c r="L1" s="2548"/>
      <c r="M1" s="2548"/>
      <c r="N1" s="2548"/>
    </row>
    <row r="2" spans="1:14" s="128" customFormat="1" ht="5.25" customHeight="1">
      <c r="A2" s="2546"/>
      <c r="B2" s="2547"/>
      <c r="C2" s="2547"/>
      <c r="D2" s="2547"/>
      <c r="E2" s="2547"/>
      <c r="F2" s="2547"/>
      <c r="G2" s="2547"/>
      <c r="H2" s="2547"/>
      <c r="I2" s="2547"/>
      <c r="J2" s="2547"/>
      <c r="K2" s="2547"/>
      <c r="L2" s="2547"/>
      <c r="M2" s="2547"/>
    </row>
    <row r="3" spans="1:14" s="347" customFormat="1" ht="31.5">
      <c r="A3" s="456" t="s">
        <v>599</v>
      </c>
      <c r="B3" s="738" t="s">
        <v>523</v>
      </c>
      <c r="C3" s="738" t="s">
        <v>522</v>
      </c>
      <c r="D3" s="738" t="s">
        <v>521</v>
      </c>
      <c r="E3" s="738" t="s">
        <v>249</v>
      </c>
      <c r="F3" s="738" t="s">
        <v>467</v>
      </c>
      <c r="G3" s="738" t="s">
        <v>468</v>
      </c>
      <c r="H3" s="738" t="s">
        <v>360</v>
      </c>
      <c r="I3" s="738" t="s">
        <v>469</v>
      </c>
      <c r="J3" s="738" t="s">
        <v>1058</v>
      </c>
      <c r="K3" s="904" t="s">
        <v>1426</v>
      </c>
      <c r="L3" s="738" t="s">
        <v>167</v>
      </c>
      <c r="M3" s="738" t="s">
        <v>598</v>
      </c>
    </row>
    <row r="4" spans="1:14" s="128" customFormat="1" ht="15.75">
      <c r="A4" s="567" t="s">
        <v>597</v>
      </c>
      <c r="B4" s="170">
        <v>19</v>
      </c>
      <c r="C4" s="170">
        <v>42</v>
      </c>
      <c r="D4" s="170">
        <v>93</v>
      </c>
      <c r="E4" s="170">
        <v>101</v>
      </c>
      <c r="F4" s="170">
        <v>177</v>
      </c>
      <c r="G4" s="170">
        <v>198</v>
      </c>
      <c r="H4" s="170">
        <v>266</v>
      </c>
      <c r="I4" s="170">
        <v>385</v>
      </c>
      <c r="J4" s="392">
        <v>377</v>
      </c>
      <c r="K4" s="392">
        <v>328</v>
      </c>
      <c r="L4" s="469">
        <f>SUM(B4:K4)</f>
        <v>1986</v>
      </c>
      <c r="M4" s="568">
        <f t="shared" ref="M4:M21" si="0">L4/$L$22</f>
        <v>1.6982196911395003E-2</v>
      </c>
    </row>
    <row r="5" spans="1:14" s="128" customFormat="1" ht="15.75">
      <c r="A5" s="567" t="s">
        <v>596</v>
      </c>
      <c r="B5" s="170">
        <v>2</v>
      </c>
      <c r="C5" s="170">
        <v>2</v>
      </c>
      <c r="D5" s="170">
        <v>11</v>
      </c>
      <c r="E5" s="170">
        <v>1</v>
      </c>
      <c r="F5" s="170">
        <v>4</v>
      </c>
      <c r="G5" s="170">
        <v>5</v>
      </c>
      <c r="H5" s="170">
        <v>4</v>
      </c>
      <c r="I5" s="170">
        <v>7</v>
      </c>
      <c r="J5" s="392">
        <v>9</v>
      </c>
      <c r="K5" s="392">
        <v>6</v>
      </c>
      <c r="L5" s="469">
        <f t="shared" ref="L5:L21" si="1">SUM(B5:K5)</f>
        <v>51</v>
      </c>
      <c r="M5" s="568">
        <f t="shared" si="0"/>
        <v>4.3609871222615565E-4</v>
      </c>
    </row>
    <row r="6" spans="1:14" s="128" customFormat="1" ht="15.75">
      <c r="A6" s="567" t="s">
        <v>595</v>
      </c>
      <c r="B6" s="170">
        <v>4</v>
      </c>
      <c r="C6" s="170">
        <v>35</v>
      </c>
      <c r="D6" s="170">
        <v>50</v>
      </c>
      <c r="E6" s="170">
        <v>33</v>
      </c>
      <c r="F6" s="170">
        <v>20</v>
      </c>
      <c r="G6" s="170">
        <v>49</v>
      </c>
      <c r="H6" s="170">
        <v>116</v>
      </c>
      <c r="I6" s="170">
        <v>46</v>
      </c>
      <c r="J6" s="392">
        <v>102</v>
      </c>
      <c r="K6" s="392">
        <v>91</v>
      </c>
      <c r="L6" s="469">
        <f t="shared" si="1"/>
        <v>546</v>
      </c>
      <c r="M6" s="568">
        <f t="shared" si="0"/>
        <v>4.6688215073623727E-3</v>
      </c>
    </row>
    <row r="7" spans="1:14" s="128" customFormat="1" ht="15.75">
      <c r="A7" s="567" t="s">
        <v>594</v>
      </c>
      <c r="B7" s="170">
        <v>1574</v>
      </c>
      <c r="C7" s="170">
        <v>1866</v>
      </c>
      <c r="D7" s="170">
        <v>2577</v>
      </c>
      <c r="E7" s="170">
        <v>3712</v>
      </c>
      <c r="F7" s="170">
        <v>4472</v>
      </c>
      <c r="G7" s="170">
        <v>5805</v>
      </c>
      <c r="H7" s="170">
        <v>6282</v>
      </c>
      <c r="I7" s="170">
        <v>7467</v>
      </c>
      <c r="J7" s="392">
        <v>4936</v>
      </c>
      <c r="K7" s="392">
        <v>4147</v>
      </c>
      <c r="L7" s="469">
        <f t="shared" si="1"/>
        <v>42838</v>
      </c>
      <c r="M7" s="568">
        <f t="shared" si="0"/>
        <v>0.3663058163596874</v>
      </c>
    </row>
    <row r="8" spans="1:14" s="128" customFormat="1" ht="15.75">
      <c r="A8" s="567" t="s">
        <v>759</v>
      </c>
      <c r="B8" s="170">
        <v>68</v>
      </c>
      <c r="C8" s="170">
        <v>111</v>
      </c>
      <c r="D8" s="170">
        <v>125</v>
      </c>
      <c r="E8" s="170">
        <v>166</v>
      </c>
      <c r="F8" s="170">
        <v>166</v>
      </c>
      <c r="G8" s="170">
        <v>325</v>
      </c>
      <c r="H8" s="170">
        <v>427</v>
      </c>
      <c r="I8" s="170">
        <v>509</v>
      </c>
      <c r="J8" s="392">
        <v>374</v>
      </c>
      <c r="K8" s="392">
        <v>320</v>
      </c>
      <c r="L8" s="469">
        <f t="shared" si="1"/>
        <v>2591</v>
      </c>
      <c r="M8" s="568">
        <f t="shared" si="0"/>
        <v>2.2155524772117047E-2</v>
      </c>
    </row>
    <row r="9" spans="1:14" s="128" customFormat="1" ht="15.75">
      <c r="A9" s="567" t="s">
        <v>153</v>
      </c>
      <c r="B9" s="170">
        <v>151</v>
      </c>
      <c r="C9" s="170">
        <v>252</v>
      </c>
      <c r="D9" s="170">
        <v>304</v>
      </c>
      <c r="E9" s="170">
        <v>407</v>
      </c>
      <c r="F9" s="170">
        <v>569</v>
      </c>
      <c r="G9" s="170">
        <v>594</v>
      </c>
      <c r="H9" s="170">
        <v>699</v>
      </c>
      <c r="I9" s="170">
        <v>939</v>
      </c>
      <c r="J9" s="392">
        <v>664</v>
      </c>
      <c r="K9" s="392">
        <v>569</v>
      </c>
      <c r="L9" s="469">
        <f t="shared" si="1"/>
        <v>5148</v>
      </c>
      <c r="M9" s="568">
        <f t="shared" si="0"/>
        <v>4.4020317069416656E-2</v>
      </c>
    </row>
    <row r="10" spans="1:14" s="128" customFormat="1" ht="15.75">
      <c r="A10" s="567" t="s">
        <v>154</v>
      </c>
      <c r="B10" s="170">
        <v>307</v>
      </c>
      <c r="C10" s="170">
        <v>552</v>
      </c>
      <c r="D10" s="170">
        <v>723</v>
      </c>
      <c r="E10" s="170">
        <v>1079</v>
      </c>
      <c r="F10" s="170">
        <v>1435</v>
      </c>
      <c r="G10" s="170">
        <v>2034</v>
      </c>
      <c r="H10" s="170">
        <v>2443</v>
      </c>
      <c r="I10" s="170">
        <v>3360</v>
      </c>
      <c r="J10" s="392">
        <v>2717</v>
      </c>
      <c r="K10" s="392">
        <v>2309</v>
      </c>
      <c r="L10" s="469">
        <f t="shared" si="1"/>
        <v>16959</v>
      </c>
      <c r="M10" s="568">
        <f t="shared" si="0"/>
        <v>0.1450156482479093</v>
      </c>
    </row>
    <row r="11" spans="1:14" s="128" customFormat="1" ht="15.75">
      <c r="A11" s="567" t="s">
        <v>593</v>
      </c>
      <c r="B11" s="170">
        <v>168</v>
      </c>
      <c r="C11" s="170">
        <v>285</v>
      </c>
      <c r="D11" s="170">
        <v>674</v>
      </c>
      <c r="E11" s="170">
        <v>1460</v>
      </c>
      <c r="F11" s="170">
        <v>1778</v>
      </c>
      <c r="G11" s="170">
        <v>2127</v>
      </c>
      <c r="H11" s="170">
        <v>2512</v>
      </c>
      <c r="I11" s="170">
        <v>3102</v>
      </c>
      <c r="J11" s="392">
        <v>2226</v>
      </c>
      <c r="K11" s="392">
        <v>1885</v>
      </c>
      <c r="L11" s="469">
        <f t="shared" si="1"/>
        <v>16217</v>
      </c>
      <c r="M11" s="568">
        <f t="shared" si="0"/>
        <v>0.13867083953277581</v>
      </c>
    </row>
    <row r="12" spans="1:14" s="128" customFormat="1" ht="15.75">
      <c r="A12" s="567" t="s">
        <v>592</v>
      </c>
      <c r="B12" s="170">
        <v>50</v>
      </c>
      <c r="C12" s="170">
        <v>77</v>
      </c>
      <c r="D12" s="170">
        <v>190</v>
      </c>
      <c r="E12" s="170">
        <v>318</v>
      </c>
      <c r="F12" s="170">
        <v>419</v>
      </c>
      <c r="G12" s="170">
        <v>597</v>
      </c>
      <c r="H12" s="170">
        <v>720</v>
      </c>
      <c r="I12" s="170">
        <v>954</v>
      </c>
      <c r="J12" s="392">
        <v>708</v>
      </c>
      <c r="K12" s="392">
        <v>595</v>
      </c>
      <c r="L12" s="469">
        <f t="shared" si="1"/>
        <v>4628</v>
      </c>
      <c r="M12" s="568">
        <f t="shared" si="0"/>
        <v>3.9573820395738202E-2</v>
      </c>
    </row>
    <row r="13" spans="1:14" s="128" customFormat="1" ht="15.75">
      <c r="A13" s="567" t="s">
        <v>591</v>
      </c>
      <c r="B13" s="170">
        <v>44</v>
      </c>
      <c r="C13" s="170">
        <v>53</v>
      </c>
      <c r="D13" s="170">
        <v>94</v>
      </c>
      <c r="E13" s="170">
        <v>159</v>
      </c>
      <c r="F13" s="170">
        <v>212</v>
      </c>
      <c r="G13" s="170">
        <v>312</v>
      </c>
      <c r="H13" s="170">
        <v>374</v>
      </c>
      <c r="I13" s="170">
        <v>494</v>
      </c>
      <c r="J13" s="392">
        <v>370</v>
      </c>
      <c r="K13" s="392">
        <v>304</v>
      </c>
      <c r="L13" s="469">
        <f t="shared" si="1"/>
        <v>2416</v>
      </c>
      <c r="M13" s="568">
        <f t="shared" si="0"/>
        <v>2.0659107622321413E-2</v>
      </c>
    </row>
    <row r="14" spans="1:14" s="128" customFormat="1" ht="15.75">
      <c r="A14" s="567" t="s">
        <v>590</v>
      </c>
      <c r="B14" s="170">
        <v>105</v>
      </c>
      <c r="C14" s="170">
        <v>217</v>
      </c>
      <c r="D14" s="170">
        <v>215</v>
      </c>
      <c r="E14" s="170">
        <v>323</v>
      </c>
      <c r="F14" s="170">
        <v>451</v>
      </c>
      <c r="G14" s="170">
        <v>717</v>
      </c>
      <c r="H14" s="170">
        <v>912</v>
      </c>
      <c r="I14" s="170">
        <v>1216</v>
      </c>
      <c r="J14" s="392">
        <v>963</v>
      </c>
      <c r="K14" s="392">
        <v>810</v>
      </c>
      <c r="L14" s="469">
        <f t="shared" si="1"/>
        <v>5929</v>
      </c>
      <c r="M14" s="568">
        <f t="shared" si="0"/>
        <v>5.0698613035076015E-2</v>
      </c>
    </row>
    <row r="15" spans="1:14" s="128" customFormat="1" ht="15.75">
      <c r="A15" s="567" t="s">
        <v>589</v>
      </c>
      <c r="B15" s="170">
        <v>1</v>
      </c>
      <c r="C15" s="170">
        <v>14</v>
      </c>
      <c r="D15" s="170">
        <v>35</v>
      </c>
      <c r="E15" s="170">
        <v>71</v>
      </c>
      <c r="F15" s="170">
        <v>95</v>
      </c>
      <c r="G15" s="170">
        <v>185</v>
      </c>
      <c r="H15" s="170">
        <v>327</v>
      </c>
      <c r="I15" s="170">
        <v>520</v>
      </c>
      <c r="J15" s="392">
        <v>514</v>
      </c>
      <c r="K15" s="392">
        <v>441</v>
      </c>
      <c r="L15" s="469">
        <f t="shared" si="1"/>
        <v>2203</v>
      </c>
      <c r="M15" s="568">
        <f t="shared" si="0"/>
        <v>1.8837754177141588E-2</v>
      </c>
    </row>
    <row r="16" spans="1:14" s="128" customFormat="1" ht="15.75">
      <c r="A16" s="567" t="s">
        <v>588</v>
      </c>
      <c r="B16" s="170">
        <v>22</v>
      </c>
      <c r="C16" s="170">
        <v>19</v>
      </c>
      <c r="D16" s="170">
        <v>40</v>
      </c>
      <c r="E16" s="170">
        <v>85</v>
      </c>
      <c r="F16" s="170">
        <v>212</v>
      </c>
      <c r="G16" s="170">
        <v>345</v>
      </c>
      <c r="H16" s="170">
        <v>569</v>
      </c>
      <c r="I16" s="170">
        <v>1026</v>
      </c>
      <c r="J16" s="392">
        <v>934</v>
      </c>
      <c r="K16" s="392">
        <v>852</v>
      </c>
      <c r="L16" s="469">
        <f t="shared" si="1"/>
        <v>4104</v>
      </c>
      <c r="M16" s="568">
        <f t="shared" si="0"/>
        <v>3.5093119901492997E-2</v>
      </c>
    </row>
    <row r="17" spans="1:15" s="128" customFormat="1" ht="15.75">
      <c r="A17" s="567" t="s">
        <v>587</v>
      </c>
      <c r="B17" s="170">
        <v>17</v>
      </c>
      <c r="C17" s="170">
        <v>69</v>
      </c>
      <c r="D17" s="170">
        <v>191</v>
      </c>
      <c r="E17" s="170">
        <v>307</v>
      </c>
      <c r="F17" s="170">
        <v>465</v>
      </c>
      <c r="G17" s="170">
        <v>720</v>
      </c>
      <c r="H17" s="170">
        <v>878</v>
      </c>
      <c r="I17" s="170">
        <v>1341</v>
      </c>
      <c r="J17" s="392">
        <v>1126</v>
      </c>
      <c r="K17" s="392">
        <v>955</v>
      </c>
      <c r="L17" s="469">
        <f t="shared" si="1"/>
        <v>6069</v>
      </c>
      <c r="M17" s="568">
        <f t="shared" si="0"/>
        <v>5.1895746754912521E-2</v>
      </c>
    </row>
    <row r="18" spans="1:15" s="128" customFormat="1" ht="15.75">
      <c r="A18" s="567" t="s">
        <v>586</v>
      </c>
      <c r="B18" s="170">
        <v>41</v>
      </c>
      <c r="C18" s="170">
        <v>48</v>
      </c>
      <c r="D18" s="170">
        <v>87</v>
      </c>
      <c r="E18" s="170">
        <v>134</v>
      </c>
      <c r="F18" s="170">
        <v>209</v>
      </c>
      <c r="G18" s="170">
        <v>341</v>
      </c>
      <c r="H18" s="170">
        <v>490</v>
      </c>
      <c r="I18" s="170">
        <v>702</v>
      </c>
      <c r="J18" s="392">
        <v>544</v>
      </c>
      <c r="K18" s="392">
        <v>460</v>
      </c>
      <c r="L18" s="469">
        <f t="shared" si="1"/>
        <v>3056</v>
      </c>
      <c r="M18" s="568">
        <f t="shared" si="0"/>
        <v>2.6131718913002581E-2</v>
      </c>
      <c r="O18" s="59"/>
    </row>
    <row r="19" spans="1:15" s="128" customFormat="1" ht="15.75">
      <c r="A19" s="567" t="s">
        <v>585</v>
      </c>
      <c r="B19" s="170">
        <v>16</v>
      </c>
      <c r="C19" s="170">
        <v>17</v>
      </c>
      <c r="D19" s="170">
        <v>14</v>
      </c>
      <c r="E19" s="170">
        <v>15</v>
      </c>
      <c r="F19" s="170">
        <v>11</v>
      </c>
      <c r="G19" s="170">
        <v>11</v>
      </c>
      <c r="H19" s="170">
        <v>19</v>
      </c>
      <c r="I19" s="170">
        <v>39</v>
      </c>
      <c r="J19" s="392">
        <v>27</v>
      </c>
      <c r="K19" s="392">
        <v>26</v>
      </c>
      <c r="L19" s="469">
        <f t="shared" si="1"/>
        <v>195</v>
      </c>
      <c r="M19" s="568">
        <f t="shared" si="0"/>
        <v>1.6674362526294187E-3</v>
      </c>
      <c r="O19" s="59"/>
    </row>
    <row r="20" spans="1:15" s="128" customFormat="1" ht="15.75">
      <c r="A20" s="567" t="s">
        <v>584</v>
      </c>
      <c r="B20" s="170">
        <v>0</v>
      </c>
      <c r="C20" s="170">
        <v>0</v>
      </c>
      <c r="D20" s="170">
        <v>3</v>
      </c>
      <c r="E20" s="170">
        <v>1</v>
      </c>
      <c r="F20" s="170">
        <v>1</v>
      </c>
      <c r="G20" s="170">
        <v>1</v>
      </c>
      <c r="H20" s="170">
        <v>5</v>
      </c>
      <c r="I20" s="170">
        <v>3</v>
      </c>
      <c r="J20" s="392">
        <v>5</v>
      </c>
      <c r="K20" s="392">
        <v>3</v>
      </c>
      <c r="L20" s="469">
        <f t="shared" si="1"/>
        <v>22</v>
      </c>
      <c r="M20" s="568">
        <f t="shared" si="0"/>
        <v>1.8812101311716517E-4</v>
      </c>
      <c r="O20" s="59"/>
    </row>
    <row r="21" spans="1:15" s="128" customFormat="1" ht="15.75">
      <c r="A21" s="567" t="s">
        <v>583</v>
      </c>
      <c r="B21" s="170">
        <v>58</v>
      </c>
      <c r="C21" s="170">
        <v>72</v>
      </c>
      <c r="D21" s="170">
        <v>109</v>
      </c>
      <c r="E21" s="170">
        <v>172</v>
      </c>
      <c r="F21" s="170">
        <v>281</v>
      </c>
      <c r="G21" s="170">
        <v>317</v>
      </c>
      <c r="H21" s="170">
        <v>413</v>
      </c>
      <c r="I21" s="170">
        <v>487</v>
      </c>
      <c r="J21" s="392">
        <v>43</v>
      </c>
      <c r="K21" s="392">
        <v>36</v>
      </c>
      <c r="L21" s="469">
        <f t="shared" si="1"/>
        <v>1988</v>
      </c>
      <c r="M21" s="568">
        <f t="shared" si="0"/>
        <v>1.6999298821678381E-2</v>
      </c>
      <c r="O21" s="59"/>
    </row>
    <row r="22" spans="1:15" s="347" customFormat="1" ht="19.5" customHeight="1">
      <c r="A22" s="567" t="s">
        <v>23</v>
      </c>
      <c r="B22" s="461">
        <f t="shared" ref="B22:M22" si="2">SUM(B4:B21)</f>
        <v>2647</v>
      </c>
      <c r="C22" s="461">
        <f t="shared" si="2"/>
        <v>3731</v>
      </c>
      <c r="D22" s="461">
        <f t="shared" si="2"/>
        <v>5535</v>
      </c>
      <c r="E22" s="461">
        <f t="shared" si="2"/>
        <v>8544</v>
      </c>
      <c r="F22" s="461">
        <f t="shared" si="2"/>
        <v>10977</v>
      </c>
      <c r="G22" s="461">
        <f t="shared" si="2"/>
        <v>14683</v>
      </c>
      <c r="H22" s="461">
        <f t="shared" si="2"/>
        <v>17456</v>
      </c>
      <c r="I22" s="461">
        <f t="shared" si="2"/>
        <v>22597</v>
      </c>
      <c r="J22" s="461">
        <f t="shared" si="2"/>
        <v>16639</v>
      </c>
      <c r="K22" s="461">
        <f>SUM(K4:K21)</f>
        <v>14137</v>
      </c>
      <c r="L22" s="461">
        <f t="shared" si="2"/>
        <v>116946</v>
      </c>
      <c r="M22" s="865">
        <f t="shared" si="2"/>
        <v>1</v>
      </c>
      <c r="O22" s="59"/>
    </row>
    <row r="23" spans="1:15" s="128" customFormat="1" ht="19.5" customHeight="1">
      <c r="O23" s="59"/>
    </row>
    <row r="24" spans="1:15" s="128" customFormat="1" ht="19.5" customHeight="1">
      <c r="O24" s="59"/>
    </row>
    <row r="25" spans="1:15" s="128" customFormat="1" ht="19.5" customHeight="1">
      <c r="O25" s="59"/>
    </row>
    <row r="26" spans="1:15" s="128" customFormat="1" ht="19.5" customHeight="1">
      <c r="O26" s="59"/>
    </row>
    <row r="27" spans="1:15" s="128" customFormat="1" ht="19.5" customHeight="1">
      <c r="O27" s="59"/>
    </row>
    <row r="28" spans="1:15" s="128" customFormat="1" ht="19.5" customHeight="1">
      <c r="O28" s="59"/>
    </row>
    <row r="29" spans="1:15" s="128" customFormat="1" ht="19.5" customHeight="1">
      <c r="O29" s="59"/>
    </row>
    <row r="30" spans="1:15" s="128" customFormat="1" ht="19.5" customHeight="1">
      <c r="O30" s="59"/>
    </row>
    <row r="31" spans="1:15" s="128" customFormat="1" ht="19.5" customHeight="1">
      <c r="O31" s="59"/>
    </row>
    <row r="32" spans="1:15" s="128" customFormat="1" ht="19.5" customHeight="1">
      <c r="O32" s="59"/>
    </row>
    <row r="33" spans="15:15" s="128" customFormat="1" ht="19.5" customHeight="1">
      <c r="O33" s="59"/>
    </row>
  </sheetData>
  <mergeCells count="2">
    <mergeCell ref="A2:M2"/>
    <mergeCell ref="A1:N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23"/>
  <sheetViews>
    <sheetView showGridLines="0" view="pageBreakPreview" zoomScale="73" zoomScaleNormal="100" zoomScaleSheetLayoutView="73" workbookViewId="0">
      <selection activeCell="I3" sqref="I3:I11"/>
    </sheetView>
  </sheetViews>
  <sheetFormatPr baseColWidth="10" defaultColWidth="11.42578125" defaultRowHeight="15"/>
  <cols>
    <col min="1" max="1" width="55.7109375" style="59" customWidth="1"/>
    <col min="2" max="2" width="9.42578125" style="59" customWidth="1"/>
    <col min="3" max="3" width="8.140625" style="59" customWidth="1"/>
    <col min="4" max="4" width="9.85546875" style="59" customWidth="1"/>
    <col min="5" max="5" width="8.85546875" style="59" customWidth="1"/>
    <col min="6" max="6" width="10.42578125" style="59" customWidth="1"/>
    <col min="7" max="7" width="12" style="59" customWidth="1"/>
    <col min="8" max="8" width="12.5703125" style="59" customWidth="1"/>
    <col min="9" max="9" width="13.28515625" style="59" customWidth="1"/>
    <col min="10" max="10" width="13.7109375" style="59" customWidth="1"/>
    <col min="11" max="11" width="14.5703125" style="59" customWidth="1"/>
    <col min="12" max="12" width="13.85546875" style="59" customWidth="1"/>
    <col min="13" max="13" width="11.42578125" style="59" customWidth="1"/>
    <col min="14" max="16384" width="11.42578125" style="59"/>
  </cols>
  <sheetData>
    <row r="1" spans="1:27" s="128" customFormat="1" ht="59.25" customHeight="1">
      <c r="A1" s="2549" t="s">
        <v>939</v>
      </c>
      <c r="B1" s="2549"/>
      <c r="C1" s="2549"/>
      <c r="D1" s="2549"/>
      <c r="E1" s="2549"/>
      <c r="F1" s="2549"/>
      <c r="G1" s="2549"/>
      <c r="H1" s="2549"/>
      <c r="I1" s="2549"/>
      <c r="J1" s="2549"/>
      <c r="K1" s="2549"/>
      <c r="L1" s="2549"/>
      <c r="X1" s="384" t="s">
        <v>520</v>
      </c>
      <c r="Y1" s="383" t="s">
        <v>55</v>
      </c>
      <c r="Z1" s="383" t="s">
        <v>54</v>
      </c>
    </row>
    <row r="2" spans="1:27" s="347" customFormat="1" ht="31.5">
      <c r="A2" s="456" t="s">
        <v>609</v>
      </c>
      <c r="B2" s="457" t="s">
        <v>523</v>
      </c>
      <c r="C2" s="457" t="s">
        <v>522</v>
      </c>
      <c r="D2" s="457" t="s">
        <v>521</v>
      </c>
      <c r="E2" s="457" t="s">
        <v>249</v>
      </c>
      <c r="F2" s="457" t="s">
        <v>467</v>
      </c>
      <c r="G2" s="457" t="s">
        <v>468</v>
      </c>
      <c r="H2" s="457" t="s">
        <v>360</v>
      </c>
      <c r="I2" s="457" t="s">
        <v>469</v>
      </c>
      <c r="J2" s="457" t="s">
        <v>938</v>
      </c>
      <c r="K2" s="457" t="s">
        <v>167</v>
      </c>
      <c r="L2" s="457" t="s">
        <v>598</v>
      </c>
      <c r="Y2" s="453" t="s">
        <v>574</v>
      </c>
      <c r="Z2" s="454">
        <f>B9*-1</f>
        <v>-48</v>
      </c>
      <c r="AA2" s="452">
        <v>12324</v>
      </c>
    </row>
    <row r="3" spans="1:27" s="128" customFormat="1" ht="17.25" customHeight="1">
      <c r="A3" s="468" t="s">
        <v>608</v>
      </c>
      <c r="B3" s="170">
        <v>36</v>
      </c>
      <c r="C3" s="170">
        <v>31</v>
      </c>
      <c r="D3" s="170">
        <v>35</v>
      </c>
      <c r="E3" s="170">
        <v>115</v>
      </c>
      <c r="F3" s="170">
        <v>66</v>
      </c>
      <c r="G3" s="170">
        <v>126</v>
      </c>
      <c r="H3" s="170">
        <v>125</v>
      </c>
      <c r="I3" s="170">
        <v>141</v>
      </c>
      <c r="J3" s="500"/>
      <c r="K3" s="432">
        <f>SUM(B3:J3)</f>
        <v>675</v>
      </c>
      <c r="L3" s="387">
        <f t="shared" ref="L3:L11" si="0">K3/$K$12</f>
        <v>7.8333526749448761E-3</v>
      </c>
      <c r="M3" s="22"/>
      <c r="Y3" s="381">
        <v>2010</v>
      </c>
      <c r="Z3" s="388">
        <f>B8*-1</f>
        <v>-23</v>
      </c>
      <c r="AA3" s="170">
        <v>13516</v>
      </c>
    </row>
    <row r="4" spans="1:27" s="128" customFormat="1" ht="15.75">
      <c r="A4" s="468" t="s">
        <v>607</v>
      </c>
      <c r="B4" s="170">
        <v>233</v>
      </c>
      <c r="C4" s="170">
        <v>446</v>
      </c>
      <c r="D4" s="170">
        <v>1985</v>
      </c>
      <c r="E4" s="170">
        <v>2321</v>
      </c>
      <c r="F4" s="170">
        <v>4707</v>
      </c>
      <c r="G4" s="170">
        <v>6759</v>
      </c>
      <c r="H4" s="170">
        <v>9046</v>
      </c>
      <c r="I4" s="170">
        <v>12253</v>
      </c>
      <c r="J4" s="500"/>
      <c r="K4" s="432">
        <f t="shared" ref="K4:K11" si="1">SUM(B4:I4)</f>
        <v>37750</v>
      </c>
      <c r="L4" s="387">
        <f t="shared" si="0"/>
        <v>0.43808750145062086</v>
      </c>
      <c r="M4" s="22"/>
      <c r="Y4" s="382">
        <v>2009</v>
      </c>
      <c r="Z4" s="388" t="e">
        <f>#REF!*-1</f>
        <v>#REF!</v>
      </c>
      <c r="AA4" s="170">
        <v>11607</v>
      </c>
    </row>
    <row r="5" spans="1:27" s="128" customFormat="1" ht="15.75">
      <c r="A5" s="468" t="s">
        <v>606</v>
      </c>
      <c r="B5" s="170">
        <v>8</v>
      </c>
      <c r="C5" s="170">
        <v>24</v>
      </c>
      <c r="D5" s="170">
        <v>27</v>
      </c>
      <c r="E5" s="170">
        <v>128</v>
      </c>
      <c r="F5" s="170">
        <v>61</v>
      </c>
      <c r="G5" s="170">
        <v>177</v>
      </c>
      <c r="H5" s="170">
        <v>123</v>
      </c>
      <c r="I5" s="170">
        <v>302</v>
      </c>
      <c r="J5" s="500"/>
      <c r="K5" s="432">
        <f t="shared" si="1"/>
        <v>850</v>
      </c>
      <c r="L5" s="387">
        <f t="shared" si="0"/>
        <v>9.864221886967622E-3</v>
      </c>
      <c r="M5" s="22"/>
      <c r="Y5" s="381">
        <v>2008</v>
      </c>
      <c r="Z5" s="388">
        <f>B6*-1</f>
        <v>-495</v>
      </c>
      <c r="AA5" s="170">
        <v>8897</v>
      </c>
    </row>
    <row r="6" spans="1:27" s="128" customFormat="1" ht="15.75">
      <c r="A6" s="468" t="s">
        <v>605</v>
      </c>
      <c r="B6" s="170">
        <v>495</v>
      </c>
      <c r="C6" s="170">
        <v>625</v>
      </c>
      <c r="D6" s="170">
        <v>628</v>
      </c>
      <c r="E6" s="170">
        <v>832</v>
      </c>
      <c r="F6" s="170">
        <v>709</v>
      </c>
      <c r="G6" s="170">
        <v>1399</v>
      </c>
      <c r="H6" s="170">
        <v>1432</v>
      </c>
      <c r="I6" s="170">
        <v>1619</v>
      </c>
      <c r="J6" s="500"/>
      <c r="K6" s="432">
        <f t="shared" si="1"/>
        <v>7739</v>
      </c>
      <c r="L6" s="387">
        <f t="shared" si="0"/>
        <v>8.9810839039108734E-2</v>
      </c>
      <c r="M6" s="22"/>
      <c r="Y6" s="382">
        <v>2007</v>
      </c>
      <c r="Z6" s="388">
        <f>B5*-1</f>
        <v>-8</v>
      </c>
      <c r="AA6" s="170">
        <v>7075</v>
      </c>
    </row>
    <row r="7" spans="1:27" s="128" customFormat="1" ht="15.75">
      <c r="A7" s="468" t="s">
        <v>604</v>
      </c>
      <c r="B7" s="170">
        <v>612</v>
      </c>
      <c r="C7" s="170">
        <v>815</v>
      </c>
      <c r="D7" s="170">
        <v>910</v>
      </c>
      <c r="E7" s="170">
        <v>1061</v>
      </c>
      <c r="F7" s="170">
        <v>618</v>
      </c>
      <c r="G7" s="170">
        <v>1664</v>
      </c>
      <c r="H7" s="170">
        <v>1892</v>
      </c>
      <c r="I7" s="170">
        <v>2053</v>
      </c>
      <c r="J7" s="500"/>
      <c r="K7" s="432">
        <f t="shared" si="1"/>
        <v>9625</v>
      </c>
      <c r="L7" s="387">
        <f t="shared" si="0"/>
        <v>0.11169780666125101</v>
      </c>
      <c r="M7" s="22"/>
      <c r="Y7" s="381">
        <v>2006</v>
      </c>
      <c r="Z7" s="388">
        <f>B4*-1</f>
        <v>-233</v>
      </c>
      <c r="AA7" s="170">
        <v>4575</v>
      </c>
    </row>
    <row r="8" spans="1:27" s="128" customFormat="1" ht="15.75">
      <c r="A8" s="468" t="s">
        <v>603</v>
      </c>
      <c r="B8" s="170">
        <v>23</v>
      </c>
      <c r="C8" s="170">
        <v>50</v>
      </c>
      <c r="D8" s="170">
        <v>111</v>
      </c>
      <c r="E8" s="170">
        <v>182</v>
      </c>
      <c r="F8" s="170">
        <v>98</v>
      </c>
      <c r="G8" s="170">
        <v>549</v>
      </c>
      <c r="H8" s="170">
        <v>1219</v>
      </c>
      <c r="I8" s="170">
        <v>1441</v>
      </c>
      <c r="J8" s="500"/>
      <c r="K8" s="432">
        <f t="shared" si="1"/>
        <v>3673</v>
      </c>
      <c r="L8" s="387">
        <f t="shared" si="0"/>
        <v>4.262504351862597E-2</v>
      </c>
      <c r="M8" s="22"/>
      <c r="Y8" s="381">
        <v>2004</v>
      </c>
      <c r="Z8" s="388">
        <f>B7*-1</f>
        <v>-612</v>
      </c>
      <c r="AA8" s="170">
        <v>2427</v>
      </c>
    </row>
    <row r="9" spans="1:27" s="128" customFormat="1" ht="15.75">
      <c r="A9" s="468" t="s">
        <v>602</v>
      </c>
      <c r="B9" s="170">
        <v>48</v>
      </c>
      <c r="C9" s="170">
        <v>114</v>
      </c>
      <c r="D9" s="170">
        <v>142</v>
      </c>
      <c r="E9" s="170">
        <v>282</v>
      </c>
      <c r="F9" s="170">
        <v>277</v>
      </c>
      <c r="G9" s="170">
        <v>590</v>
      </c>
      <c r="H9" s="170">
        <v>590</v>
      </c>
      <c r="I9" s="170">
        <v>969</v>
      </c>
      <c r="J9" s="500"/>
      <c r="K9" s="432">
        <f t="shared" si="1"/>
        <v>3012</v>
      </c>
      <c r="L9" s="387">
        <f t="shared" si="0"/>
        <v>3.4954160380642918E-2</v>
      </c>
      <c r="M9" s="22"/>
    </row>
    <row r="10" spans="1:27" s="128" customFormat="1" ht="15.75">
      <c r="A10" s="468" t="s">
        <v>601</v>
      </c>
      <c r="B10" s="170">
        <v>151</v>
      </c>
      <c r="C10" s="170">
        <v>237</v>
      </c>
      <c r="D10" s="170">
        <v>532</v>
      </c>
      <c r="E10" s="170">
        <v>1287</v>
      </c>
      <c r="F10" s="170">
        <v>1241</v>
      </c>
      <c r="G10" s="170">
        <v>1534</v>
      </c>
      <c r="H10" s="170">
        <v>1309</v>
      </c>
      <c r="I10" s="170">
        <v>1797</v>
      </c>
      <c r="J10" s="500"/>
      <c r="K10" s="432">
        <f t="shared" si="1"/>
        <v>8088</v>
      </c>
      <c r="L10" s="387">
        <f t="shared" si="0"/>
        <v>9.3860972496228393E-2</v>
      </c>
    </row>
    <row r="11" spans="1:27" s="128" customFormat="1" ht="15.75">
      <c r="A11" s="468" t="s">
        <v>600</v>
      </c>
      <c r="B11" s="170">
        <v>1041</v>
      </c>
      <c r="C11" s="170">
        <v>1389</v>
      </c>
      <c r="D11" s="170">
        <v>1165</v>
      </c>
      <c r="E11" s="170">
        <v>2336</v>
      </c>
      <c r="F11" s="170">
        <v>3200</v>
      </c>
      <c r="G11" s="170">
        <v>1885</v>
      </c>
      <c r="H11" s="170">
        <v>1720</v>
      </c>
      <c r="I11" s="170">
        <v>2022</v>
      </c>
      <c r="J11" s="500"/>
      <c r="K11" s="432">
        <f t="shared" si="1"/>
        <v>14758</v>
      </c>
      <c r="L11" s="387">
        <f t="shared" si="0"/>
        <v>0.1712661018916096</v>
      </c>
    </row>
    <row r="12" spans="1:27" s="128" customFormat="1" ht="15.75">
      <c r="A12" s="431" t="s">
        <v>23</v>
      </c>
      <c r="B12" s="432">
        <f t="shared" ref="B12:K12" si="2">SUM(B3:B11)</f>
        <v>2647</v>
      </c>
      <c r="C12" s="432">
        <f t="shared" si="2"/>
        <v>3731</v>
      </c>
      <c r="D12" s="432">
        <f t="shared" si="2"/>
        <v>5535</v>
      </c>
      <c r="E12" s="432">
        <f t="shared" si="2"/>
        <v>8544</v>
      </c>
      <c r="F12" s="432">
        <f t="shared" si="2"/>
        <v>10977</v>
      </c>
      <c r="G12" s="432">
        <f t="shared" si="2"/>
        <v>14683</v>
      </c>
      <c r="H12" s="432">
        <f t="shared" si="2"/>
        <v>17456</v>
      </c>
      <c r="I12" s="432">
        <f t="shared" si="2"/>
        <v>22597</v>
      </c>
      <c r="J12" s="432">
        <f t="shared" si="2"/>
        <v>0</v>
      </c>
      <c r="K12" s="432">
        <f t="shared" si="2"/>
        <v>86170</v>
      </c>
      <c r="L12" s="433">
        <f>SUM(L3:L11)</f>
        <v>1</v>
      </c>
    </row>
    <row r="13" spans="1:27" s="128" customFormat="1"/>
    <row r="14" spans="1:27" s="128" customFormat="1"/>
    <row r="15" spans="1:27" s="128" customFormat="1"/>
    <row r="16" spans="1:27" s="128" customFormat="1"/>
    <row r="17" s="128" customFormat="1"/>
    <row r="18" s="128" customFormat="1"/>
    <row r="19" s="128" customFormat="1"/>
    <row r="20" s="128" customFormat="1"/>
    <row r="21" s="128" customFormat="1"/>
    <row r="22" s="128" customFormat="1"/>
    <row r="23" s="128"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O27"/>
  <sheetViews>
    <sheetView showGridLines="0" view="pageBreakPreview" zoomScale="70" zoomScaleNormal="100" zoomScaleSheetLayoutView="70" workbookViewId="0">
      <selection activeCell="U48" sqref="U48"/>
    </sheetView>
  </sheetViews>
  <sheetFormatPr baseColWidth="10" defaultColWidth="11.42578125" defaultRowHeight="15"/>
  <cols>
    <col min="1" max="1" width="15.7109375" style="59" customWidth="1"/>
    <col min="2" max="2" width="12.28515625" style="59" customWidth="1"/>
    <col min="3" max="3" width="14.42578125" style="59" customWidth="1"/>
    <col min="4" max="4" width="14.42578125" style="59" hidden="1" customWidth="1"/>
    <col min="5" max="5" width="12.7109375" style="59" customWidth="1"/>
    <col min="6" max="6" width="16.5703125" style="59" customWidth="1"/>
    <col min="7" max="7" width="15.28515625" style="59" customWidth="1"/>
    <col min="8" max="8" width="20.28515625" style="59" customWidth="1"/>
    <col min="9" max="10" width="11.42578125" style="59"/>
    <col min="11" max="11" width="16.28515625" style="59" customWidth="1"/>
    <col min="12" max="12" width="11.42578125" style="59"/>
    <col min="13" max="13" width="13.85546875" style="59" customWidth="1"/>
    <col min="14" max="16384" width="11.42578125" style="59"/>
  </cols>
  <sheetData>
    <row r="1" spans="1:15" s="128" customFormat="1" ht="70.5" customHeight="1">
      <c r="A1" s="2550" t="s">
        <v>1998</v>
      </c>
      <c r="B1" s="2550"/>
      <c r="C1" s="2550"/>
      <c r="D1" s="2550"/>
      <c r="E1" s="2550"/>
      <c r="F1" s="2550"/>
      <c r="G1" s="2550"/>
      <c r="H1" s="2550"/>
      <c r="I1" s="2550"/>
      <c r="J1" s="2550"/>
      <c r="K1" s="2550"/>
      <c r="L1" s="2550"/>
      <c r="M1" s="2550"/>
      <c r="N1" s="2550"/>
      <c r="O1" s="2550"/>
    </row>
    <row r="2" spans="1:15" s="58" customFormat="1" ht="4.5" customHeight="1">
      <c r="A2" s="573"/>
      <c r="B2" s="574"/>
      <c r="C2" s="574"/>
      <c r="D2" s="574"/>
      <c r="E2" s="574"/>
      <c r="F2" s="574"/>
      <c r="G2" s="574"/>
      <c r="H2" s="572"/>
      <c r="I2" s="572"/>
      <c r="J2" s="572"/>
      <c r="K2" s="572"/>
      <c r="L2" s="572"/>
    </row>
    <row r="3" spans="1:15" s="128" customFormat="1" ht="31.5">
      <c r="A3" s="569" t="s">
        <v>0</v>
      </c>
      <c r="B3" s="457" t="s">
        <v>613</v>
      </c>
      <c r="C3" s="457" t="s">
        <v>612</v>
      </c>
      <c r="D3" s="457" t="s">
        <v>711</v>
      </c>
      <c r="E3" s="457" t="s">
        <v>167</v>
      </c>
      <c r="F3" s="457" t="s">
        <v>611</v>
      </c>
      <c r="G3" s="457" t="s">
        <v>610</v>
      </c>
    </row>
    <row r="4" spans="1:15" s="128" customFormat="1" ht="17.25" hidden="1" customHeight="1" thickBot="1">
      <c r="A4" s="160" t="s">
        <v>523</v>
      </c>
      <c r="B4" s="170">
        <v>21</v>
      </c>
      <c r="C4" s="170">
        <v>2626</v>
      </c>
      <c r="D4" s="392"/>
      <c r="E4" s="469">
        <f t="shared" ref="E4:E11" si="0">SUM(B4:C4)</f>
        <v>2647</v>
      </c>
      <c r="F4" s="568">
        <f t="shared" ref="F4:F15" si="1">B4/E4</f>
        <v>7.9335096335474125E-3</v>
      </c>
      <c r="G4" s="568">
        <f t="shared" ref="G4:G15" si="2">C4/E4</f>
        <v>0.99206649036645256</v>
      </c>
    </row>
    <row r="5" spans="1:15" s="128" customFormat="1" ht="15.75">
      <c r="A5" s="160">
        <v>2005</v>
      </c>
      <c r="B5" s="170">
        <v>90</v>
      </c>
      <c r="C5" s="170">
        <v>3641</v>
      </c>
      <c r="D5" s="392"/>
      <c r="E5" s="469">
        <f t="shared" si="0"/>
        <v>3731</v>
      </c>
      <c r="F5" s="568">
        <f t="shared" si="1"/>
        <v>2.4122219244170465E-2</v>
      </c>
      <c r="G5" s="568">
        <f t="shared" si="2"/>
        <v>0.97587778075582954</v>
      </c>
    </row>
    <row r="6" spans="1:15" s="128" customFormat="1" ht="15.75">
      <c r="A6" s="160" t="s">
        <v>521</v>
      </c>
      <c r="B6" s="170">
        <v>253</v>
      </c>
      <c r="C6" s="170">
        <v>5282</v>
      </c>
      <c r="D6" s="392"/>
      <c r="E6" s="469">
        <f t="shared" si="0"/>
        <v>5535</v>
      </c>
      <c r="F6" s="568">
        <f t="shared" si="1"/>
        <v>4.5709123757904244E-2</v>
      </c>
      <c r="G6" s="568">
        <f t="shared" si="2"/>
        <v>0.95429087624209574</v>
      </c>
    </row>
    <row r="7" spans="1:15" s="128" customFormat="1" ht="15.75">
      <c r="A7" s="160" t="s">
        <v>249</v>
      </c>
      <c r="B7" s="170">
        <v>445</v>
      </c>
      <c r="C7" s="170">
        <v>8099</v>
      </c>
      <c r="D7" s="392"/>
      <c r="E7" s="469">
        <f t="shared" si="0"/>
        <v>8544</v>
      </c>
      <c r="F7" s="568">
        <f t="shared" si="1"/>
        <v>5.2083333333333336E-2</v>
      </c>
      <c r="G7" s="568">
        <f t="shared" si="2"/>
        <v>0.94791666666666663</v>
      </c>
    </row>
    <row r="8" spans="1:15" s="128" customFormat="1" ht="15.75">
      <c r="A8" s="160" t="s">
        <v>467</v>
      </c>
      <c r="B8" s="170">
        <v>660</v>
      </c>
      <c r="C8" s="170">
        <v>10317</v>
      </c>
      <c r="D8" s="392"/>
      <c r="E8" s="469">
        <f t="shared" si="0"/>
        <v>10977</v>
      </c>
      <c r="F8" s="568">
        <f t="shared" si="1"/>
        <v>6.0125717409128178E-2</v>
      </c>
      <c r="G8" s="568">
        <f t="shared" si="2"/>
        <v>0.9398742825908718</v>
      </c>
    </row>
    <row r="9" spans="1:15" s="128" customFormat="1" ht="15.75">
      <c r="A9" s="160" t="s">
        <v>468</v>
      </c>
      <c r="B9" s="170">
        <v>986</v>
      </c>
      <c r="C9" s="170">
        <v>13697</v>
      </c>
      <c r="D9" s="392"/>
      <c r="E9" s="469">
        <f t="shared" si="0"/>
        <v>14683</v>
      </c>
      <c r="F9" s="568">
        <f t="shared" si="1"/>
        <v>6.7152489273309274E-2</v>
      </c>
      <c r="G9" s="568">
        <f t="shared" si="2"/>
        <v>0.9328475107266907</v>
      </c>
    </row>
    <row r="10" spans="1:15" s="128" customFormat="1" ht="15.75">
      <c r="A10" s="160" t="s">
        <v>360</v>
      </c>
      <c r="B10" s="392">
        <v>1477</v>
      </c>
      <c r="C10" s="170">
        <v>15979</v>
      </c>
      <c r="D10" s="392"/>
      <c r="E10" s="469">
        <f t="shared" si="0"/>
        <v>17456</v>
      </c>
      <c r="F10" s="568">
        <f t="shared" si="1"/>
        <v>8.4612740604949582E-2</v>
      </c>
      <c r="G10" s="568">
        <f t="shared" si="2"/>
        <v>0.91538725939505039</v>
      </c>
      <c r="M10" s="59"/>
    </row>
    <row r="11" spans="1:15" s="128" customFormat="1" ht="15.75">
      <c r="A11" s="160">
        <v>2011</v>
      </c>
      <c r="B11" s="170">
        <v>2094</v>
      </c>
      <c r="C11" s="170">
        <v>20503</v>
      </c>
      <c r="D11" s="392"/>
      <c r="E11" s="469">
        <f t="shared" si="0"/>
        <v>22597</v>
      </c>
      <c r="F11" s="568">
        <f t="shared" si="1"/>
        <v>9.2667168208169226E-2</v>
      </c>
      <c r="G11" s="568">
        <f t="shared" si="2"/>
        <v>0.90733283179183077</v>
      </c>
      <c r="M11" s="59"/>
    </row>
    <row r="12" spans="1:15" s="128" customFormat="1" ht="15.75">
      <c r="A12" s="160" t="s">
        <v>1058</v>
      </c>
      <c r="B12" s="885">
        <v>3858</v>
      </c>
      <c r="C12" s="885">
        <v>22830</v>
      </c>
      <c r="D12" s="885"/>
      <c r="E12" s="1585">
        <f>SUM(B12:D12)</f>
        <v>26688</v>
      </c>
      <c r="F12" s="1586">
        <f t="shared" si="1"/>
        <v>0.1445593525179856</v>
      </c>
      <c r="G12" s="1586">
        <f t="shared" si="2"/>
        <v>0.85544064748201443</v>
      </c>
      <c r="M12" s="59"/>
    </row>
    <row r="13" spans="1:15" s="128" customFormat="1" ht="15.75">
      <c r="A13" s="160" t="s">
        <v>1643</v>
      </c>
      <c r="B13" s="885">
        <v>4451</v>
      </c>
      <c r="C13" s="885">
        <v>24184</v>
      </c>
      <c r="D13" s="885"/>
      <c r="E13" s="1585">
        <f>SUM(B13:D13)</f>
        <v>28635</v>
      </c>
      <c r="F13" s="1586">
        <f>B13/E13</f>
        <v>0.15543914789593155</v>
      </c>
      <c r="G13" s="1586">
        <f>C13/E13</f>
        <v>0.84456085210406839</v>
      </c>
      <c r="M13" s="59"/>
    </row>
    <row r="14" spans="1:15" s="128" customFormat="1" ht="15.75">
      <c r="A14" s="160" t="s">
        <v>1907</v>
      </c>
      <c r="B14" s="885">
        <v>5112</v>
      </c>
      <c r="C14" s="885">
        <v>25920</v>
      </c>
      <c r="D14" s="885"/>
      <c r="E14" s="1585">
        <f>SUM(B14:D14)</f>
        <v>31032</v>
      </c>
      <c r="F14" s="1586">
        <f>B14/E14</f>
        <v>0.16473317865429235</v>
      </c>
      <c r="G14" s="1586">
        <f>C14/E14</f>
        <v>0.83526682134570762</v>
      </c>
      <c r="M14" s="59"/>
    </row>
    <row r="15" spans="1:15" s="128" customFormat="1" ht="15.75">
      <c r="A15" s="570" t="s">
        <v>23</v>
      </c>
      <c r="B15" s="432">
        <f>SUM(B5:B14)</f>
        <v>19426</v>
      </c>
      <c r="C15" s="432">
        <f>SUM(C5:C14)</f>
        <v>150452</v>
      </c>
      <c r="D15" s="432">
        <f>SUM(D5:D14)</f>
        <v>0</v>
      </c>
      <c r="E15" s="432">
        <f>SUM(E5:E14)</f>
        <v>169878</v>
      </c>
      <c r="F15" s="318">
        <f t="shared" si="1"/>
        <v>0.11435265308044597</v>
      </c>
      <c r="G15" s="318">
        <f t="shared" si="2"/>
        <v>0.88564734691955405</v>
      </c>
    </row>
    <row r="16" spans="1:15" s="128" customFormat="1">
      <c r="K16" s="59"/>
      <c r="L16" s="59"/>
    </row>
    <row r="17" spans="1:12" s="128" customFormat="1">
      <c r="K17" s="59"/>
      <c r="L17" s="59"/>
    </row>
    <row r="18" spans="1:12" s="128" customFormat="1"/>
    <row r="19" spans="1:12" s="128" customFormat="1"/>
    <row r="20" spans="1:12" s="128" customFormat="1"/>
    <row r="21" spans="1:12" s="128" customFormat="1"/>
    <row r="22" spans="1:12" s="128" customFormat="1"/>
    <row r="23" spans="1:12" s="128" customFormat="1"/>
    <row r="24" spans="1:12" s="128" customFormat="1"/>
    <row r="25" spans="1:12" s="128" customFormat="1"/>
    <row r="26" spans="1:12">
      <c r="A26" s="128"/>
      <c r="B26" s="128"/>
      <c r="C26" s="128"/>
      <c r="D26" s="128"/>
      <c r="E26" s="128"/>
      <c r="F26" s="128"/>
      <c r="G26" s="128"/>
    </row>
    <row r="27" spans="1:12">
      <c r="K27" s="377"/>
    </row>
  </sheetData>
  <mergeCells count="1">
    <mergeCell ref="A1:O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K50"/>
  <sheetViews>
    <sheetView showGridLines="0" view="pageBreakPreview" zoomScale="70" zoomScaleNormal="100" zoomScaleSheetLayoutView="70" workbookViewId="0">
      <pane ySplit="1" topLeftCell="A2" activePane="bottomLeft" state="frozen"/>
      <selection pane="bottomLeft" activeCell="L39" sqref="L39"/>
    </sheetView>
  </sheetViews>
  <sheetFormatPr baseColWidth="10" defaultColWidth="11.42578125" defaultRowHeight="15"/>
  <cols>
    <col min="1" max="1" width="16.28515625" style="59" customWidth="1"/>
    <col min="2" max="2" width="16.5703125" style="59" customWidth="1"/>
    <col min="3" max="3" width="17.7109375" style="59" customWidth="1"/>
    <col min="4" max="4" width="18.7109375" style="59" customWidth="1"/>
    <col min="5" max="5" width="21.140625" style="59" customWidth="1"/>
    <col min="6" max="6" width="19.7109375" style="59" customWidth="1"/>
    <col min="7" max="7" width="13.140625" style="59" customWidth="1"/>
    <col min="8" max="8" width="21.7109375" style="59" customWidth="1"/>
    <col min="9" max="9" width="24.85546875" style="59" customWidth="1"/>
    <col min="10" max="10" width="23.28515625" style="59" customWidth="1"/>
    <col min="11" max="11" width="14.42578125" style="59" customWidth="1"/>
    <col min="12" max="16384" width="11.42578125" style="59"/>
  </cols>
  <sheetData>
    <row r="1" spans="1:11" s="128" customFormat="1" ht="69" customHeight="1">
      <c r="A1" s="2315" t="s">
        <v>1999</v>
      </c>
      <c r="B1" s="2315"/>
      <c r="C1" s="2315"/>
      <c r="D1" s="2315"/>
      <c r="E1" s="2315"/>
      <c r="F1" s="2315"/>
      <c r="G1" s="2315"/>
      <c r="H1" s="2315"/>
      <c r="I1" s="2315"/>
      <c r="J1" s="2315"/>
    </row>
    <row r="2" spans="1:11" s="58" customFormat="1" ht="3.75" customHeight="1">
      <c r="A2" s="347"/>
      <c r="B2" s="347"/>
      <c r="C2" s="347"/>
      <c r="D2" s="347"/>
      <c r="E2" s="347"/>
      <c r="F2" s="347"/>
      <c r="G2" s="347"/>
      <c r="H2" s="347"/>
      <c r="I2" s="347"/>
      <c r="J2" s="347"/>
    </row>
    <row r="3" spans="1:11" s="347" customFormat="1" ht="21.75" customHeight="1">
      <c r="A3" s="777" t="s">
        <v>520</v>
      </c>
      <c r="B3" s="778" t="s">
        <v>55</v>
      </c>
      <c r="C3" s="778" t="s">
        <v>54</v>
      </c>
      <c r="D3" s="777" t="s">
        <v>152</v>
      </c>
      <c r="E3" s="778" t="s">
        <v>465</v>
      </c>
      <c r="F3" s="778" t="s">
        <v>464</v>
      </c>
      <c r="K3" s="464"/>
    </row>
    <row r="4" spans="1:11" s="128" customFormat="1" ht="17.25" hidden="1" customHeight="1" thickBot="1">
      <c r="A4" s="757">
        <v>2004</v>
      </c>
      <c r="B4" s="170">
        <v>220</v>
      </c>
      <c r="C4" s="170">
        <v>2427</v>
      </c>
      <c r="D4" s="509">
        <f>B4+C4</f>
        <v>2647</v>
      </c>
      <c r="E4" s="163">
        <f t="shared" ref="E4:E12" si="0">B4/D4</f>
        <v>8.3112958065734793E-2</v>
      </c>
      <c r="F4" s="163">
        <f t="shared" ref="F4:F12" si="1">C4/D4</f>
        <v>0.91688704193426518</v>
      </c>
      <c r="K4" s="464"/>
    </row>
    <row r="5" spans="1:11" s="128" customFormat="1" ht="15.75">
      <c r="A5" s="757">
        <v>2005</v>
      </c>
      <c r="B5" s="170">
        <v>484</v>
      </c>
      <c r="C5" s="170">
        <v>3247</v>
      </c>
      <c r="D5" s="509">
        <f t="shared" ref="D5:D14" si="2">B5+C5</f>
        <v>3731</v>
      </c>
      <c r="E5" s="163">
        <f t="shared" si="0"/>
        <v>0.12972393460198339</v>
      </c>
      <c r="F5" s="163">
        <f t="shared" si="1"/>
        <v>0.87027606539801661</v>
      </c>
      <c r="K5" s="464"/>
    </row>
    <row r="6" spans="1:11" s="128" customFormat="1" ht="15.75">
      <c r="A6" s="757">
        <v>2006</v>
      </c>
      <c r="B6" s="170">
        <v>960</v>
      </c>
      <c r="C6" s="170">
        <v>4575</v>
      </c>
      <c r="D6" s="509">
        <f t="shared" si="2"/>
        <v>5535</v>
      </c>
      <c r="E6" s="163">
        <f t="shared" si="0"/>
        <v>0.17344173441734417</v>
      </c>
      <c r="F6" s="163">
        <f t="shared" si="1"/>
        <v>0.82655826558265577</v>
      </c>
      <c r="K6" s="464"/>
    </row>
    <row r="7" spans="1:11" s="128" customFormat="1" ht="15.75">
      <c r="A7" s="757">
        <v>2007</v>
      </c>
      <c r="B7" s="170">
        <v>1468</v>
      </c>
      <c r="C7" s="170">
        <v>7076</v>
      </c>
      <c r="D7" s="509">
        <f t="shared" si="2"/>
        <v>8544</v>
      </c>
      <c r="E7" s="163">
        <f t="shared" si="0"/>
        <v>0.17181647940074907</v>
      </c>
      <c r="F7" s="163">
        <f t="shared" si="1"/>
        <v>0.82818352059925093</v>
      </c>
      <c r="K7" s="464"/>
    </row>
    <row r="8" spans="1:11" s="128" customFormat="1" ht="15.75">
      <c r="A8" s="757">
        <v>2008</v>
      </c>
      <c r="B8" s="170">
        <v>2080</v>
      </c>
      <c r="C8" s="170">
        <v>8897</v>
      </c>
      <c r="D8" s="509">
        <f t="shared" si="2"/>
        <v>10977</v>
      </c>
      <c r="E8" s="163">
        <f t="shared" si="0"/>
        <v>0.18948710941058577</v>
      </c>
      <c r="F8" s="163">
        <f t="shared" si="1"/>
        <v>0.81051289058941423</v>
      </c>
      <c r="K8" s="464"/>
    </row>
    <row r="9" spans="1:11" s="128" customFormat="1" ht="15.75">
      <c r="A9" s="757">
        <v>2009</v>
      </c>
      <c r="B9" s="170">
        <v>3076</v>
      </c>
      <c r="C9" s="170">
        <v>11607</v>
      </c>
      <c r="D9" s="509">
        <f t="shared" si="2"/>
        <v>14683</v>
      </c>
      <c r="E9" s="163">
        <f t="shared" si="0"/>
        <v>0.20949397262139891</v>
      </c>
      <c r="F9" s="163">
        <f t="shared" si="1"/>
        <v>0.79050602737860109</v>
      </c>
      <c r="K9" s="464"/>
    </row>
    <row r="10" spans="1:11" s="128" customFormat="1" ht="15.75">
      <c r="A10" s="757">
        <v>2010</v>
      </c>
      <c r="B10" s="170">
        <v>3940</v>
      </c>
      <c r="C10" s="170">
        <v>13516</v>
      </c>
      <c r="D10" s="509">
        <f t="shared" si="2"/>
        <v>17456</v>
      </c>
      <c r="E10" s="163">
        <f t="shared" si="0"/>
        <v>0.22571035747021082</v>
      </c>
      <c r="F10" s="163">
        <f t="shared" si="1"/>
        <v>0.77428964252978916</v>
      </c>
      <c r="K10" s="464"/>
    </row>
    <row r="11" spans="1:11" s="128" customFormat="1" ht="15.75">
      <c r="A11" s="757">
        <v>2011</v>
      </c>
      <c r="B11" s="170">
        <v>5648</v>
      </c>
      <c r="C11" s="170">
        <v>16949</v>
      </c>
      <c r="D11" s="509">
        <f t="shared" si="2"/>
        <v>22597</v>
      </c>
      <c r="E11" s="163">
        <f t="shared" si="0"/>
        <v>0.24994468292251185</v>
      </c>
      <c r="F11" s="163">
        <f t="shared" si="1"/>
        <v>0.75005531707748818</v>
      </c>
      <c r="K11" s="464"/>
    </row>
    <row r="12" spans="1:11" s="128" customFormat="1" ht="15.75">
      <c r="A12" s="757">
        <v>2012</v>
      </c>
      <c r="B12" s="170">
        <v>7023</v>
      </c>
      <c r="C12" s="170">
        <v>19665</v>
      </c>
      <c r="D12" s="509">
        <f t="shared" si="2"/>
        <v>26688</v>
      </c>
      <c r="E12" s="163">
        <f t="shared" si="0"/>
        <v>0.26315197841726617</v>
      </c>
      <c r="F12" s="163">
        <f t="shared" si="1"/>
        <v>0.73684802158273377</v>
      </c>
      <c r="K12" s="464"/>
    </row>
    <row r="13" spans="1:11" s="128" customFormat="1" ht="15.75">
      <c r="A13" s="757">
        <v>2013</v>
      </c>
      <c r="B13" s="885">
        <f>14+7822</f>
        <v>7836</v>
      </c>
      <c r="C13" s="885">
        <f>14+20785</f>
        <v>20799</v>
      </c>
      <c r="D13" s="509">
        <f t="shared" si="2"/>
        <v>28635</v>
      </c>
      <c r="E13" s="163">
        <f>B13/D13</f>
        <v>0.27365112624410687</v>
      </c>
      <c r="F13" s="163">
        <f>C13/D13</f>
        <v>0.72634887375589319</v>
      </c>
      <c r="K13" s="464"/>
    </row>
    <row r="14" spans="1:11" s="128" customFormat="1" ht="15.75">
      <c r="A14" s="757">
        <v>2014</v>
      </c>
      <c r="B14" s="885">
        <f>11+8855</f>
        <v>8866</v>
      </c>
      <c r="C14" s="885">
        <f>11+22155</f>
        <v>22166</v>
      </c>
      <c r="D14" s="509">
        <f t="shared" si="2"/>
        <v>31032</v>
      </c>
      <c r="E14" s="163">
        <f>B14/D14</f>
        <v>0.28570507862851252</v>
      </c>
      <c r="F14" s="163">
        <f>C14/D14</f>
        <v>0.71429492137148753</v>
      </c>
      <c r="K14" s="464"/>
    </row>
    <row r="15" spans="1:11" s="128" customFormat="1" ht="15.75">
      <c r="A15" s="777" t="s">
        <v>23</v>
      </c>
      <c r="B15" s="779">
        <f>SUM(B5:B14)</f>
        <v>41381</v>
      </c>
      <c r="C15" s="779">
        <f>SUM(C5:C14)</f>
        <v>128497</v>
      </c>
      <c r="D15" s="779">
        <f>SUM(D5:D14)</f>
        <v>169878</v>
      </c>
      <c r="E15" s="1310">
        <f>AVERAGE(E4:E11)</f>
        <v>0.17909140361381484</v>
      </c>
      <c r="F15" s="1310">
        <f>AVERAGE(F4:F11)</f>
        <v>0.82090859638618519</v>
      </c>
      <c r="K15" s="59"/>
    </row>
    <row r="16" spans="1:11" s="128" customFormat="1" ht="15.75">
      <c r="H16" s="386"/>
      <c r="K16" s="59"/>
    </row>
    <row r="17" spans="11:11" s="128" customFormat="1">
      <c r="K17" s="28"/>
    </row>
    <row r="18" spans="11:11" s="128" customFormat="1">
      <c r="K18" s="28"/>
    </row>
    <row r="19" spans="11:11" s="128" customFormat="1">
      <c r="K19" s="28"/>
    </row>
    <row r="20" spans="11:11" s="128" customFormat="1">
      <c r="K20" s="28"/>
    </row>
    <row r="21" spans="11:11" s="128" customFormat="1">
      <c r="K21" s="28"/>
    </row>
    <row r="22" spans="11:11" s="128" customFormat="1">
      <c r="K22" s="28"/>
    </row>
    <row r="23" spans="11:11" s="128" customFormat="1">
      <c r="K23" s="28"/>
    </row>
    <row r="24" spans="11:11" s="128" customFormat="1">
      <c r="K24" s="28"/>
    </row>
    <row r="25" spans="11:11" s="128" customFormat="1">
      <c r="K25" s="28"/>
    </row>
    <row r="26" spans="11:11" s="128" customFormat="1">
      <c r="K26" s="28"/>
    </row>
    <row r="27" spans="11:11" s="128" customFormat="1">
      <c r="K27" s="28"/>
    </row>
    <row r="28" spans="11:11" s="128" customFormat="1">
      <c r="K28" s="28"/>
    </row>
    <row r="29" spans="11:11" s="128" customFormat="1">
      <c r="K29" s="28"/>
    </row>
    <row r="30" spans="11:11" s="128" customFormat="1">
      <c r="K30" s="28"/>
    </row>
    <row r="31" spans="11:11" s="128" customFormat="1">
      <c r="K31" s="28"/>
    </row>
    <row r="32" spans="11:11" s="128" customFormat="1">
      <c r="K32" s="28"/>
    </row>
    <row r="33" spans="3:11" s="128" customFormat="1">
      <c r="K33" s="28"/>
    </row>
    <row r="34" spans="3:11" s="128" customFormat="1">
      <c r="K34" s="28"/>
    </row>
    <row r="35" spans="3:11" s="128" customFormat="1"/>
    <row r="36" spans="3:11" s="128" customFormat="1"/>
    <row r="37" spans="3:11" s="128" customFormat="1"/>
    <row r="38" spans="3:11" s="128" customFormat="1" ht="15.75">
      <c r="C38" s="353"/>
    </row>
    <row r="39" spans="3:11" s="128" customFormat="1"/>
    <row r="40" spans="3:11" s="128" customFormat="1"/>
    <row r="41" spans="3:11" s="128" customFormat="1"/>
    <row r="42" spans="3:11" s="128" customFormat="1"/>
    <row r="43" spans="3:11" s="128" customFormat="1"/>
    <row r="44" spans="3:11" s="128" customFormat="1"/>
    <row r="45" spans="3:11" s="128" customFormat="1"/>
    <row r="46" spans="3:11" s="128" customFormat="1"/>
    <row r="47" spans="3:11" s="128" customFormat="1"/>
    <row r="48" spans="3:11" s="128" customFormat="1"/>
    <row r="49" spans="1:6" s="128" customFormat="1"/>
    <row r="50" spans="1:6">
      <c r="A50" s="128"/>
      <c r="B50" s="128"/>
      <c r="C50" s="128"/>
      <c r="D50" s="128"/>
      <c r="E50" s="128"/>
      <c r="F50" s="12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M26"/>
  <sheetViews>
    <sheetView showGridLines="0" view="pageBreakPreview" zoomScale="70" zoomScaleNormal="100" zoomScaleSheetLayoutView="70" workbookViewId="0">
      <selection activeCell="P25" sqref="P25"/>
    </sheetView>
  </sheetViews>
  <sheetFormatPr baseColWidth="10" defaultColWidth="11.42578125" defaultRowHeight="15"/>
  <cols>
    <col min="1" max="1" width="13.140625" style="59" customWidth="1"/>
    <col min="2" max="4" width="12.28515625" style="59" customWidth="1"/>
    <col min="5" max="5" width="14.42578125" style="59" customWidth="1"/>
    <col min="6" max="6" width="17.7109375" style="59" customWidth="1"/>
    <col min="7" max="7" width="12.140625" style="59" customWidth="1"/>
    <col min="8" max="8" width="14.42578125" style="59" customWidth="1"/>
    <col min="9" max="9" width="15.85546875" style="59" customWidth="1"/>
    <col min="10" max="10" width="15" style="59" customWidth="1"/>
    <col min="11" max="11" width="14.5703125" style="59" customWidth="1"/>
    <col min="12" max="12" width="18.5703125" style="59" customWidth="1"/>
    <col min="13" max="13" width="13.42578125" style="59" customWidth="1"/>
    <col min="14" max="14" width="3.5703125" style="59" customWidth="1"/>
    <col min="15" max="15" width="3.85546875" style="59" customWidth="1"/>
    <col min="16" max="16384" width="11.42578125" style="59"/>
  </cols>
  <sheetData>
    <row r="1" spans="1:13" s="128" customFormat="1" ht="87" customHeight="1">
      <c r="A1" s="2551" t="s">
        <v>2000</v>
      </c>
      <c r="B1" s="2551"/>
      <c r="C1" s="2551"/>
      <c r="D1" s="2551"/>
      <c r="E1" s="2551"/>
      <c r="F1" s="2551"/>
      <c r="G1" s="2551"/>
      <c r="H1" s="2551"/>
      <c r="I1" s="2551"/>
      <c r="J1" s="2551"/>
      <c r="K1" s="2551"/>
      <c r="L1" s="2551"/>
      <c r="M1" s="2551"/>
    </row>
    <row r="2" spans="1:13" s="128" customFormat="1" ht="3.75" customHeight="1">
      <c r="A2" s="347"/>
      <c r="B2" s="347"/>
      <c r="C2" s="347"/>
      <c r="D2" s="347"/>
      <c r="E2" s="347"/>
      <c r="F2" s="347"/>
      <c r="G2" s="347"/>
      <c r="H2" s="347"/>
      <c r="I2" s="347"/>
      <c r="J2" s="347"/>
      <c r="K2" s="347"/>
      <c r="L2" s="347"/>
      <c r="M2" s="347"/>
    </row>
    <row r="3" spans="1:13" s="347" customFormat="1" ht="31.5">
      <c r="A3" s="562" t="s">
        <v>0</v>
      </c>
      <c r="B3" s="563" t="s">
        <v>649</v>
      </c>
      <c r="C3" s="563" t="s">
        <v>1870</v>
      </c>
      <c r="D3" s="563" t="s">
        <v>1869</v>
      </c>
      <c r="E3" s="563" t="s">
        <v>648</v>
      </c>
      <c r="F3" s="563" t="s">
        <v>514</v>
      </c>
      <c r="G3" s="563" t="s">
        <v>167</v>
      </c>
      <c r="H3" s="563" t="s">
        <v>647</v>
      </c>
      <c r="I3" s="563" t="s">
        <v>646</v>
      </c>
      <c r="J3" s="563" t="s">
        <v>645</v>
      </c>
      <c r="K3" s="563" t="s">
        <v>644</v>
      </c>
      <c r="L3" s="563" t="s">
        <v>577</v>
      </c>
    </row>
    <row r="4" spans="1:13" s="128" customFormat="1" ht="17.25" hidden="1" customHeight="1" thickBot="1">
      <c r="A4" s="791" t="s">
        <v>523</v>
      </c>
      <c r="B4" s="390">
        <v>21</v>
      </c>
      <c r="C4" s="390">
        <v>151</v>
      </c>
      <c r="D4" s="390">
        <v>116</v>
      </c>
      <c r="E4" s="390">
        <v>10</v>
      </c>
      <c r="F4" s="390">
        <v>2349</v>
      </c>
      <c r="G4" s="1969">
        <f t="shared" ref="G4:G11" si="0">SUM(B4:F4)</f>
        <v>2647</v>
      </c>
      <c r="H4" s="1971">
        <f t="shared" ref="H4:H15" si="1">B4/G4</f>
        <v>7.9335096335474125E-3</v>
      </c>
      <c r="I4" s="1971">
        <f t="shared" ref="I4:I15" si="2">C4/G4</f>
        <v>5.7045712126936154E-2</v>
      </c>
      <c r="J4" s="1971">
        <f t="shared" ref="J4:J15" si="3">D4/G4</f>
        <v>4.38231960710238E-2</v>
      </c>
      <c r="K4" s="1971">
        <f t="shared" ref="K4:K15" si="4">E4/G4</f>
        <v>3.7778617302606727E-3</v>
      </c>
      <c r="L4" s="1971">
        <f t="shared" ref="L4:L15" si="5">F4/G4</f>
        <v>0.88741972043823192</v>
      </c>
    </row>
    <row r="5" spans="1:13" s="128" customFormat="1" ht="15.75">
      <c r="A5" s="791">
        <v>2005</v>
      </c>
      <c r="B5" s="390">
        <v>15</v>
      </c>
      <c r="C5" s="390">
        <v>174</v>
      </c>
      <c r="D5" s="390">
        <v>220</v>
      </c>
      <c r="E5" s="390">
        <v>27</v>
      </c>
      <c r="F5" s="390">
        <v>3295</v>
      </c>
      <c r="G5" s="1969">
        <f t="shared" si="0"/>
        <v>3731</v>
      </c>
      <c r="H5" s="2148">
        <f t="shared" si="1"/>
        <v>4.0203698740284106E-3</v>
      </c>
      <c r="I5" s="2148">
        <f t="shared" si="2"/>
        <v>4.6636290538729565E-2</v>
      </c>
      <c r="J5" s="2148">
        <f t="shared" si="3"/>
        <v>5.8965424819083359E-2</v>
      </c>
      <c r="K5" s="2148">
        <f t="shared" si="4"/>
        <v>7.2366657732511391E-3</v>
      </c>
      <c r="L5" s="2148">
        <f t="shared" si="5"/>
        <v>0.88314124899490754</v>
      </c>
    </row>
    <row r="6" spans="1:13" s="128" customFormat="1" ht="15.75">
      <c r="A6" s="791" t="s">
        <v>521</v>
      </c>
      <c r="B6" s="390">
        <v>25</v>
      </c>
      <c r="C6" s="390">
        <v>306</v>
      </c>
      <c r="D6" s="390">
        <v>376</v>
      </c>
      <c r="E6" s="390">
        <v>49</v>
      </c>
      <c r="F6" s="390">
        <v>4779</v>
      </c>
      <c r="G6" s="1969">
        <f t="shared" si="0"/>
        <v>5535</v>
      </c>
      <c r="H6" s="2148">
        <f t="shared" si="1"/>
        <v>4.5167118337850042E-3</v>
      </c>
      <c r="I6" s="2148">
        <f t="shared" si="2"/>
        <v>5.5284552845528454E-2</v>
      </c>
      <c r="J6" s="2148">
        <f t="shared" si="3"/>
        <v>6.793134598012647E-2</v>
      </c>
      <c r="K6" s="2148">
        <f t="shared" si="4"/>
        <v>8.8527551942186086E-3</v>
      </c>
      <c r="L6" s="2148">
        <f t="shared" si="5"/>
        <v>0.86341463414634145</v>
      </c>
    </row>
    <row r="7" spans="1:13" s="128" customFormat="1" ht="15.75">
      <c r="A7" s="791" t="s">
        <v>249</v>
      </c>
      <c r="B7" s="390">
        <v>155</v>
      </c>
      <c r="C7" s="390">
        <v>823</v>
      </c>
      <c r="D7" s="390">
        <v>951</v>
      </c>
      <c r="E7" s="390">
        <v>190</v>
      </c>
      <c r="F7" s="390">
        <v>6425</v>
      </c>
      <c r="G7" s="1969">
        <f t="shared" si="0"/>
        <v>8544</v>
      </c>
      <c r="H7" s="2148">
        <f t="shared" si="1"/>
        <v>1.8141385767790261E-2</v>
      </c>
      <c r="I7" s="2148">
        <f t="shared" si="2"/>
        <v>9.6324906367041205E-2</v>
      </c>
      <c r="J7" s="2148">
        <f t="shared" si="3"/>
        <v>0.1113061797752809</v>
      </c>
      <c r="K7" s="2148">
        <f t="shared" si="4"/>
        <v>2.2237827715355804E-2</v>
      </c>
      <c r="L7" s="2148">
        <f t="shared" si="5"/>
        <v>0.75198970037453183</v>
      </c>
    </row>
    <row r="8" spans="1:13" s="128" customFormat="1" ht="15.75">
      <c r="A8" s="791" t="s">
        <v>467</v>
      </c>
      <c r="B8" s="390">
        <v>429</v>
      </c>
      <c r="C8" s="390">
        <v>3165</v>
      </c>
      <c r="D8" s="390">
        <v>4060</v>
      </c>
      <c r="E8" s="390">
        <v>874</v>
      </c>
      <c r="F8" s="390">
        <v>2449</v>
      </c>
      <c r="G8" s="1969">
        <f t="shared" si="0"/>
        <v>10977</v>
      </c>
      <c r="H8" s="2148">
        <f t="shared" si="1"/>
        <v>3.9081716315933317E-2</v>
      </c>
      <c r="I8" s="2148">
        <f t="shared" si="2"/>
        <v>0.2883301448483192</v>
      </c>
      <c r="J8" s="2148">
        <f t="shared" si="3"/>
        <v>0.36986426163797032</v>
      </c>
      <c r="K8" s="2148">
        <f t="shared" si="4"/>
        <v>7.9621025781178828E-2</v>
      </c>
      <c r="L8" s="2148">
        <f t="shared" si="5"/>
        <v>0.22310285141659833</v>
      </c>
    </row>
    <row r="9" spans="1:13" s="128" customFormat="1" ht="15.75">
      <c r="A9" s="791" t="s">
        <v>468</v>
      </c>
      <c r="B9" s="390">
        <v>480</v>
      </c>
      <c r="C9" s="390">
        <v>5693</v>
      </c>
      <c r="D9" s="390">
        <v>7010</v>
      </c>
      <c r="E9" s="390">
        <v>1500</v>
      </c>
      <c r="F9" s="390">
        <v>0</v>
      </c>
      <c r="G9" s="1969">
        <f t="shared" si="0"/>
        <v>14683</v>
      </c>
      <c r="H9" s="2148">
        <f t="shared" si="1"/>
        <v>3.2690866989034936E-2</v>
      </c>
      <c r="I9" s="2148">
        <f t="shared" si="2"/>
        <v>0.38772730368453312</v>
      </c>
      <c r="J9" s="2148">
        <f t="shared" si="3"/>
        <v>0.47742286998569777</v>
      </c>
      <c r="K9" s="2148">
        <f t="shared" si="4"/>
        <v>0.10215895934073418</v>
      </c>
      <c r="L9" s="2148">
        <f t="shared" si="5"/>
        <v>0</v>
      </c>
    </row>
    <row r="10" spans="1:13" s="128" customFormat="1" ht="15.75">
      <c r="A10" s="791" t="s">
        <v>360</v>
      </c>
      <c r="B10" s="466">
        <v>467</v>
      </c>
      <c r="C10" s="466">
        <v>6918</v>
      </c>
      <c r="D10" s="466">
        <v>8285</v>
      </c>
      <c r="E10" s="390">
        <v>1785</v>
      </c>
      <c r="F10" s="390">
        <v>1</v>
      </c>
      <c r="G10" s="1969">
        <f t="shared" si="0"/>
        <v>17456</v>
      </c>
      <c r="H10" s="2148">
        <f t="shared" si="1"/>
        <v>2.6752978918423466E-2</v>
      </c>
      <c r="I10" s="2148">
        <f t="shared" si="2"/>
        <v>0.39631072410632445</v>
      </c>
      <c r="J10" s="2148">
        <f t="shared" si="3"/>
        <v>0.47462190650779101</v>
      </c>
      <c r="K10" s="2148">
        <f t="shared" si="4"/>
        <v>0.10225710357470211</v>
      </c>
      <c r="L10" s="2148">
        <f t="shared" si="5"/>
        <v>5.7286892758936757E-5</v>
      </c>
    </row>
    <row r="11" spans="1:13" s="128" customFormat="1" ht="15.75">
      <c r="A11" s="791">
        <v>2011</v>
      </c>
      <c r="B11" s="390">
        <v>628</v>
      </c>
      <c r="C11" s="390">
        <v>8566</v>
      </c>
      <c r="D11" s="390">
        <v>11097</v>
      </c>
      <c r="E11" s="390">
        <v>2299</v>
      </c>
      <c r="F11" s="390">
        <v>7</v>
      </c>
      <c r="G11" s="1969">
        <f t="shared" si="0"/>
        <v>22597</v>
      </c>
      <c r="H11" s="2148">
        <f t="shared" si="1"/>
        <v>2.7791299730052663E-2</v>
      </c>
      <c r="I11" s="2148">
        <f t="shared" si="2"/>
        <v>0.37907686861087753</v>
      </c>
      <c r="J11" s="2148">
        <f t="shared" si="3"/>
        <v>0.49108288710890824</v>
      </c>
      <c r="K11" s="2148">
        <f t="shared" si="4"/>
        <v>0.10173916891622782</v>
      </c>
      <c r="L11" s="2148">
        <f t="shared" si="5"/>
        <v>3.0977563393370803E-4</v>
      </c>
    </row>
    <row r="12" spans="1:13" s="128" customFormat="1" ht="16.5" customHeight="1">
      <c r="A12" s="791" t="s">
        <v>1058</v>
      </c>
      <c r="B12" s="1548">
        <v>938</v>
      </c>
      <c r="C12" s="1548">
        <v>9676</v>
      </c>
      <c r="D12" s="1548">
        <v>13383</v>
      </c>
      <c r="E12" s="1548">
        <v>2656</v>
      </c>
      <c r="F12" s="1548">
        <v>35</v>
      </c>
      <c r="G12" s="1969">
        <f>SUM(B12:F12)</f>
        <v>26688</v>
      </c>
      <c r="H12" s="2148">
        <f>B12/G12</f>
        <v>3.5146882494004793E-2</v>
      </c>
      <c r="I12" s="2148">
        <f>C12/G12</f>
        <v>0.36255995203836933</v>
      </c>
      <c r="J12" s="2148">
        <f>D12/G12</f>
        <v>0.5014613309352518</v>
      </c>
      <c r="K12" s="2148">
        <f>E12/G12</f>
        <v>9.9520383693045569E-2</v>
      </c>
      <c r="L12" s="2148">
        <f>F12/G12</f>
        <v>1.3114508393285373E-3</v>
      </c>
    </row>
    <row r="13" spans="1:13" s="128" customFormat="1" ht="15.75">
      <c r="A13" s="791" t="s">
        <v>1643</v>
      </c>
      <c r="B13" s="1548">
        <v>1292</v>
      </c>
      <c r="C13" s="1548">
        <v>9365</v>
      </c>
      <c r="D13" s="1548">
        <v>15118</v>
      </c>
      <c r="E13" s="1548">
        <v>2851</v>
      </c>
      <c r="F13" s="1548">
        <f>21342-21333</f>
        <v>9</v>
      </c>
      <c r="G13" s="1969">
        <f>SUM(B13:F13)</f>
        <v>28635</v>
      </c>
      <c r="H13" s="2148">
        <f>B13/G13</f>
        <v>4.5119608870263665E-2</v>
      </c>
      <c r="I13" s="2148">
        <f>C13/G13</f>
        <v>0.32704731971363715</v>
      </c>
      <c r="J13" s="2148">
        <f>D13/G13</f>
        <v>0.52795529945870434</v>
      </c>
      <c r="K13" s="2148">
        <f>E13/G13</f>
        <v>9.9563471276409993E-2</v>
      </c>
      <c r="L13" s="2148">
        <f>F13/G13</f>
        <v>3.143006809848088E-4</v>
      </c>
    </row>
    <row r="14" spans="1:13" s="128" customFormat="1" ht="15.75">
      <c r="A14" s="791" t="s">
        <v>1907</v>
      </c>
      <c r="B14" s="1548">
        <v>817</v>
      </c>
      <c r="C14" s="1548">
        <v>10565</v>
      </c>
      <c r="D14" s="1548">
        <v>16396</v>
      </c>
      <c r="E14" s="1548">
        <v>3252</v>
      </c>
      <c r="F14" s="1548">
        <v>2</v>
      </c>
      <c r="G14" s="1969">
        <f>SUM(B14:F14)</f>
        <v>31032</v>
      </c>
      <c r="H14" s="2148">
        <f>B14/G14</f>
        <v>2.6327661768497036E-2</v>
      </c>
      <c r="I14" s="2148">
        <f>C14/G14</f>
        <v>0.34045501417891211</v>
      </c>
      <c r="J14" s="2148">
        <f>D14/G14</f>
        <v>0.52835782418149002</v>
      </c>
      <c r="K14" s="2148">
        <f>E14/G14</f>
        <v>0.10479505027068832</v>
      </c>
      <c r="L14" s="2148">
        <f>F14/G14</f>
        <v>6.4449600412477446E-5</v>
      </c>
    </row>
    <row r="15" spans="1:13" s="128" customFormat="1" ht="15.75">
      <c r="A15" s="1968" t="s">
        <v>23</v>
      </c>
      <c r="B15" s="1969">
        <f t="shared" ref="B15:G15" si="6">SUM(B5:B14)</f>
        <v>5246</v>
      </c>
      <c r="C15" s="1969">
        <f t="shared" si="6"/>
        <v>55251</v>
      </c>
      <c r="D15" s="1969">
        <f t="shared" si="6"/>
        <v>76896</v>
      </c>
      <c r="E15" s="1969">
        <f t="shared" si="6"/>
        <v>15483</v>
      </c>
      <c r="F15" s="1969">
        <f t="shared" si="6"/>
        <v>17002</v>
      </c>
      <c r="G15" s="1969">
        <f t="shared" si="6"/>
        <v>169878</v>
      </c>
      <c r="H15" s="1972">
        <f t="shared" si="1"/>
        <v>3.088098517759804E-2</v>
      </c>
      <c r="I15" s="1972">
        <f t="shared" si="2"/>
        <v>0.32523928937237312</v>
      </c>
      <c r="J15" s="1972">
        <f t="shared" si="3"/>
        <v>0.45265425776145235</v>
      </c>
      <c r="K15" s="1972">
        <f t="shared" si="4"/>
        <v>9.1141878289125136E-2</v>
      </c>
      <c r="L15" s="1972">
        <f t="shared" si="5"/>
        <v>0.10008358939945138</v>
      </c>
    </row>
    <row r="16" spans="1:13" s="128" customFormat="1">
      <c r="A16" s="379"/>
      <c r="B16" s="378"/>
      <c r="C16" s="378"/>
      <c r="D16" s="378"/>
      <c r="E16" s="378"/>
      <c r="F16" s="378"/>
    </row>
    <row r="17" spans="1:12" s="128" customFormat="1">
      <c r="A17" s="379"/>
      <c r="B17" s="378"/>
      <c r="C17" s="378"/>
      <c r="D17" s="378"/>
      <c r="E17" s="378"/>
      <c r="F17" s="378"/>
    </row>
    <row r="18" spans="1:12" s="128" customFormat="1">
      <c r="A18" s="379"/>
      <c r="B18" s="378"/>
      <c r="C18" s="378"/>
      <c r="D18" s="378"/>
      <c r="E18" s="378"/>
      <c r="F18" s="378"/>
    </row>
    <row r="19" spans="1:12" s="128" customFormat="1">
      <c r="A19" s="379"/>
      <c r="B19" s="378"/>
      <c r="C19" s="378"/>
      <c r="D19" s="378"/>
      <c r="E19" s="378"/>
      <c r="F19" s="378"/>
    </row>
    <row r="20" spans="1:12" s="128" customFormat="1"/>
    <row r="21" spans="1:12" s="128" customFormat="1"/>
    <row r="22" spans="1:12" s="128" customFormat="1"/>
    <row r="23" spans="1:12" s="128" customFormat="1"/>
    <row r="24" spans="1:12" s="128" customFormat="1"/>
    <row r="25" spans="1:12">
      <c r="A25" s="128"/>
      <c r="B25" s="128"/>
      <c r="C25" s="128"/>
      <c r="D25" s="128"/>
      <c r="E25" s="128"/>
      <c r="F25" s="128"/>
      <c r="G25" s="128"/>
      <c r="H25" s="128"/>
      <c r="I25" s="128"/>
      <c r="J25" s="128"/>
      <c r="K25" s="128"/>
      <c r="L25" s="128"/>
    </row>
    <row r="26" spans="1:12">
      <c r="A26" s="128"/>
      <c r="B26" s="128"/>
      <c r="C26" s="128"/>
      <c r="D26" s="128"/>
      <c r="E26" s="128"/>
      <c r="F26" s="128"/>
      <c r="G26" s="128"/>
      <c r="H26" s="128"/>
      <c r="I26" s="128"/>
      <c r="J26" s="128"/>
      <c r="K26" s="128"/>
      <c r="L26" s="128"/>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view="pageBreakPreview" zoomScale="70" zoomScaleNormal="55" zoomScaleSheetLayoutView="70" workbookViewId="0">
      <pane ySplit="1" topLeftCell="A2" activePane="bottomLeft" state="frozen"/>
      <selection pane="bottomLeft" activeCell="E8" sqref="E8"/>
    </sheetView>
  </sheetViews>
  <sheetFormatPr baseColWidth="10" defaultColWidth="11.42578125" defaultRowHeight="15"/>
  <cols>
    <col min="1" max="1" width="15" style="128" customWidth="1"/>
    <col min="2" max="2" width="14.42578125" style="128" customWidth="1"/>
    <col min="3" max="3" width="14.140625" style="128" customWidth="1"/>
    <col min="4" max="4" width="15.5703125" style="128" hidden="1" customWidth="1"/>
    <col min="5" max="5" width="16.28515625" style="128" customWidth="1"/>
    <col min="6" max="6" width="13.7109375" style="128" customWidth="1"/>
    <col min="7" max="7" width="18.42578125" style="128" customWidth="1"/>
    <col min="8" max="8" width="13.42578125" style="128" customWidth="1"/>
    <col min="9" max="9" width="19.28515625" style="128" customWidth="1"/>
    <col min="10" max="11" width="14.28515625" style="128" customWidth="1"/>
    <col min="12" max="12" width="14" style="128" customWidth="1"/>
    <col min="13" max="13" width="13.7109375" style="128" customWidth="1"/>
    <col min="14" max="14" width="14.7109375" style="128" customWidth="1"/>
    <col min="15" max="15" width="14.42578125" style="128" customWidth="1"/>
    <col min="16" max="16384" width="11.42578125" style="128"/>
  </cols>
  <sheetData>
    <row r="1" spans="1:19" ht="57.75" customHeight="1">
      <c r="A1" s="2227" t="s">
        <v>1231</v>
      </c>
      <c r="B1" s="2227"/>
      <c r="C1" s="2227"/>
      <c r="D1" s="2227"/>
      <c r="E1" s="2227"/>
      <c r="F1" s="2227"/>
      <c r="G1" s="2227"/>
      <c r="H1" s="2227"/>
      <c r="I1" s="2227"/>
      <c r="J1" s="2227"/>
      <c r="K1" s="2227"/>
      <c r="L1" s="2227"/>
      <c r="M1" s="2227"/>
      <c r="N1" s="2227"/>
      <c r="O1" s="2227"/>
      <c r="P1" s="2227"/>
    </row>
    <row r="2" spans="1:19" ht="6.75" customHeight="1">
      <c r="S2" s="812"/>
    </row>
    <row r="3" spans="1:19" ht="64.5" customHeight="1">
      <c r="A3" s="1037" t="s">
        <v>25</v>
      </c>
      <c r="B3" s="1038" t="s">
        <v>38</v>
      </c>
      <c r="C3" s="1038" t="s">
        <v>1197</v>
      </c>
      <c r="D3" s="1038" t="s">
        <v>1196</v>
      </c>
      <c r="E3" s="1038" t="s">
        <v>1195</v>
      </c>
      <c r="F3" s="1048" t="s">
        <v>1226</v>
      </c>
      <c r="G3" s="1048" t="s">
        <v>1194</v>
      </c>
      <c r="H3" s="1048" t="s">
        <v>1230</v>
      </c>
      <c r="I3" s="1048" t="s">
        <v>1193</v>
      </c>
      <c r="J3" s="1038" t="s">
        <v>1229</v>
      </c>
      <c r="K3" s="1049" t="s">
        <v>1228</v>
      </c>
      <c r="L3" s="1049" t="s">
        <v>1227</v>
      </c>
      <c r="M3" s="1049" t="s">
        <v>1198</v>
      </c>
      <c r="N3" s="1038" t="s">
        <v>1192</v>
      </c>
      <c r="O3" s="1038" t="s">
        <v>1191</v>
      </c>
      <c r="S3" s="539"/>
    </row>
    <row r="4" spans="1:19">
      <c r="A4" s="1037" t="s">
        <v>28</v>
      </c>
      <c r="B4" s="1039">
        <v>8668205</v>
      </c>
      <c r="C4" s="1039">
        <f>+F4+J4+L4</f>
        <v>1039738</v>
      </c>
      <c r="D4" s="1039">
        <f t="shared" ref="D4:D14" si="0">+B4-C4</f>
        <v>7628467</v>
      </c>
      <c r="E4" s="1044">
        <f t="shared" ref="E4:E14" si="1">+C4/B4</f>
        <v>0.11994847837585752</v>
      </c>
      <c r="F4" s="1047">
        <v>53200</v>
      </c>
      <c r="G4" s="1046">
        <v>0.498</v>
      </c>
      <c r="H4" s="1039">
        <f t="shared" ref="H4:H14" si="2">+G4*B4</f>
        <v>4316766.09</v>
      </c>
      <c r="I4" s="1043">
        <f t="shared" ref="I4:I14" si="3">+F4/H4</f>
        <v>1.2324040471694865E-2</v>
      </c>
      <c r="J4" s="1039">
        <v>986538</v>
      </c>
      <c r="K4" s="1039">
        <f t="shared" ref="K4:K14" si="4">+J4+L4</f>
        <v>986538</v>
      </c>
      <c r="L4" s="1039"/>
      <c r="M4" s="1040">
        <f t="shared" ref="M4:M14" si="5">+L4/B4</f>
        <v>0</v>
      </c>
      <c r="N4" s="1039">
        <f t="shared" ref="N4:N14" si="6">+B4-H4-L4</f>
        <v>4351438.91</v>
      </c>
      <c r="O4" s="1042">
        <f t="shared" ref="O4:O14" si="7">K4/N4</f>
        <v>0.22671535103775592</v>
      </c>
      <c r="S4" s="812"/>
    </row>
    <row r="5" spans="1:19">
      <c r="A5" s="1037" t="s">
        <v>29</v>
      </c>
      <c r="B5" s="1039">
        <v>8775174</v>
      </c>
      <c r="C5" s="1039">
        <f t="shared" ref="C5:C14" si="8">+F5+J5+L5</f>
        <v>1254915</v>
      </c>
      <c r="D5" s="1039">
        <f t="shared" si="0"/>
        <v>7520259</v>
      </c>
      <c r="E5" s="1044">
        <f t="shared" si="1"/>
        <v>0.14300742070755521</v>
      </c>
      <c r="F5" s="1047">
        <v>64713</v>
      </c>
      <c r="G5" s="1046">
        <v>0.498</v>
      </c>
      <c r="H5" s="1039">
        <f t="shared" si="2"/>
        <v>4370036.6519999998</v>
      </c>
      <c r="I5" s="1043">
        <f t="shared" si="3"/>
        <v>1.4808342618907629E-2</v>
      </c>
      <c r="J5" s="1039">
        <v>1190202</v>
      </c>
      <c r="K5" s="1039">
        <f t="shared" si="4"/>
        <v>1190202</v>
      </c>
      <c r="L5" s="1039"/>
      <c r="M5" s="1040">
        <f t="shared" si="5"/>
        <v>0</v>
      </c>
      <c r="N5" s="1039">
        <f t="shared" si="6"/>
        <v>4405137.3480000002</v>
      </c>
      <c r="O5" s="1042">
        <f t="shared" si="7"/>
        <v>0.27018499219788683</v>
      </c>
      <c r="S5" s="539"/>
    </row>
    <row r="6" spans="1:19">
      <c r="A6" s="1037" t="s">
        <v>30</v>
      </c>
      <c r="B6" s="1039">
        <v>8883462</v>
      </c>
      <c r="C6" s="1039">
        <f t="shared" si="8"/>
        <v>1687712</v>
      </c>
      <c r="D6" s="1039">
        <f t="shared" si="0"/>
        <v>7195750</v>
      </c>
      <c r="E6" s="1044">
        <f t="shared" si="1"/>
        <v>0.18998358973112059</v>
      </c>
      <c r="F6" s="1047">
        <v>258191</v>
      </c>
      <c r="G6" s="1046">
        <v>0.47799999999999998</v>
      </c>
      <c r="H6" s="1039">
        <f t="shared" si="2"/>
        <v>4246294.8360000001</v>
      </c>
      <c r="I6" s="1043">
        <f t="shared" si="3"/>
        <v>6.0803832510889735E-2</v>
      </c>
      <c r="J6" s="1039">
        <v>1429521</v>
      </c>
      <c r="K6" s="1039">
        <f t="shared" si="4"/>
        <v>1429521</v>
      </c>
      <c r="L6" s="1039"/>
      <c r="M6" s="1040">
        <f t="shared" si="5"/>
        <v>0</v>
      </c>
      <c r="N6" s="1039">
        <f t="shared" si="6"/>
        <v>4637167.1639999999</v>
      </c>
      <c r="O6" s="1042">
        <f t="shared" si="7"/>
        <v>0.30827463178336267</v>
      </c>
    </row>
    <row r="7" spans="1:19">
      <c r="A7" s="1037" t="s">
        <v>31</v>
      </c>
      <c r="B7" s="1039">
        <v>8993087</v>
      </c>
      <c r="C7" s="1039">
        <f t="shared" si="8"/>
        <v>2102527</v>
      </c>
      <c r="D7" s="1039">
        <f t="shared" si="0"/>
        <v>6890560</v>
      </c>
      <c r="E7" s="1044">
        <f t="shared" si="1"/>
        <v>0.23379369064260136</v>
      </c>
      <c r="F7" s="1047">
        <v>513906</v>
      </c>
      <c r="G7" s="1046">
        <v>0.442</v>
      </c>
      <c r="H7" s="1039">
        <f t="shared" si="2"/>
        <v>3974944.4539999999</v>
      </c>
      <c r="I7" s="1043">
        <f t="shared" si="3"/>
        <v>0.12928633492798991</v>
      </c>
      <c r="J7" s="1039">
        <v>1588621</v>
      </c>
      <c r="K7" s="1039">
        <f t="shared" si="4"/>
        <v>1588621</v>
      </c>
      <c r="L7" s="1039"/>
      <c r="M7" s="1040">
        <f t="shared" si="5"/>
        <v>0</v>
      </c>
      <c r="N7" s="1039">
        <f t="shared" si="6"/>
        <v>5018142.5460000001</v>
      </c>
      <c r="O7" s="1042">
        <f t="shared" si="7"/>
        <v>0.31657550287532227</v>
      </c>
    </row>
    <row r="8" spans="1:19">
      <c r="A8" s="1037" t="s">
        <v>32</v>
      </c>
      <c r="B8" s="1039">
        <v>9104064</v>
      </c>
      <c r="C8" s="1039">
        <f t="shared" si="8"/>
        <v>2449608</v>
      </c>
      <c r="D8" s="1039">
        <f t="shared" si="0"/>
        <v>6654456</v>
      </c>
      <c r="E8" s="1044">
        <f t="shared" si="1"/>
        <v>0.26906752852352533</v>
      </c>
      <c r="F8" s="1047">
        <v>972427</v>
      </c>
      <c r="G8" s="1046">
        <v>0.436</v>
      </c>
      <c r="H8" s="1039">
        <f t="shared" si="2"/>
        <v>3969371.9040000001</v>
      </c>
      <c r="I8" s="1043">
        <f t="shared" si="3"/>
        <v>0.24498258755247138</v>
      </c>
      <c r="J8" s="1039">
        <v>1477181</v>
      </c>
      <c r="K8" s="1039">
        <f t="shared" si="4"/>
        <v>1477181</v>
      </c>
      <c r="L8" s="1039"/>
      <c r="M8" s="1040">
        <f t="shared" si="5"/>
        <v>0</v>
      </c>
      <c r="N8" s="1039">
        <f t="shared" si="6"/>
        <v>5134692.0959999999</v>
      </c>
      <c r="O8" s="1042">
        <f t="shared" si="7"/>
        <v>0.28768638360043935</v>
      </c>
    </row>
    <row r="9" spans="1:19">
      <c r="A9" s="1037" t="s">
        <v>33</v>
      </c>
      <c r="B9" s="1039">
        <v>9216411</v>
      </c>
      <c r="C9" s="1039">
        <f t="shared" si="8"/>
        <v>2934940</v>
      </c>
      <c r="D9" s="1039">
        <f t="shared" si="0"/>
        <v>6281471</v>
      </c>
      <c r="E9" s="1044">
        <f t="shared" si="1"/>
        <v>0.31844716994500355</v>
      </c>
      <c r="F9" s="1047">
        <v>1242681</v>
      </c>
      <c r="G9" s="1046">
        <v>0.442</v>
      </c>
      <c r="H9" s="1039">
        <f t="shared" si="2"/>
        <v>4073653.662</v>
      </c>
      <c r="I9" s="1043">
        <f t="shared" si="3"/>
        <v>0.30505317906429325</v>
      </c>
      <c r="J9" s="1039">
        <v>1692259</v>
      </c>
      <c r="K9" s="1039">
        <f t="shared" si="4"/>
        <v>1692259</v>
      </c>
      <c r="L9" s="1039"/>
      <c r="M9" s="1040">
        <f t="shared" si="5"/>
        <v>0</v>
      </c>
      <c r="N9" s="1039">
        <f t="shared" si="6"/>
        <v>5142757.3379999995</v>
      </c>
      <c r="O9" s="1042">
        <f t="shared" si="7"/>
        <v>0.32905674695087084</v>
      </c>
    </row>
    <row r="10" spans="1:19">
      <c r="A10" s="1037" t="s">
        <v>34</v>
      </c>
      <c r="B10" s="1039">
        <v>9330144</v>
      </c>
      <c r="C10" s="1039">
        <f t="shared" si="8"/>
        <v>3521433</v>
      </c>
      <c r="D10" s="1039">
        <f t="shared" si="0"/>
        <v>5808711</v>
      </c>
      <c r="E10" s="1044">
        <f t="shared" si="1"/>
        <v>0.37742536449598207</v>
      </c>
      <c r="F10" s="1047">
        <v>1411152</v>
      </c>
      <c r="G10" s="1046">
        <v>0.42099999999999999</v>
      </c>
      <c r="H10" s="1039">
        <f t="shared" si="2"/>
        <v>3927990.6239999998</v>
      </c>
      <c r="I10" s="1043">
        <f t="shared" si="3"/>
        <v>0.3592554400150218</v>
      </c>
      <c r="J10" s="1039">
        <v>2088299</v>
      </c>
      <c r="K10" s="1039">
        <f t="shared" si="4"/>
        <v>2110281</v>
      </c>
      <c r="L10" s="1039">
        <v>21982</v>
      </c>
      <c r="M10" s="1043">
        <f t="shared" si="5"/>
        <v>2.3560193711908411E-3</v>
      </c>
      <c r="N10" s="1039">
        <f t="shared" si="6"/>
        <v>5380171.3760000002</v>
      </c>
      <c r="O10" s="1042">
        <f t="shared" si="7"/>
        <v>0.39223304473414972</v>
      </c>
    </row>
    <row r="11" spans="1:19">
      <c r="A11" s="1037" t="s">
        <v>359</v>
      </c>
      <c r="B11" s="1039">
        <v>9445281</v>
      </c>
      <c r="C11" s="1039">
        <f t="shared" si="8"/>
        <v>4414548</v>
      </c>
      <c r="D11" s="1039">
        <f t="shared" si="0"/>
        <v>5030733</v>
      </c>
      <c r="E11" s="1044">
        <f t="shared" si="1"/>
        <v>0.46738133042309699</v>
      </c>
      <c r="F11" s="1047">
        <v>2023360</v>
      </c>
      <c r="G11" s="1046">
        <v>0.41599999999999998</v>
      </c>
      <c r="H11" s="1039">
        <f t="shared" si="2"/>
        <v>3929236.8959999997</v>
      </c>
      <c r="I11" s="1043">
        <f t="shared" si="3"/>
        <v>0.5149498626717568</v>
      </c>
      <c r="J11" s="1039">
        <v>2364083</v>
      </c>
      <c r="K11" s="1039">
        <f t="shared" si="4"/>
        <v>2391188</v>
      </c>
      <c r="L11" s="1039">
        <v>27105</v>
      </c>
      <c r="M11" s="1043">
        <f t="shared" si="5"/>
        <v>2.8696869897253453E-3</v>
      </c>
      <c r="N11" s="1039">
        <f t="shared" si="6"/>
        <v>5488939.1040000003</v>
      </c>
      <c r="O11" s="1042">
        <f t="shared" si="7"/>
        <v>0.43563755303050267</v>
      </c>
    </row>
    <row r="12" spans="1:19">
      <c r="A12" s="1037" t="s">
        <v>477</v>
      </c>
      <c r="B12" s="1039">
        <v>9561839</v>
      </c>
      <c r="C12" s="1039">
        <f t="shared" si="8"/>
        <v>4564572</v>
      </c>
      <c r="D12" s="1039">
        <f t="shared" si="0"/>
        <v>4997267</v>
      </c>
      <c r="E12" s="1044">
        <f t="shared" si="1"/>
        <v>0.47737386082321615</v>
      </c>
      <c r="F12" s="1047">
        <v>2017423</v>
      </c>
      <c r="G12" s="1046">
        <v>0.40799999999999997</v>
      </c>
      <c r="H12" s="1039">
        <f t="shared" si="2"/>
        <v>3901230.3119999999</v>
      </c>
      <c r="I12" s="1043">
        <f t="shared" si="3"/>
        <v>0.51712481413735101</v>
      </c>
      <c r="J12" s="1039">
        <v>2517423</v>
      </c>
      <c r="K12" s="1039">
        <f t="shared" si="4"/>
        <v>2547149</v>
      </c>
      <c r="L12" s="1039">
        <v>29726</v>
      </c>
      <c r="M12" s="1043">
        <f t="shared" si="5"/>
        <v>3.1088162015695934E-3</v>
      </c>
      <c r="N12" s="1039">
        <f t="shared" si="6"/>
        <v>5630882.6880000001</v>
      </c>
      <c r="O12" s="1042">
        <f t="shared" si="7"/>
        <v>0.4523534126236089</v>
      </c>
    </row>
    <row r="13" spans="1:19">
      <c r="A13" s="1037" t="s">
        <v>39</v>
      </c>
      <c r="B13" s="1156">
        <v>9679835</v>
      </c>
      <c r="C13" s="1039">
        <f t="shared" si="8"/>
        <v>5054406</v>
      </c>
      <c r="D13" s="1039">
        <f t="shared" si="0"/>
        <v>4625429</v>
      </c>
      <c r="E13" s="1044">
        <f t="shared" si="1"/>
        <v>0.5221582805905266</v>
      </c>
      <c r="F13" s="1047">
        <v>2335292</v>
      </c>
      <c r="G13" s="1045">
        <v>0.4</v>
      </c>
      <c r="H13" s="1039">
        <f t="shared" si="2"/>
        <v>3871934</v>
      </c>
      <c r="I13" s="1043">
        <f t="shared" si="3"/>
        <v>0.60313321456409119</v>
      </c>
      <c r="J13" s="1041">
        <v>2688411</v>
      </c>
      <c r="K13" s="1039">
        <f t="shared" si="4"/>
        <v>2719114</v>
      </c>
      <c r="L13" s="1041">
        <v>30703</v>
      </c>
      <c r="M13" s="1043">
        <f t="shared" si="5"/>
        <v>3.1718515863131966E-3</v>
      </c>
      <c r="N13" s="1039">
        <f t="shared" si="6"/>
        <v>5777198</v>
      </c>
      <c r="O13" s="1042">
        <f t="shared" si="7"/>
        <v>0.47066311384861659</v>
      </c>
    </row>
    <row r="14" spans="1:19" hidden="1">
      <c r="A14" s="1037" t="s">
        <v>1190</v>
      </c>
      <c r="B14" s="1168">
        <v>9799287</v>
      </c>
      <c r="C14" s="1168">
        <f t="shared" si="8"/>
        <v>5055517</v>
      </c>
      <c r="D14" s="1168">
        <f t="shared" si="0"/>
        <v>4743770</v>
      </c>
      <c r="E14" s="1169">
        <f t="shared" si="1"/>
        <v>0.51590661647117797</v>
      </c>
      <c r="F14" s="1168">
        <v>2334177</v>
      </c>
      <c r="G14" s="1046">
        <v>0.4</v>
      </c>
      <c r="H14" s="1039">
        <f t="shared" si="2"/>
        <v>3919714.8000000003</v>
      </c>
      <c r="I14" s="1043">
        <f t="shared" si="3"/>
        <v>0.59549664174546568</v>
      </c>
      <c r="J14" s="1156">
        <v>2690681</v>
      </c>
      <c r="K14" s="1039">
        <f t="shared" si="4"/>
        <v>2721340</v>
      </c>
      <c r="L14" s="1156">
        <v>30659</v>
      </c>
      <c r="M14" s="1043">
        <f t="shared" si="5"/>
        <v>3.1286970164257871E-3</v>
      </c>
      <c r="N14" s="1039">
        <f t="shared" si="6"/>
        <v>5848913.1999999993</v>
      </c>
      <c r="O14" s="1042">
        <f t="shared" si="7"/>
        <v>0.46527276212613317</v>
      </c>
    </row>
    <row r="15" spans="1:19">
      <c r="A15" s="1037" t="s">
        <v>1238</v>
      </c>
      <c r="B15" s="1156">
        <f>+'I.1.1 Cobertura SDSS '!E14</f>
        <v>9780743</v>
      </c>
      <c r="C15" s="1039">
        <f>+F15+J15+L15</f>
        <v>5638332</v>
      </c>
      <c r="D15" s="1039">
        <f>+B15-C15</f>
        <v>4142411</v>
      </c>
      <c r="E15" s="1044">
        <f>+C15/B15</f>
        <v>0.57647276899106747</v>
      </c>
      <c r="F15" s="1047">
        <f>+'I.1.4 Afil. SDSS Anual'!C14</f>
        <v>2751753</v>
      </c>
      <c r="G15" s="1046">
        <v>0.4</v>
      </c>
      <c r="H15" s="1039">
        <f>+G15*B15</f>
        <v>3912297.2</v>
      </c>
      <c r="I15" s="1043">
        <f>+F15/H15</f>
        <v>0.70335990834234163</v>
      </c>
      <c r="J15" s="1156">
        <f>+'I.1.4 Afil. SDSS Anual'!B14</f>
        <v>2859306</v>
      </c>
      <c r="K15" s="1039">
        <f>+J15+L15</f>
        <v>2886579</v>
      </c>
      <c r="L15" s="1156">
        <f>+'I.1.4 Afil. SDSS Anual'!D14</f>
        <v>27273</v>
      </c>
      <c r="M15" s="1043">
        <f>+L15/B15</f>
        <v>2.7884384652577007E-3</v>
      </c>
      <c r="N15" s="1039">
        <f>+B15-H15-L15</f>
        <v>5841172.7999999998</v>
      </c>
      <c r="O15" s="1042">
        <f>K15/N15</f>
        <v>0.49417798425686021</v>
      </c>
    </row>
  </sheetData>
  <mergeCells count="1">
    <mergeCell ref="A1:P1"/>
  </mergeCells>
  <pageMargins left="0.7" right="0.7" top="0.75" bottom="0.75" header="0.3" footer="0.3"/>
  <pageSetup scale="52" orientation="landscape"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1" tint="0.34998626667073579"/>
    <pageSetUpPr fitToPage="1"/>
  </sheetPr>
  <dimension ref="A1:AP31"/>
  <sheetViews>
    <sheetView showGridLines="0" view="pageBreakPreview" topLeftCell="AJ1" zoomScale="70" zoomScaleNormal="100" zoomScaleSheetLayoutView="70" workbookViewId="0">
      <selection activeCell="G8" sqref="G8"/>
    </sheetView>
  </sheetViews>
  <sheetFormatPr baseColWidth="10" defaultColWidth="11.42578125" defaultRowHeight="15"/>
  <cols>
    <col min="1" max="1" width="13.85546875" style="59" customWidth="1"/>
    <col min="2" max="2" width="11.28515625" style="59" customWidth="1"/>
    <col min="3" max="3" width="12.5703125" style="59" customWidth="1"/>
    <col min="4" max="4" width="12.85546875" style="59" customWidth="1"/>
    <col min="5" max="5" width="11.42578125" style="59" customWidth="1"/>
    <col min="6" max="6" width="11.28515625" style="59" customWidth="1"/>
    <col min="7" max="7" width="23.28515625" style="59" customWidth="1"/>
    <col min="8" max="8" width="17.42578125" style="59" customWidth="1"/>
    <col min="9" max="9" width="13.85546875" style="59" customWidth="1"/>
    <col min="10" max="10" width="19.7109375" style="59" customWidth="1"/>
    <col min="11" max="11" width="17.140625" style="59" customWidth="1"/>
    <col min="12" max="41" width="18.42578125" style="59" customWidth="1"/>
    <col min="42" max="42" width="11.7109375" style="59" customWidth="1"/>
    <col min="43" max="16384" width="11.42578125" style="59"/>
  </cols>
  <sheetData>
    <row r="1" spans="1:42" s="128" customFormat="1" ht="68.25" customHeight="1">
      <c r="A1" s="2552" t="s">
        <v>1633</v>
      </c>
      <c r="B1" s="2553"/>
      <c r="C1" s="2553"/>
      <c r="D1" s="2553"/>
      <c r="E1" s="2553"/>
      <c r="F1" s="2553"/>
      <c r="G1" s="2553"/>
      <c r="H1" s="2553"/>
      <c r="I1" s="2553"/>
      <c r="J1" s="2553"/>
      <c r="K1" s="2553"/>
      <c r="L1" s="2554"/>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row>
    <row r="2" spans="1:42" s="58" customFormat="1" ht="4.5" customHeight="1">
      <c r="A2" s="573"/>
      <c r="B2" s="574"/>
      <c r="C2" s="574"/>
      <c r="D2" s="574"/>
      <c r="E2" s="574"/>
      <c r="F2" s="574"/>
      <c r="G2" s="574"/>
      <c r="H2" s="574"/>
      <c r="I2" s="574"/>
      <c r="J2" s="574"/>
      <c r="K2" s="574"/>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row>
    <row r="3" spans="1:42" s="128" customFormat="1" ht="50.25" customHeight="1">
      <c r="A3" s="463" t="s">
        <v>0</v>
      </c>
      <c r="B3" s="463" t="s">
        <v>613</v>
      </c>
      <c r="C3" s="463" t="s">
        <v>612</v>
      </c>
      <c r="D3" s="463" t="s">
        <v>167</v>
      </c>
      <c r="E3" s="463" t="s">
        <v>611</v>
      </c>
      <c r="F3" s="463" t="s">
        <v>610</v>
      </c>
      <c r="G3" s="463" t="s">
        <v>1315</v>
      </c>
      <c r="H3" s="463" t="s">
        <v>615</v>
      </c>
      <c r="I3" s="463" t="s">
        <v>614</v>
      </c>
      <c r="J3" s="463" t="s">
        <v>1016</v>
      </c>
      <c r="K3" s="463" t="s">
        <v>1017</v>
      </c>
    </row>
    <row r="4" spans="1:42" s="128" customFormat="1" ht="18" customHeight="1">
      <c r="A4" s="463" t="s">
        <v>468</v>
      </c>
      <c r="B4" s="688">
        <v>986</v>
      </c>
      <c r="C4" s="688">
        <v>13697</v>
      </c>
      <c r="D4" s="691">
        <f>SUM(B4:C4)</f>
        <v>14683</v>
      </c>
      <c r="E4" s="459">
        <f t="shared" ref="E4:E9" si="0">B4/D4</f>
        <v>6.7152489273309274E-2</v>
      </c>
      <c r="F4" s="459">
        <f t="shared" ref="F4:F9" si="1">C4/D4</f>
        <v>0.9328475107266907</v>
      </c>
      <c r="G4" s="452">
        <v>357975</v>
      </c>
      <c r="H4" s="452">
        <v>869750</v>
      </c>
      <c r="I4" s="691">
        <f>SUM(G4:H4)</f>
        <v>1227725</v>
      </c>
      <c r="J4" s="459">
        <f t="shared" ref="J4:K7" si="2">B4/G4</f>
        <v>2.7543822892660101E-3</v>
      </c>
      <c r="K4" s="459">
        <f t="shared" si="2"/>
        <v>1.5748203506754814E-2</v>
      </c>
    </row>
    <row r="5" spans="1:42" s="128" customFormat="1" ht="18" customHeight="1">
      <c r="A5" s="463" t="s">
        <v>360</v>
      </c>
      <c r="B5" s="692">
        <v>1477</v>
      </c>
      <c r="C5" s="688">
        <v>15979</v>
      </c>
      <c r="D5" s="691">
        <f>SUM(B5:C5)</f>
        <v>17456</v>
      </c>
      <c r="E5" s="459">
        <f t="shared" si="0"/>
        <v>8.4612740604949582E-2</v>
      </c>
      <c r="F5" s="459">
        <f t="shared" si="1"/>
        <v>0.91538725939505039</v>
      </c>
      <c r="G5" s="460">
        <v>355259</v>
      </c>
      <c r="H5" s="452">
        <v>943828</v>
      </c>
      <c r="I5" s="691">
        <f>SUM(G5:H5)</f>
        <v>1299087</v>
      </c>
      <c r="J5" s="459">
        <f t="shared" si="2"/>
        <v>4.1575301399823794E-3</v>
      </c>
      <c r="K5" s="459">
        <f t="shared" si="2"/>
        <v>1.6929991481498749E-2</v>
      </c>
      <c r="AP5" s="59"/>
    </row>
    <row r="6" spans="1:42" s="128" customFormat="1" ht="17.25" customHeight="1">
      <c r="A6" s="463" t="s">
        <v>469</v>
      </c>
      <c r="B6" s="688">
        <v>2094</v>
      </c>
      <c r="C6" s="688">
        <v>20503</v>
      </c>
      <c r="D6" s="691">
        <f>SUM(B6:C6)</f>
        <v>22597</v>
      </c>
      <c r="E6" s="459">
        <f t="shared" si="0"/>
        <v>9.2667168208169226E-2</v>
      </c>
      <c r="F6" s="459">
        <f t="shared" si="1"/>
        <v>0.90733283179183077</v>
      </c>
      <c r="G6" s="460">
        <v>369264</v>
      </c>
      <c r="H6" s="460">
        <v>998526</v>
      </c>
      <c r="I6" s="691">
        <f>SUM(G6:H6)</f>
        <v>1367790</v>
      </c>
      <c r="J6" s="459">
        <f t="shared" si="2"/>
        <v>5.6707396334329911E-3</v>
      </c>
      <c r="K6" s="459">
        <f t="shared" si="2"/>
        <v>2.0533266034134315E-2</v>
      </c>
      <c r="AP6" s="59"/>
    </row>
    <row r="7" spans="1:42" s="128" customFormat="1" ht="20.25" customHeight="1">
      <c r="A7" s="463" t="s">
        <v>1058</v>
      </c>
      <c r="B7" s="688">
        <f>+' VI.3.8 NA.Cant. accid x sector'!B12</f>
        <v>3858</v>
      </c>
      <c r="C7" s="688">
        <f>+' VI.3.8 NA.Cant. accid x sector'!C12</f>
        <v>22830</v>
      </c>
      <c r="D7" s="691">
        <f>SUM(B7:C7)</f>
        <v>26688</v>
      </c>
      <c r="E7" s="459">
        <f t="shared" si="0"/>
        <v>0.1445593525179856</v>
      </c>
      <c r="F7" s="459">
        <f t="shared" si="1"/>
        <v>0.85544064748201443</v>
      </c>
      <c r="G7" s="460">
        <v>393705</v>
      </c>
      <c r="H7" s="460">
        <v>1036568</v>
      </c>
      <c r="I7" s="691">
        <f>SUM(G7:H7)</f>
        <v>1430273</v>
      </c>
      <c r="J7" s="459">
        <f t="shared" si="2"/>
        <v>9.799215148397912E-3</v>
      </c>
      <c r="K7" s="459">
        <f t="shared" si="2"/>
        <v>2.2024604271017434E-2</v>
      </c>
      <c r="AP7" s="59"/>
    </row>
    <row r="8" spans="1:42" s="128" customFormat="1" ht="18.75" customHeight="1">
      <c r="A8" s="463" t="s">
        <v>1629</v>
      </c>
      <c r="B8" s="1587">
        <f>+' VI.3.8 NA.Cant. accid x sector'!B13</f>
        <v>4451</v>
      </c>
      <c r="C8" s="1587">
        <f>+' VI.3.8 NA.Cant. accid x sector'!C13</f>
        <v>24184</v>
      </c>
      <c r="D8" s="691">
        <f>SUM(B8:C8)</f>
        <v>28635</v>
      </c>
      <c r="E8" s="459">
        <f t="shared" si="0"/>
        <v>0.15543914789593155</v>
      </c>
      <c r="F8" s="459">
        <f t="shared" si="1"/>
        <v>0.84456085210406839</v>
      </c>
      <c r="G8" s="1584">
        <f>164182+248585</f>
        <v>412767</v>
      </c>
      <c r="H8" s="1584">
        <v>1102825</v>
      </c>
      <c r="I8" s="691">
        <f>SUM(G8:H8)</f>
        <v>1515592</v>
      </c>
      <c r="J8" s="459">
        <f>B8/G8</f>
        <v>1.0783323279235016E-2</v>
      </c>
      <c r="K8" s="459">
        <f>C8/H8</f>
        <v>2.1929136535715096E-2</v>
      </c>
      <c r="AP8" s="59"/>
    </row>
    <row r="9" spans="1:42" s="128" customFormat="1" ht="15.75">
      <c r="A9" s="463" t="s">
        <v>23</v>
      </c>
      <c r="B9" s="691">
        <f>SUM(B4:B8)</f>
        <v>12866</v>
      </c>
      <c r="C9" s="691">
        <f>SUM(C4:C8)</f>
        <v>97193</v>
      </c>
      <c r="D9" s="691">
        <f>SUM(D4:D8)</f>
        <v>110059</v>
      </c>
      <c r="E9" s="459">
        <f t="shared" si="0"/>
        <v>0.11690093495307062</v>
      </c>
      <c r="F9" s="459">
        <f t="shared" si="1"/>
        <v>0.88309906504692937</v>
      </c>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row>
    <row r="10" spans="1:42" s="128" customFormat="1">
      <c r="B10" s="687"/>
      <c r="C10" s="687"/>
      <c r="D10" s="687"/>
    </row>
    <row r="11" spans="1:42" s="128" customFormat="1"/>
    <row r="12" spans="1:42" s="128" customFormat="1"/>
    <row r="13" spans="1:42" s="128" customFormat="1" ht="15" customHeight="1"/>
    <row r="14" spans="1:42" s="128" customFormat="1"/>
    <row r="15" spans="1:42" s="128" customFormat="1"/>
    <row r="16" spans="1:42" s="128" customFormat="1"/>
    <row r="17" spans="1:42" s="128" customFormat="1"/>
    <row r="18" spans="1:42" s="128" customFormat="1"/>
    <row r="19" spans="1:42" s="128" customFormat="1"/>
    <row r="20" spans="1:42">
      <c r="A20" s="128"/>
      <c r="B20" s="128"/>
      <c r="C20" s="128"/>
      <c r="D20" s="128"/>
      <c r="E20" s="128"/>
      <c r="F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339"/>
    </row>
    <row r="22" spans="1:42">
      <c r="K22" s="377"/>
    </row>
    <row r="31" spans="1:42">
      <c r="AP31" s="1338"/>
    </row>
  </sheetData>
  <sortState ref="I21:I30">
    <sortCondition descending="1" ref="I21"/>
  </sortState>
  <mergeCells count="1">
    <mergeCell ref="A1:L1"/>
  </mergeCells>
  <printOptions horizontalCentered="1"/>
  <pageMargins left="0.39370078740157483" right="0.39370078740157483" top="0.23622047244094491" bottom="0.23622047244094491" header="0.31496062992125984" footer="0.31496062992125984"/>
  <pageSetup scale="71" orientation="landscape" r:id="rId1"/>
  <drawing r:id="rId2"/>
  <legacyDrawing r:id="rId3"/>
  <controls>
    <mc:AlternateContent xmlns:mc="http://schemas.openxmlformats.org/markup-compatibility/2006">
      <mc:Choice Requires="x14">
        <control shapeId="459778" r:id="rId4" name="Control 2">
          <controlPr defaultSize="0" r:id="rId5">
            <anchor moveWithCells="1">
              <from>
                <xdr:col>42</xdr:col>
                <xdr:colOff>0</xdr:colOff>
                <xdr:row>3</xdr:row>
                <xdr:rowOff>0</xdr:rowOff>
              </from>
              <to>
                <xdr:col>49</xdr:col>
                <xdr:colOff>381000</xdr:colOff>
                <xdr:row>26</xdr:row>
                <xdr:rowOff>152400</xdr:rowOff>
              </to>
            </anchor>
          </controlPr>
        </control>
      </mc:Choice>
      <mc:Fallback>
        <control shapeId="459778" r:id="rId4" name="Control 2"/>
      </mc:Fallback>
    </mc:AlternateContent>
  </control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O45"/>
  <sheetViews>
    <sheetView showGridLines="0" view="pageBreakPreview" zoomScale="73" zoomScaleNormal="100" zoomScaleSheetLayoutView="73" workbookViewId="0">
      <pane ySplit="1" topLeftCell="A2" activePane="bottomLeft" state="frozen"/>
      <selection pane="bottomLeft" activeCell="N25" sqref="N25"/>
    </sheetView>
  </sheetViews>
  <sheetFormatPr baseColWidth="10" defaultColWidth="11.42578125" defaultRowHeight="15"/>
  <cols>
    <col min="1" max="1" width="13.140625" style="59" customWidth="1"/>
    <col min="2" max="3" width="14.140625" style="59" customWidth="1"/>
    <col min="4" max="4" width="13.85546875" style="59" customWidth="1"/>
    <col min="5" max="5" width="16" style="59" customWidth="1"/>
    <col min="6" max="6" width="15.7109375" style="59" customWidth="1"/>
    <col min="7" max="7" width="18" style="59" customWidth="1"/>
    <col min="8" max="8" width="16.7109375" style="59" customWidth="1"/>
    <col min="9" max="9" width="16.140625" style="59" customWidth="1"/>
    <col min="10" max="10" width="19.140625" style="59" customWidth="1"/>
    <col min="11" max="11" width="16.7109375" style="59" customWidth="1"/>
    <col min="12" max="12" width="14.42578125" style="59" customWidth="1"/>
    <col min="13" max="13" width="14.28515625" style="59" customWidth="1"/>
    <col min="14" max="14" width="14.85546875" style="59" bestFit="1" customWidth="1"/>
    <col min="15" max="16384" width="11.42578125" style="59"/>
  </cols>
  <sheetData>
    <row r="1" spans="1:15" s="128" customFormat="1" ht="79.5" customHeight="1">
      <c r="A1" s="2555" t="s">
        <v>2001</v>
      </c>
      <c r="B1" s="2555"/>
      <c r="C1" s="2555"/>
      <c r="D1" s="2555"/>
      <c r="E1" s="2555"/>
      <c r="F1" s="2555"/>
      <c r="G1" s="2555"/>
      <c r="H1" s="2555"/>
      <c r="I1" s="2555"/>
      <c r="J1" s="2555"/>
      <c r="K1" s="2555"/>
      <c r="L1" s="2555"/>
      <c r="M1" s="455"/>
    </row>
    <row r="2" spans="1:15" s="128" customFormat="1" ht="5.25" customHeight="1">
      <c r="A2" s="464"/>
      <c r="B2" s="464"/>
      <c r="C2" s="464"/>
      <c r="D2" s="464"/>
      <c r="E2" s="464"/>
      <c r="F2" s="464"/>
      <c r="G2" s="464"/>
      <c r="H2" s="464"/>
      <c r="I2" s="464"/>
      <c r="J2" s="464"/>
      <c r="K2" s="464"/>
      <c r="L2" s="464"/>
    </row>
    <row r="3" spans="1:15" s="347" customFormat="1" ht="46.5" customHeight="1">
      <c r="A3" s="576" t="s">
        <v>25</v>
      </c>
      <c r="B3" s="577" t="s">
        <v>623</v>
      </c>
      <c r="C3" s="577" t="s">
        <v>622</v>
      </c>
      <c r="D3" s="577" t="s">
        <v>621</v>
      </c>
      <c r="E3" s="577" t="s">
        <v>465</v>
      </c>
      <c r="F3" s="577" t="s">
        <v>464</v>
      </c>
      <c r="G3" s="577" t="s">
        <v>620</v>
      </c>
      <c r="H3" s="577" t="s">
        <v>619</v>
      </c>
      <c r="I3" s="577" t="s">
        <v>618</v>
      </c>
      <c r="J3" s="577" t="s">
        <v>617</v>
      </c>
      <c r="K3" s="577" t="s">
        <v>616</v>
      </c>
      <c r="L3" s="464"/>
      <c r="M3" s="128"/>
      <c r="N3" s="128"/>
      <c r="O3" s="128"/>
    </row>
    <row r="4" spans="1:15" s="128" customFormat="1" ht="15.75">
      <c r="A4" s="1965" t="s">
        <v>468</v>
      </c>
      <c r="B4" s="170">
        <v>3076</v>
      </c>
      <c r="C4" s="170">
        <v>11607</v>
      </c>
      <c r="D4" s="1963">
        <f t="shared" ref="D4:D9" si="0">B4+C4</f>
        <v>14683</v>
      </c>
      <c r="E4" s="745">
        <f t="shared" ref="E4:E9" si="1">B4/D4</f>
        <v>0.20949397262139891</v>
      </c>
      <c r="F4" s="745">
        <f t="shared" ref="F4:F9" si="2">C4/D4</f>
        <v>0.79050602737860109</v>
      </c>
      <c r="G4" s="170">
        <v>524956</v>
      </c>
      <c r="H4" s="170">
        <v>702769</v>
      </c>
      <c r="I4" s="1963">
        <f>G4+H4</f>
        <v>1227725</v>
      </c>
      <c r="J4" s="745">
        <f>B4/G4</f>
        <v>5.8595387041961615E-3</v>
      </c>
      <c r="K4" s="745">
        <f>C4/H4</f>
        <v>1.6516095616055916E-2</v>
      </c>
    </row>
    <row r="5" spans="1:15" s="128" customFormat="1" ht="15.75">
      <c r="A5" s="1965" t="s">
        <v>360</v>
      </c>
      <c r="B5" s="170">
        <v>3940</v>
      </c>
      <c r="C5" s="170">
        <v>13516</v>
      </c>
      <c r="D5" s="1963">
        <f t="shared" si="0"/>
        <v>17456</v>
      </c>
      <c r="E5" s="745">
        <f t="shared" si="1"/>
        <v>0.22571035747021082</v>
      </c>
      <c r="F5" s="745">
        <f t="shared" si="2"/>
        <v>0.77428964252978916</v>
      </c>
      <c r="G5" s="170">
        <v>558699</v>
      </c>
      <c r="H5" s="170">
        <v>740388</v>
      </c>
      <c r="I5" s="1963">
        <f>SUM(G5:H5)</f>
        <v>1299087</v>
      </c>
      <c r="J5" s="745">
        <f>B5/G5</f>
        <v>7.0520978201142294E-3</v>
      </c>
      <c r="K5" s="745">
        <f>C5/H5</f>
        <v>1.8255293170607843E-2</v>
      </c>
    </row>
    <row r="6" spans="1:15" s="128" customFormat="1" ht="15.75">
      <c r="A6" s="1965" t="s">
        <v>469</v>
      </c>
      <c r="B6" s="170">
        <v>5648</v>
      </c>
      <c r="C6" s="170">
        <v>16949</v>
      </c>
      <c r="D6" s="1963">
        <f t="shared" si="0"/>
        <v>22597</v>
      </c>
      <c r="E6" s="745">
        <f t="shared" si="1"/>
        <v>0.24994468292251185</v>
      </c>
      <c r="F6" s="745">
        <f t="shared" si="2"/>
        <v>0.75005531707748818</v>
      </c>
      <c r="G6" s="460">
        <v>590403</v>
      </c>
      <c r="H6" s="460">
        <v>777387</v>
      </c>
      <c r="I6" s="1963">
        <v>1367790</v>
      </c>
      <c r="J6" s="745">
        <f t="shared" ref="J6:K8" si="3">B6/G6</f>
        <v>9.566347054469574E-3</v>
      </c>
      <c r="K6" s="745">
        <f t="shared" si="3"/>
        <v>2.1802525640382462E-2</v>
      </c>
      <c r="L6" s="28"/>
    </row>
    <row r="7" spans="1:15" s="128" customFormat="1" ht="15.75">
      <c r="A7" s="1965" t="s">
        <v>1058</v>
      </c>
      <c r="B7" s="452">
        <f>+'VI.3.10 Accid x sexo'!B12</f>
        <v>7023</v>
      </c>
      <c r="C7" s="452">
        <f>+'VI.3.10 Accid x sexo'!C12</f>
        <v>19665</v>
      </c>
      <c r="D7" s="1964">
        <f t="shared" si="0"/>
        <v>26688</v>
      </c>
      <c r="E7" s="746">
        <f t="shared" si="1"/>
        <v>0.26315197841726617</v>
      </c>
      <c r="F7" s="746">
        <f t="shared" si="2"/>
        <v>0.73684802158273377</v>
      </c>
      <c r="G7" s="460">
        <v>621031</v>
      </c>
      <c r="H7" s="460">
        <v>809242</v>
      </c>
      <c r="I7" s="1963">
        <f>+H7+G7</f>
        <v>1430273</v>
      </c>
      <c r="J7" s="745">
        <f t="shared" si="3"/>
        <v>1.1308614223766607E-2</v>
      </c>
      <c r="K7" s="745">
        <f t="shared" si="3"/>
        <v>2.4300518262769358E-2</v>
      </c>
      <c r="L7" s="28"/>
    </row>
    <row r="8" spans="1:15" s="128" customFormat="1" ht="15.75">
      <c r="A8" s="1965" t="s">
        <v>1643</v>
      </c>
      <c r="B8" s="1584">
        <f>+'VI.3.10 Accid x sexo'!B13</f>
        <v>7836</v>
      </c>
      <c r="C8" s="1584">
        <f>+'VI.3.10 Accid x sexo'!C13</f>
        <v>20799</v>
      </c>
      <c r="D8" s="1964">
        <f t="shared" si="0"/>
        <v>28635</v>
      </c>
      <c r="E8" s="1589">
        <f t="shared" si="1"/>
        <v>0.27365112624410687</v>
      </c>
      <c r="F8" s="1589">
        <f t="shared" si="2"/>
        <v>0.72634887375589319</v>
      </c>
      <c r="G8" s="1584">
        <f>670388+2</f>
        <v>670390</v>
      </c>
      <c r="H8" s="1584">
        <f>859930+2</f>
        <v>859932</v>
      </c>
      <c r="I8" s="1963">
        <f>+H8+G8</f>
        <v>1530322</v>
      </c>
      <c r="J8" s="1590">
        <f t="shared" si="3"/>
        <v>1.1688718507137636E-2</v>
      </c>
      <c r="K8" s="1590">
        <f t="shared" si="3"/>
        <v>2.4186796165278183E-2</v>
      </c>
      <c r="L8" s="28"/>
    </row>
    <row r="9" spans="1:15" s="347" customFormat="1" ht="17.25" customHeight="1">
      <c r="A9" s="1965" t="s">
        <v>1907</v>
      </c>
      <c r="B9" s="1584">
        <f>+'VI.3.10 Accid x sexo'!B14</f>
        <v>8866</v>
      </c>
      <c r="C9" s="1584">
        <f>+'VI.3.10 Accid x sexo'!C14</f>
        <v>22166</v>
      </c>
      <c r="D9" s="1964">
        <f t="shared" si="0"/>
        <v>31032</v>
      </c>
      <c r="E9" s="1589">
        <f t="shared" si="1"/>
        <v>0.28570507862851252</v>
      </c>
      <c r="F9" s="1589">
        <f t="shared" si="2"/>
        <v>0.71429492137148753</v>
      </c>
      <c r="G9" s="1584">
        <f>+'VI.1.2 Afil. SRL x sexoy edad'!C20</f>
        <v>920367</v>
      </c>
      <c r="H9" s="1584">
        <f>+'VI.1.2 Afil. SRL x sexoy edad'!E20</f>
        <v>730835</v>
      </c>
      <c r="I9" s="1963">
        <f>+H9+G9</f>
        <v>1651202</v>
      </c>
      <c r="J9" s="1590">
        <f>B9/G9</f>
        <v>9.6331137470161352E-3</v>
      </c>
      <c r="K9" s="1590">
        <f>C9/H9</f>
        <v>3.0329691380407343E-2</v>
      </c>
      <c r="L9" s="789"/>
      <c r="M9" s="128"/>
      <c r="N9" s="128"/>
      <c r="O9" s="128"/>
    </row>
    <row r="10" spans="1:15" s="128" customFormat="1" ht="15.75">
      <c r="A10" s="786" t="s">
        <v>23</v>
      </c>
      <c r="B10" s="787">
        <f>SUM(B4:B9)</f>
        <v>36389</v>
      </c>
      <c r="C10" s="787">
        <f>SUM(C4:C9)</f>
        <v>104702</v>
      </c>
      <c r="D10" s="787">
        <f>SUM(D4:D9)</f>
        <v>141091</v>
      </c>
      <c r="E10" s="788">
        <f>AVERAGE(E4:E8)</f>
        <v>0.24439042353509893</v>
      </c>
      <c r="F10" s="788">
        <f>AVERAGE(F4:F8)</f>
        <v>0.75560957646490112</v>
      </c>
      <c r="G10" s="787"/>
      <c r="H10" s="787"/>
      <c r="I10" s="787"/>
      <c r="J10" s="788">
        <f>AVERAGE(J4:J8)</f>
        <v>9.0950632619368425E-3</v>
      </c>
      <c r="K10" s="788">
        <f>AVERAGE(K4:K8)</f>
        <v>2.1012245771018751E-2</v>
      </c>
      <c r="L10" s="59"/>
    </row>
    <row r="11" spans="1:15" s="128" customFormat="1">
      <c r="L11" s="59"/>
    </row>
    <row r="12" spans="1:15" s="128" customFormat="1" ht="15.75">
      <c r="H12" s="386"/>
      <c r="I12" s="386"/>
      <c r="L12" s="28"/>
    </row>
    <row r="13" spans="1:15" s="128" customFormat="1">
      <c r="L13" s="28"/>
      <c r="O13" s="90"/>
    </row>
    <row r="14" spans="1:15" s="128" customFormat="1">
      <c r="L14" s="28"/>
      <c r="M14" s="28"/>
    </row>
    <row r="15" spans="1:15" s="128" customFormat="1">
      <c r="L15" s="28"/>
      <c r="M15" s="28"/>
    </row>
    <row r="16" spans="1:15" s="128" customFormat="1">
      <c r="L16" s="28"/>
      <c r="M16" s="28"/>
    </row>
    <row r="17" spans="12:13" s="128" customFormat="1">
      <c r="L17" s="28"/>
      <c r="M17" s="28"/>
    </row>
    <row r="18" spans="12:13" s="128" customFormat="1">
      <c r="L18" s="28"/>
      <c r="M18" s="28"/>
    </row>
    <row r="19" spans="12:13" s="128" customFormat="1">
      <c r="L19" s="28"/>
      <c r="M19" s="28"/>
    </row>
    <row r="20" spans="12:13" s="128" customFormat="1">
      <c r="L20" s="28"/>
      <c r="M20" s="28"/>
    </row>
    <row r="21" spans="12:13" s="128" customFormat="1">
      <c r="L21" s="28"/>
      <c r="M21" s="28"/>
    </row>
    <row r="22" spans="12:13" s="128" customFormat="1">
      <c r="L22" s="28"/>
      <c r="M22" s="28"/>
    </row>
    <row r="23" spans="12:13" s="128" customFormat="1">
      <c r="L23" s="28"/>
      <c r="M23" s="28"/>
    </row>
    <row r="24" spans="12:13" s="128" customFormat="1">
      <c r="L24" s="28"/>
      <c r="M24" s="28"/>
    </row>
    <row r="25" spans="12:13" s="128" customFormat="1">
      <c r="L25" s="28"/>
      <c r="M25" s="28"/>
    </row>
    <row r="26" spans="12:13" s="128" customFormat="1">
      <c r="L26" s="28"/>
      <c r="M26" s="28"/>
    </row>
    <row r="27" spans="12:13" s="128" customFormat="1">
      <c r="L27" s="28"/>
      <c r="M27" s="28"/>
    </row>
    <row r="28" spans="12:13" s="128" customFormat="1">
      <c r="L28" s="28"/>
      <c r="M28" s="28"/>
    </row>
    <row r="29" spans="12:13" s="128" customFormat="1">
      <c r="L29" s="28"/>
      <c r="M29" s="28"/>
    </row>
    <row r="30" spans="12:13" s="128" customFormat="1"/>
    <row r="31" spans="12:13" s="128" customFormat="1"/>
    <row r="32" spans="12:13" s="128" customFormat="1"/>
    <row r="33" spans="1:11" s="128" customFormat="1" ht="15.75">
      <c r="C33" s="353"/>
    </row>
    <row r="34" spans="1:11" s="128" customFormat="1"/>
    <row r="35" spans="1:11" s="128" customFormat="1"/>
    <row r="36" spans="1:11" s="128" customFormat="1"/>
    <row r="37" spans="1:11" s="128" customFormat="1"/>
    <row r="38" spans="1:11" s="128" customFormat="1"/>
    <row r="39" spans="1:11" s="128" customFormat="1"/>
    <row r="40" spans="1:11" s="128" customFormat="1"/>
    <row r="41" spans="1:11" s="128" customFormat="1"/>
    <row r="42" spans="1:11" s="128" customFormat="1"/>
    <row r="43" spans="1:11" s="128" customFormat="1"/>
    <row r="44" spans="1:11" s="128" customFormat="1"/>
    <row r="45" spans="1:11">
      <c r="A45" s="128"/>
      <c r="B45" s="128"/>
      <c r="C45" s="128"/>
      <c r="D45" s="128"/>
      <c r="E45" s="128"/>
      <c r="F45" s="128"/>
      <c r="G45" s="128"/>
      <c r="H45" s="128"/>
      <c r="I45" s="128"/>
      <c r="J45" s="128"/>
      <c r="K45" s="128"/>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D26"/>
  <sheetViews>
    <sheetView showGridLines="0" view="pageBreakPreview" zoomScale="73" zoomScaleNormal="100" zoomScaleSheetLayoutView="73" workbookViewId="0">
      <selection activeCell="H7" sqref="H7"/>
    </sheetView>
  </sheetViews>
  <sheetFormatPr baseColWidth="10" defaultColWidth="11.42578125" defaultRowHeight="15"/>
  <cols>
    <col min="1" max="1" width="14" style="59" customWidth="1"/>
    <col min="2" max="7" width="13.85546875" style="59" customWidth="1"/>
    <col min="8" max="8" width="14.85546875" style="59" customWidth="1"/>
    <col min="9" max="9" width="16.140625" style="59" customWidth="1"/>
    <col min="10" max="14" width="16.7109375" style="59" customWidth="1"/>
    <col min="15" max="15" width="4.140625" style="59" customWidth="1"/>
    <col min="16" max="16" width="1.85546875" style="59" customWidth="1"/>
    <col min="17" max="17" width="4" style="59" customWidth="1"/>
    <col min="18" max="18" width="19.140625" style="59" customWidth="1"/>
    <col min="19" max="28" width="11.42578125" style="59" customWidth="1"/>
    <col min="29" max="16384" width="11.42578125" style="59"/>
  </cols>
  <sheetData>
    <row r="1" spans="1:30" s="128" customFormat="1" ht="60.75" customHeight="1">
      <c r="A1" s="2556" t="s">
        <v>1903</v>
      </c>
      <c r="B1" s="2556"/>
      <c r="C1" s="2556"/>
      <c r="D1" s="2556"/>
      <c r="E1" s="2556"/>
      <c r="F1" s="2556"/>
      <c r="G1" s="2556"/>
      <c r="H1" s="2556"/>
      <c r="I1" s="2556"/>
      <c r="J1" s="2556"/>
      <c r="K1" s="2556"/>
      <c r="L1" s="2556"/>
      <c r="M1" s="2556"/>
      <c r="N1" s="2556"/>
    </row>
    <row r="2" spans="1:30" s="128" customFormat="1" ht="3.75" customHeight="1">
      <c r="A2" s="578"/>
      <c r="B2" s="579"/>
      <c r="C2" s="579"/>
      <c r="D2" s="579"/>
      <c r="E2" s="579"/>
      <c r="F2" s="579"/>
      <c r="G2" s="579"/>
      <c r="H2" s="579"/>
      <c r="I2" s="579"/>
      <c r="J2" s="579"/>
      <c r="K2" s="579"/>
      <c r="L2" s="579"/>
      <c r="M2" s="579"/>
      <c r="N2" s="580"/>
    </row>
    <row r="3" spans="1:30" s="347" customFormat="1" ht="47.25" customHeight="1">
      <c r="A3" s="1966" t="s">
        <v>0</v>
      </c>
      <c r="B3" s="1967" t="s">
        <v>633</v>
      </c>
      <c r="C3" s="1967" t="s">
        <v>632</v>
      </c>
      <c r="D3" s="1967" t="s">
        <v>631</v>
      </c>
      <c r="E3" s="1967" t="s">
        <v>630</v>
      </c>
      <c r="F3" s="1967" t="s">
        <v>629</v>
      </c>
      <c r="G3" s="1967" t="s">
        <v>628</v>
      </c>
      <c r="H3" s="1967" t="s">
        <v>167</v>
      </c>
      <c r="I3" s="1967" t="s">
        <v>627</v>
      </c>
      <c r="J3" s="1967" t="s">
        <v>960</v>
      </c>
      <c r="K3" s="1967" t="s">
        <v>961</v>
      </c>
      <c r="L3" s="1967" t="s">
        <v>626</v>
      </c>
      <c r="M3" s="1967" t="s">
        <v>625</v>
      </c>
      <c r="N3" s="1967" t="s">
        <v>624</v>
      </c>
      <c r="R3" s="128"/>
      <c r="S3" s="128"/>
      <c r="T3" s="128"/>
      <c r="U3" s="128"/>
      <c r="V3" s="128"/>
      <c r="W3" s="128"/>
      <c r="X3" s="128"/>
      <c r="Y3" s="128"/>
      <c r="Z3" s="128"/>
      <c r="AA3" s="128"/>
      <c r="AB3" s="128"/>
      <c r="AC3" s="128"/>
      <c r="AD3" s="128"/>
    </row>
    <row r="4" spans="1:30" s="128" customFormat="1" ht="17.25" customHeight="1">
      <c r="A4" s="791" t="s">
        <v>523</v>
      </c>
      <c r="B4" s="390">
        <v>293</v>
      </c>
      <c r="C4" s="390">
        <v>197</v>
      </c>
      <c r="D4" s="390">
        <v>864</v>
      </c>
      <c r="E4" s="390">
        <v>688</v>
      </c>
      <c r="F4" s="390">
        <v>388</v>
      </c>
      <c r="G4" s="390">
        <v>214</v>
      </c>
      <c r="H4" s="1969">
        <f>SUM(B4:G4)</f>
        <v>2644</v>
      </c>
      <c r="I4" s="1970">
        <f t="shared" ref="I4:I15" si="0">B4/H4</f>
        <v>0.11081694402420575</v>
      </c>
      <c r="J4" s="1970">
        <f t="shared" ref="J4:J15" si="1">C4/H4</f>
        <v>7.4508320726172472E-2</v>
      </c>
      <c r="K4" s="1970">
        <f t="shared" ref="K4:K15" si="2">D4/H4</f>
        <v>0.32677760968229952</v>
      </c>
      <c r="L4" s="1970">
        <f t="shared" ref="L4:L15" si="3">E4/H4</f>
        <v>0.26021180030257185</v>
      </c>
      <c r="M4" s="1970">
        <f t="shared" ref="M4:M15" si="4">F4/H4</f>
        <v>0.14674735249621784</v>
      </c>
      <c r="N4" s="1970">
        <f t="shared" ref="N4:N15" si="5">G4/H4</f>
        <v>8.0937972768532526E-2</v>
      </c>
    </row>
    <row r="5" spans="1:30" s="128" customFormat="1" ht="15.75">
      <c r="A5" s="791">
        <v>2005</v>
      </c>
      <c r="B5" s="390">
        <v>145</v>
      </c>
      <c r="C5" s="390">
        <v>345</v>
      </c>
      <c r="D5" s="390">
        <v>1445</v>
      </c>
      <c r="E5" s="390">
        <v>1013</v>
      </c>
      <c r="F5" s="390">
        <v>511</v>
      </c>
      <c r="G5" s="390">
        <v>275</v>
      </c>
      <c r="H5" s="1969">
        <f t="shared" ref="H5:H14" si="6">SUM(B5:G5)</f>
        <v>3734</v>
      </c>
      <c r="I5" s="1970">
        <f t="shared" si="0"/>
        <v>3.8832351365827529E-2</v>
      </c>
      <c r="J5" s="1970">
        <f t="shared" si="1"/>
        <v>9.2394215318693088E-2</v>
      </c>
      <c r="K5" s="1970">
        <f t="shared" si="2"/>
        <v>0.38698446705945366</v>
      </c>
      <c r="L5" s="1970">
        <f t="shared" si="3"/>
        <v>0.27129084092126404</v>
      </c>
      <c r="M5" s="1970">
        <f t="shared" si="4"/>
        <v>0.1368505623995715</v>
      </c>
      <c r="N5" s="1970">
        <f t="shared" si="5"/>
        <v>7.3647562935190147E-2</v>
      </c>
    </row>
    <row r="6" spans="1:30" s="128" customFormat="1" ht="15.75">
      <c r="A6" s="791" t="s">
        <v>521</v>
      </c>
      <c r="B6" s="390">
        <v>37</v>
      </c>
      <c r="C6" s="390">
        <v>740</v>
      </c>
      <c r="D6" s="390">
        <v>2043</v>
      </c>
      <c r="E6" s="390">
        <v>1536</v>
      </c>
      <c r="F6" s="390">
        <v>807</v>
      </c>
      <c r="G6" s="390">
        <v>371</v>
      </c>
      <c r="H6" s="1969">
        <f t="shared" si="6"/>
        <v>5534</v>
      </c>
      <c r="I6" s="1970">
        <f t="shared" si="0"/>
        <v>6.6859414528370074E-3</v>
      </c>
      <c r="J6" s="1970">
        <f t="shared" si="1"/>
        <v>0.13371882905674015</v>
      </c>
      <c r="K6" s="1970">
        <f t="shared" si="2"/>
        <v>0.36917238886881099</v>
      </c>
      <c r="L6" s="1970">
        <f t="shared" si="3"/>
        <v>0.27755692085290928</v>
      </c>
      <c r="M6" s="1970">
        <f t="shared" si="4"/>
        <v>0.14582580411998555</v>
      </c>
      <c r="N6" s="1970">
        <f t="shared" si="5"/>
        <v>6.7040115648717022E-2</v>
      </c>
    </row>
    <row r="7" spans="1:30" s="128" customFormat="1" ht="15.75">
      <c r="A7" s="791" t="s">
        <v>249</v>
      </c>
      <c r="B7" s="390">
        <v>9</v>
      </c>
      <c r="C7" s="390">
        <v>1413</v>
      </c>
      <c r="D7" s="390">
        <v>3274</v>
      </c>
      <c r="E7" s="390">
        <v>2149</v>
      </c>
      <c r="F7" s="390">
        <v>1123</v>
      </c>
      <c r="G7" s="390">
        <v>571</v>
      </c>
      <c r="H7" s="1969">
        <f t="shared" si="6"/>
        <v>8539</v>
      </c>
      <c r="I7" s="1970">
        <f t="shared" si="0"/>
        <v>1.0539875863684273E-3</v>
      </c>
      <c r="J7" s="1970">
        <f t="shared" si="1"/>
        <v>0.16547605105984306</v>
      </c>
      <c r="K7" s="1970">
        <f t="shared" si="2"/>
        <v>0.38341726197447007</v>
      </c>
      <c r="L7" s="1970">
        <f t="shared" si="3"/>
        <v>0.2516688136784167</v>
      </c>
      <c r="M7" s="1970">
        <f t="shared" si="4"/>
        <v>0.13151422883241598</v>
      </c>
      <c r="N7" s="1970">
        <f t="shared" si="5"/>
        <v>6.6869656868485769E-2</v>
      </c>
    </row>
    <row r="8" spans="1:30" s="128" customFormat="1" ht="15.75">
      <c r="A8" s="791" t="s">
        <v>467</v>
      </c>
      <c r="B8" s="390">
        <v>7</v>
      </c>
      <c r="C8" s="390">
        <v>2255</v>
      </c>
      <c r="D8" s="390">
        <v>3942</v>
      </c>
      <c r="E8" s="390">
        <v>2740</v>
      </c>
      <c r="F8" s="390">
        <v>1323</v>
      </c>
      <c r="G8" s="390">
        <v>715</v>
      </c>
      <c r="H8" s="1969">
        <f t="shared" si="6"/>
        <v>10982</v>
      </c>
      <c r="I8" s="1970">
        <f t="shared" si="0"/>
        <v>6.374066654525587E-4</v>
      </c>
      <c r="J8" s="1970">
        <f t="shared" si="1"/>
        <v>0.20533600437078856</v>
      </c>
      <c r="K8" s="1970">
        <f t="shared" si="2"/>
        <v>0.35895101074485519</v>
      </c>
      <c r="L8" s="1970">
        <f t="shared" si="3"/>
        <v>0.24949918047714442</v>
      </c>
      <c r="M8" s="1970">
        <f t="shared" si="4"/>
        <v>0.12046985977053359</v>
      </c>
      <c r="N8" s="1970">
        <f t="shared" si="5"/>
        <v>6.5106537971225648E-2</v>
      </c>
    </row>
    <row r="9" spans="1:30" s="128" customFormat="1" ht="15.75">
      <c r="A9" s="791" t="s">
        <v>468</v>
      </c>
      <c r="B9" s="390">
        <v>2</v>
      </c>
      <c r="C9" s="390">
        <v>3831</v>
      </c>
      <c r="D9" s="390">
        <v>5048</v>
      </c>
      <c r="E9" s="390">
        <v>3435</v>
      </c>
      <c r="F9" s="390">
        <v>1663</v>
      </c>
      <c r="G9" s="390">
        <v>705</v>
      </c>
      <c r="H9" s="1969">
        <f t="shared" si="6"/>
        <v>14684</v>
      </c>
      <c r="I9" s="1970">
        <f t="shared" si="0"/>
        <v>1.3620266957232362E-4</v>
      </c>
      <c r="J9" s="1970">
        <f t="shared" si="1"/>
        <v>0.26089621356578591</v>
      </c>
      <c r="K9" s="1970">
        <f t="shared" si="2"/>
        <v>0.34377553800054483</v>
      </c>
      <c r="L9" s="1970">
        <f t="shared" si="3"/>
        <v>0.2339280849904658</v>
      </c>
      <c r="M9" s="1970">
        <f t="shared" si="4"/>
        <v>0.11325251974938709</v>
      </c>
      <c r="N9" s="1970">
        <f t="shared" si="5"/>
        <v>4.8011441024244074E-2</v>
      </c>
    </row>
    <row r="10" spans="1:30" s="128" customFormat="1" ht="15.75">
      <c r="A10" s="791" t="s">
        <v>360</v>
      </c>
      <c r="B10" s="390">
        <v>3</v>
      </c>
      <c r="C10" s="390">
        <v>5159</v>
      </c>
      <c r="D10" s="390">
        <v>5877</v>
      </c>
      <c r="E10" s="390">
        <v>3723</v>
      </c>
      <c r="F10" s="390">
        <v>1924</v>
      </c>
      <c r="G10" s="390">
        <v>770</v>
      </c>
      <c r="H10" s="1969">
        <f t="shared" si="6"/>
        <v>17456</v>
      </c>
      <c r="I10" s="1970">
        <f t="shared" si="0"/>
        <v>1.7186067827681026E-4</v>
      </c>
      <c r="J10" s="1970">
        <f t="shared" si="1"/>
        <v>0.2955430797433547</v>
      </c>
      <c r="K10" s="1970">
        <f t="shared" si="2"/>
        <v>0.33667506874427133</v>
      </c>
      <c r="L10" s="1970">
        <f t="shared" si="3"/>
        <v>0.21327910174152154</v>
      </c>
      <c r="M10" s="1970">
        <f t="shared" si="4"/>
        <v>0.11021998166819431</v>
      </c>
      <c r="N10" s="1970">
        <f t="shared" si="5"/>
        <v>4.4110907424381299E-2</v>
      </c>
    </row>
    <row r="11" spans="1:30" s="128" customFormat="1" ht="15.75">
      <c r="A11" s="791">
        <v>2011</v>
      </c>
      <c r="B11" s="390">
        <v>67</v>
      </c>
      <c r="C11" s="390">
        <v>7432</v>
      </c>
      <c r="D11" s="390">
        <v>7075</v>
      </c>
      <c r="E11" s="390">
        <v>4688</v>
      </c>
      <c r="F11" s="390">
        <v>2392</v>
      </c>
      <c r="G11" s="390">
        <v>943</v>
      </c>
      <c r="H11" s="1969">
        <f t="shared" si="6"/>
        <v>22597</v>
      </c>
      <c r="I11" s="1970">
        <f t="shared" si="0"/>
        <v>2.9649953533654912E-3</v>
      </c>
      <c r="J11" s="1970">
        <f t="shared" si="1"/>
        <v>0.32889321591361687</v>
      </c>
      <c r="K11" s="1970">
        <f t="shared" si="2"/>
        <v>0.31309465858299773</v>
      </c>
      <c r="L11" s="1970">
        <f t="shared" si="3"/>
        <v>0.20746116741160331</v>
      </c>
      <c r="M11" s="1970">
        <f t="shared" si="4"/>
        <v>0.10585475948134708</v>
      </c>
      <c r="N11" s="1970">
        <f t="shared" si="5"/>
        <v>4.173120325706952E-2</v>
      </c>
    </row>
    <row r="12" spans="1:30" s="128" customFormat="1" ht="15.75">
      <c r="A12" s="791" t="s">
        <v>1058</v>
      </c>
      <c r="B12" s="390">
        <v>66</v>
      </c>
      <c r="C12" s="390">
        <v>8808</v>
      </c>
      <c r="D12" s="390">
        <v>8172</v>
      </c>
      <c r="E12" s="390">
        <v>5492</v>
      </c>
      <c r="F12" s="390">
        <v>2933</v>
      </c>
      <c r="G12" s="390">
        <v>1217</v>
      </c>
      <c r="H12" s="1969">
        <f t="shared" si="6"/>
        <v>26688</v>
      </c>
      <c r="I12" s="1970">
        <f>B12/H12</f>
        <v>2.4730215827338128E-3</v>
      </c>
      <c r="J12" s="1970">
        <f>C12/H12</f>
        <v>0.33003597122302158</v>
      </c>
      <c r="K12" s="1970">
        <f>D12/H12</f>
        <v>0.30620503597122301</v>
      </c>
      <c r="L12" s="1970">
        <f>E12/H12</f>
        <v>0.20578537170263789</v>
      </c>
      <c r="M12" s="1970">
        <f>F12/H12</f>
        <v>0.10989958033573141</v>
      </c>
      <c r="N12" s="1970">
        <f>G12/H12</f>
        <v>4.5601019184652279E-2</v>
      </c>
    </row>
    <row r="13" spans="1:30" s="128" customFormat="1" ht="15.75">
      <c r="A13" s="791" t="s">
        <v>1643</v>
      </c>
      <c r="B13" s="1548">
        <v>83</v>
      </c>
      <c r="C13" s="1548">
        <v>9487</v>
      </c>
      <c r="D13" s="1548">
        <v>8745</v>
      </c>
      <c r="E13" s="1548">
        <v>5695</v>
      </c>
      <c r="F13" s="1548">
        <v>3251</v>
      </c>
      <c r="G13" s="1548">
        <v>1374</v>
      </c>
      <c r="H13" s="1969">
        <f t="shared" si="6"/>
        <v>28635</v>
      </c>
      <c r="I13" s="1970">
        <f>B13/H13</f>
        <v>2.8985507246376812E-3</v>
      </c>
      <c r="J13" s="1970">
        <f>C13/H13</f>
        <v>0.33130784005587566</v>
      </c>
      <c r="K13" s="1970">
        <f>D13/H13</f>
        <v>0.30539549502357255</v>
      </c>
      <c r="L13" s="1970">
        <f>E13/H13</f>
        <v>0.19888248646760956</v>
      </c>
      <c r="M13" s="1970">
        <f>F13/H13</f>
        <v>0.11353239043129038</v>
      </c>
      <c r="N13" s="1970">
        <f>G13/H13</f>
        <v>4.798323729701414E-2</v>
      </c>
    </row>
    <row r="14" spans="1:30" s="128" customFormat="1" ht="15.75">
      <c r="A14" s="791" t="s">
        <v>1902</v>
      </c>
      <c r="B14" s="2104">
        <v>262</v>
      </c>
      <c r="C14" s="2104">
        <v>7589</v>
      </c>
      <c r="D14" s="2104">
        <v>6388</v>
      </c>
      <c r="E14" s="2104">
        <v>4364</v>
      </c>
      <c r="F14" s="2104">
        <v>2377</v>
      </c>
      <c r="G14" s="2104">
        <v>1216</v>
      </c>
      <c r="H14" s="1969">
        <f t="shared" si="6"/>
        <v>22196</v>
      </c>
      <c r="I14" s="1970">
        <f>B14/H14</f>
        <v>1.1803928635790233E-2</v>
      </c>
      <c r="J14" s="1970">
        <f>C14/H14</f>
        <v>0.34190845197332853</v>
      </c>
      <c r="K14" s="1970">
        <f>D14/H14</f>
        <v>0.28779960353216794</v>
      </c>
      <c r="L14" s="1970">
        <f>E14/H14</f>
        <v>0.19661200216255181</v>
      </c>
      <c r="M14" s="1970">
        <f>F14/H14</f>
        <v>0.10709136781402054</v>
      </c>
      <c r="N14" s="1970">
        <f>G14/H14</f>
        <v>5.478464588214093E-2</v>
      </c>
    </row>
    <row r="15" spans="1:30" s="128" customFormat="1" ht="15.75">
      <c r="A15" s="1968" t="s">
        <v>23</v>
      </c>
      <c r="B15" s="1969">
        <f>SUM(B4:B14)</f>
        <v>974</v>
      </c>
      <c r="C15" s="1969">
        <f t="shared" ref="C15:H15" si="7">SUM(C4:C14)</f>
        <v>47256</v>
      </c>
      <c r="D15" s="1969">
        <f t="shared" si="7"/>
        <v>52873</v>
      </c>
      <c r="E15" s="1969">
        <f t="shared" si="7"/>
        <v>35523</v>
      </c>
      <c r="F15" s="1969">
        <f t="shared" si="7"/>
        <v>18692</v>
      </c>
      <c r="G15" s="1969">
        <f t="shared" si="7"/>
        <v>8371</v>
      </c>
      <c r="H15" s="1969">
        <f t="shared" si="7"/>
        <v>163689</v>
      </c>
      <c r="I15" s="1970">
        <f t="shared" si="0"/>
        <v>5.950308206415825E-3</v>
      </c>
      <c r="J15" s="1970">
        <f t="shared" si="1"/>
        <v>0.28869380349320967</v>
      </c>
      <c r="K15" s="1970">
        <f t="shared" si="2"/>
        <v>0.32300887658914162</v>
      </c>
      <c r="L15" s="1970">
        <f t="shared" si="3"/>
        <v>0.21701519344610817</v>
      </c>
      <c r="M15" s="1970">
        <f t="shared" si="4"/>
        <v>0.11419215707836201</v>
      </c>
      <c r="N15" s="1970">
        <f t="shared" si="5"/>
        <v>5.1139661186762705E-2</v>
      </c>
    </row>
    <row r="16" spans="1:30" s="128" customFormat="1"/>
    <row r="17" spans="1:14" s="128" customFormat="1">
      <c r="J17" s="840"/>
    </row>
    <row r="18" spans="1:14" s="128" customFormat="1"/>
    <row r="19" spans="1:14" s="128" customFormat="1"/>
    <row r="20" spans="1:14" s="128" customFormat="1"/>
    <row r="21" spans="1:14" s="128" customFormat="1"/>
    <row r="22" spans="1:14" s="128" customFormat="1"/>
    <row r="23" spans="1:14" s="128" customFormat="1"/>
    <row r="24" spans="1:14" s="128" customFormat="1"/>
    <row r="25" spans="1:14" s="128" customFormat="1"/>
    <row r="26" spans="1:14">
      <c r="A26" s="128"/>
      <c r="B26" s="128"/>
      <c r="C26" s="128"/>
      <c r="D26" s="128"/>
      <c r="E26" s="128"/>
      <c r="F26" s="128"/>
      <c r="G26" s="128"/>
      <c r="H26" s="128"/>
      <c r="I26" s="128"/>
      <c r="J26" s="128"/>
      <c r="K26" s="128"/>
      <c r="L26" s="128"/>
      <c r="M26" s="128"/>
      <c r="N26" s="128"/>
    </row>
  </sheetData>
  <mergeCells count="1">
    <mergeCell ref="A1:N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Z33"/>
  <sheetViews>
    <sheetView showGridLines="0" view="pageBreakPreview" zoomScale="70" zoomScaleNormal="100" zoomScaleSheetLayoutView="70" workbookViewId="0">
      <selection activeCell="G9" sqref="B9:G9"/>
    </sheetView>
  </sheetViews>
  <sheetFormatPr baseColWidth="10" defaultColWidth="11.42578125" defaultRowHeight="15"/>
  <cols>
    <col min="1" max="1" width="12.42578125" style="59" bestFit="1" customWidth="1"/>
    <col min="2" max="2" width="13.85546875" style="59" customWidth="1"/>
    <col min="3" max="3" width="11.85546875" style="59" customWidth="1"/>
    <col min="4" max="4" width="10.5703125" style="59" bestFit="1" customWidth="1"/>
    <col min="5" max="5" width="10" style="59" bestFit="1" customWidth="1"/>
    <col min="6" max="6" width="11.85546875" style="59" customWidth="1"/>
    <col min="7" max="7" width="10.28515625" style="59" customWidth="1"/>
    <col min="8" max="8" width="10.140625" style="59" bestFit="1" customWidth="1"/>
    <col min="9" max="10" width="12.140625" style="59" customWidth="1"/>
    <col min="11" max="11" width="12.42578125" style="59" bestFit="1" customWidth="1"/>
    <col min="12" max="13" width="10.5703125" style="59" bestFit="1" customWidth="1"/>
    <col min="14" max="14" width="10.28515625" style="59" customWidth="1"/>
    <col min="15" max="15" width="12.5703125" style="59" customWidth="1"/>
    <col min="16" max="16" width="14.28515625" style="59" customWidth="1"/>
    <col min="17" max="17" width="14.7109375" style="59" customWidth="1"/>
    <col min="18" max="19" width="13.85546875" style="59" customWidth="1"/>
    <col min="20" max="20" width="15" style="59" customWidth="1"/>
    <col min="21" max="21" width="15.5703125" style="59" customWidth="1"/>
    <col min="22" max="22" width="4.42578125" style="59" customWidth="1"/>
    <col min="23" max="24" width="11.42578125" style="59"/>
    <col min="25" max="25" width="20" style="59" customWidth="1"/>
    <col min="26" max="16384" width="11.42578125" style="59"/>
  </cols>
  <sheetData>
    <row r="1" spans="1:26" s="128" customFormat="1" ht="87" customHeight="1">
      <c r="A1" s="2551" t="s">
        <v>1904</v>
      </c>
      <c r="B1" s="2551"/>
      <c r="C1" s="2551"/>
      <c r="D1" s="2551"/>
      <c r="E1" s="2551"/>
      <c r="F1" s="2551"/>
      <c r="G1" s="2551"/>
      <c r="H1" s="2551"/>
      <c r="I1" s="2551"/>
      <c r="J1" s="2551"/>
      <c r="K1" s="2551"/>
      <c r="L1" s="2551"/>
      <c r="M1" s="2551"/>
      <c r="N1" s="2551"/>
      <c r="O1" s="2551"/>
      <c r="P1" s="2551"/>
      <c r="Q1" s="2551"/>
      <c r="R1" s="2551"/>
      <c r="S1" s="2551"/>
      <c r="T1" s="2551"/>
      <c r="U1" s="2551"/>
    </row>
    <row r="2" spans="1:26" s="128" customFormat="1" ht="5.25" customHeight="1">
      <c r="A2" s="2557"/>
      <c r="B2" s="2558"/>
      <c r="C2" s="2558"/>
      <c r="D2" s="2558"/>
      <c r="E2" s="2558"/>
      <c r="F2" s="2558"/>
      <c r="G2" s="2558"/>
      <c r="H2" s="2558"/>
      <c r="I2" s="2558"/>
      <c r="J2" s="2558"/>
      <c r="K2" s="2558"/>
      <c r="L2" s="2558"/>
      <c r="M2" s="2558"/>
      <c r="N2" s="2558"/>
      <c r="O2" s="2558"/>
      <c r="P2" s="2558"/>
      <c r="Q2" s="2558"/>
      <c r="R2" s="2558"/>
      <c r="S2" s="2558"/>
      <c r="T2" s="2558"/>
      <c r="U2" s="2559"/>
    </row>
    <row r="3" spans="1:26" s="347" customFormat="1" ht="63">
      <c r="A3" s="562" t="s">
        <v>0</v>
      </c>
      <c r="B3" s="563" t="s">
        <v>643</v>
      </c>
      <c r="C3" s="563" t="s">
        <v>632</v>
      </c>
      <c r="D3" s="563" t="s">
        <v>631</v>
      </c>
      <c r="E3" s="563" t="s">
        <v>630</v>
      </c>
      <c r="F3" s="563" t="s">
        <v>629</v>
      </c>
      <c r="G3" s="563" t="s">
        <v>642</v>
      </c>
      <c r="H3" s="563" t="s">
        <v>167</v>
      </c>
      <c r="I3" s="563" t="s">
        <v>641</v>
      </c>
      <c r="J3" s="563" t="s">
        <v>632</v>
      </c>
      <c r="K3" s="563" t="s">
        <v>631</v>
      </c>
      <c r="L3" s="563" t="s">
        <v>630</v>
      </c>
      <c r="M3" s="563" t="s">
        <v>629</v>
      </c>
      <c r="N3" s="563" t="s">
        <v>628</v>
      </c>
      <c r="O3" s="563" t="s">
        <v>640</v>
      </c>
      <c r="P3" s="563" t="s">
        <v>639</v>
      </c>
      <c r="Q3" s="563" t="s">
        <v>638</v>
      </c>
      <c r="R3" s="563" t="s">
        <v>637</v>
      </c>
      <c r="S3" s="563" t="s">
        <v>636</v>
      </c>
      <c r="T3" s="563" t="s">
        <v>635</v>
      </c>
      <c r="U3" s="563" t="s">
        <v>634</v>
      </c>
      <c r="W3" s="1311" t="s">
        <v>1406</v>
      </c>
      <c r="X3" s="1311"/>
      <c r="Y3" s="1311"/>
      <c r="Z3" s="1311"/>
    </row>
    <row r="4" spans="1:26" s="128" customFormat="1" ht="15.75">
      <c r="A4" s="791" t="s">
        <v>468</v>
      </c>
      <c r="B4" s="170">
        <v>2</v>
      </c>
      <c r="C4" s="170">
        <v>3831</v>
      </c>
      <c r="D4" s="170">
        <v>5048</v>
      </c>
      <c r="E4" s="170">
        <v>3435</v>
      </c>
      <c r="F4" s="170">
        <v>1662</v>
      </c>
      <c r="G4" s="170">
        <v>705</v>
      </c>
      <c r="H4" s="589">
        <f t="shared" ref="H4:H9" si="0">SUM(B4:G4)</f>
        <v>14683</v>
      </c>
      <c r="I4" s="1008">
        <v>22230</v>
      </c>
      <c r="J4" s="1008">
        <v>349422</v>
      </c>
      <c r="K4" s="1008">
        <v>357517</v>
      </c>
      <c r="L4" s="1008">
        <v>271000</v>
      </c>
      <c r="M4" s="1008">
        <v>153630</v>
      </c>
      <c r="N4" s="1008">
        <v>73926</v>
      </c>
      <c r="O4" s="589">
        <f t="shared" ref="O4:O9" si="1">+N4+M4+L4+K4+J4+I4</f>
        <v>1227725</v>
      </c>
      <c r="P4" s="1232">
        <f t="shared" ref="P4:U6" si="2">B4/I4</f>
        <v>8.9968511021142601E-5</v>
      </c>
      <c r="Q4" s="1232">
        <f t="shared" si="2"/>
        <v>1.0963820251730001E-2</v>
      </c>
      <c r="R4" s="1232">
        <f t="shared" si="2"/>
        <v>1.4119608298346652E-2</v>
      </c>
      <c r="S4" s="1232">
        <f t="shared" si="2"/>
        <v>1.2675276752767528E-2</v>
      </c>
      <c r="T4" s="1232">
        <f t="shared" si="2"/>
        <v>1.0818199570396408E-2</v>
      </c>
      <c r="U4" s="1232">
        <f t="shared" si="2"/>
        <v>9.5365635906176447E-3</v>
      </c>
      <c r="W4" s="1312" t="s">
        <v>1407</v>
      </c>
      <c r="X4" s="1313">
        <v>20352</v>
      </c>
      <c r="Y4" s="1313">
        <v>12097</v>
      </c>
      <c r="Z4" s="1313">
        <v>8258</v>
      </c>
    </row>
    <row r="5" spans="1:26" s="128" customFormat="1" ht="15.75">
      <c r="A5" s="791" t="s">
        <v>360</v>
      </c>
      <c r="B5" s="170">
        <v>3</v>
      </c>
      <c r="C5" s="170">
        <v>5159</v>
      </c>
      <c r="D5" s="170">
        <v>5877</v>
      </c>
      <c r="E5" s="170">
        <v>3723</v>
      </c>
      <c r="F5" s="170">
        <v>1924</v>
      </c>
      <c r="G5" s="170">
        <v>770</v>
      </c>
      <c r="H5" s="589">
        <f t="shared" si="0"/>
        <v>17456</v>
      </c>
      <c r="I5" s="1008">
        <v>23191</v>
      </c>
      <c r="J5" s="1008">
        <v>371288</v>
      </c>
      <c r="K5" s="1008">
        <v>379359</v>
      </c>
      <c r="L5" s="1008">
        <v>283218</v>
      </c>
      <c r="M5" s="1008">
        <v>161899</v>
      </c>
      <c r="N5" s="1008">
        <v>80132</v>
      </c>
      <c r="O5" s="589">
        <f t="shared" si="1"/>
        <v>1299087</v>
      </c>
      <c r="P5" s="1232">
        <f t="shared" si="2"/>
        <v>1.2936052779095338E-4</v>
      </c>
      <c r="Q5" s="1232">
        <f t="shared" si="2"/>
        <v>1.3894874060028872E-2</v>
      </c>
      <c r="R5" s="1232">
        <f t="shared" si="2"/>
        <v>1.5491921899836303E-2</v>
      </c>
      <c r="S5" s="1232">
        <f t="shared" si="2"/>
        <v>1.3145350931084888E-2</v>
      </c>
      <c r="T5" s="1232">
        <f t="shared" si="2"/>
        <v>1.1883952340656829E-2</v>
      </c>
      <c r="U5" s="1232">
        <f t="shared" si="2"/>
        <v>9.6091449108970193E-3</v>
      </c>
      <c r="W5" s="1314" t="s">
        <v>1408</v>
      </c>
      <c r="X5" s="1315">
        <v>193831</v>
      </c>
      <c r="Y5" s="1315">
        <v>112943</v>
      </c>
      <c r="Z5" s="1315">
        <v>81084</v>
      </c>
    </row>
    <row r="6" spans="1:26" s="128" customFormat="1" ht="15.75">
      <c r="A6" s="791" t="s">
        <v>469</v>
      </c>
      <c r="B6" s="170">
        <v>67</v>
      </c>
      <c r="C6" s="170">
        <v>7432</v>
      </c>
      <c r="D6" s="170">
        <v>7075</v>
      </c>
      <c r="E6" s="170">
        <v>4688</v>
      </c>
      <c r="F6" s="170">
        <v>2392</v>
      </c>
      <c r="G6" s="170">
        <v>943</v>
      </c>
      <c r="H6" s="589">
        <f t="shared" si="0"/>
        <v>22597</v>
      </c>
      <c r="I6" s="1007">
        <v>22615</v>
      </c>
      <c r="J6" s="1007">
        <v>386483</v>
      </c>
      <c r="K6" s="1007">
        <v>398764</v>
      </c>
      <c r="L6" s="1007">
        <v>298891</v>
      </c>
      <c r="M6" s="1007">
        <v>172865</v>
      </c>
      <c r="N6" s="1007">
        <v>88172</v>
      </c>
      <c r="O6" s="589">
        <f t="shared" si="1"/>
        <v>1367790</v>
      </c>
      <c r="P6" s="1232">
        <f t="shared" si="2"/>
        <v>2.9626354189697104E-3</v>
      </c>
      <c r="Q6" s="1232">
        <f t="shared" si="2"/>
        <v>1.9229823821487621E-2</v>
      </c>
      <c r="R6" s="1232">
        <f t="shared" si="2"/>
        <v>1.7742323780481687E-2</v>
      </c>
      <c r="S6" s="1232">
        <f t="shared" si="2"/>
        <v>1.5684647580556123E-2</v>
      </c>
      <c r="T6" s="1232">
        <f t="shared" si="2"/>
        <v>1.3837387556763949E-2</v>
      </c>
      <c r="U6" s="1232">
        <f t="shared" si="2"/>
        <v>1.0695005217075716E-2</v>
      </c>
      <c r="W6" s="1314" t="s">
        <v>1409</v>
      </c>
      <c r="X6" s="1315">
        <v>233968</v>
      </c>
      <c r="Y6" s="1315">
        <v>132577</v>
      </c>
      <c r="Z6" s="1315">
        <v>102554</v>
      </c>
    </row>
    <row r="7" spans="1:26" s="128" customFormat="1" ht="15.75">
      <c r="A7" s="791" t="s">
        <v>1058</v>
      </c>
      <c r="B7" s="885">
        <f>+'VI.3.12 Accid x rango de edad'!B12</f>
        <v>66</v>
      </c>
      <c r="C7" s="885">
        <f>+'VI.3.12 Accid x rango de edad'!C12</f>
        <v>8808</v>
      </c>
      <c r="D7" s="885">
        <f>+'VI.3.12 Accid x rango de edad'!D12</f>
        <v>8172</v>
      </c>
      <c r="E7" s="885">
        <f>+'VI.3.12 Accid x rango de edad'!E12</f>
        <v>5492</v>
      </c>
      <c r="F7" s="885">
        <f>+'VI.3.12 Accid x rango de edad'!F12</f>
        <v>2933</v>
      </c>
      <c r="G7" s="885">
        <f>+'VI.3.12 Accid x rango de edad'!G12</f>
        <v>1217</v>
      </c>
      <c r="H7" s="589">
        <f t="shared" si="0"/>
        <v>26688</v>
      </c>
      <c r="I7" s="1591">
        <v>21495</v>
      </c>
      <c r="J7" s="1591">
        <v>400667</v>
      </c>
      <c r="K7" s="1591">
        <v>415185</v>
      </c>
      <c r="L7" s="1591">
        <v>314229</v>
      </c>
      <c r="M7" s="1591">
        <v>183536</v>
      </c>
      <c r="N7" s="1591">
        <v>95161</v>
      </c>
      <c r="O7" s="589">
        <f t="shared" si="1"/>
        <v>1430273</v>
      </c>
      <c r="P7" s="1232">
        <f t="shared" ref="P7:U7" si="3">B7/I7</f>
        <v>3.0704815073272856E-3</v>
      </c>
      <c r="Q7" s="1232">
        <f t="shared" si="3"/>
        <v>2.1983342775921153E-2</v>
      </c>
      <c r="R7" s="1232">
        <f t="shared" si="3"/>
        <v>1.9682792008381807E-2</v>
      </c>
      <c r="S7" s="1232">
        <f t="shared" si="3"/>
        <v>1.7477699384843538E-2</v>
      </c>
      <c r="T7" s="1232">
        <f t="shared" si="3"/>
        <v>1.5980516084038009E-2</v>
      </c>
      <c r="U7" s="1232">
        <f t="shared" si="3"/>
        <v>1.2788852576160402E-2</v>
      </c>
      <c r="W7" s="1314" t="s">
        <v>1410</v>
      </c>
      <c r="X7" s="1315">
        <v>236053</v>
      </c>
      <c r="Y7" s="1315">
        <v>129509</v>
      </c>
      <c r="Z7" s="1315">
        <v>107610</v>
      </c>
    </row>
    <row r="8" spans="1:26" s="128" customFormat="1" ht="15.75">
      <c r="A8" s="791" t="s">
        <v>1643</v>
      </c>
      <c r="B8" s="885">
        <f>+'VI.3.12 Accid x rango de edad'!B13</f>
        <v>83</v>
      </c>
      <c r="C8" s="885">
        <f>+'VI.3.12 Accid x rango de edad'!C13</f>
        <v>9487</v>
      </c>
      <c r="D8" s="885">
        <f>+'VI.3.12 Accid x rango de edad'!D13</f>
        <v>8745</v>
      </c>
      <c r="E8" s="885">
        <f>+'VI.3.12 Accid x rango de edad'!E13</f>
        <v>5695</v>
      </c>
      <c r="F8" s="885">
        <f>+'VI.3.12 Accid x rango de edad'!F13</f>
        <v>3251</v>
      </c>
      <c r="G8" s="885">
        <f>+'VI.3.12 Accid x rango de edad'!G13</f>
        <v>1374</v>
      </c>
      <c r="H8" s="589">
        <f t="shared" si="0"/>
        <v>28635</v>
      </c>
      <c r="I8" s="1591">
        <v>20617</v>
      </c>
      <c r="J8" s="1591">
        <f>193737+233798</f>
        <v>427535</v>
      </c>
      <c r="K8" s="1591">
        <f>236280+204966</f>
        <v>441246</v>
      </c>
      <c r="L8" s="1591">
        <f>178765+154625</f>
        <v>333390</v>
      </c>
      <c r="M8" s="1591">
        <f>118206+83743</f>
        <v>201949</v>
      </c>
      <c r="N8" s="1591">
        <f>50518+27420+14371+7507+3539+2226+4</f>
        <v>105585</v>
      </c>
      <c r="O8" s="589">
        <f t="shared" si="1"/>
        <v>1530322</v>
      </c>
      <c r="P8" s="1232">
        <f t="shared" ref="P8:U8" si="4">B8/I8</f>
        <v>4.0258039481980892E-3</v>
      </c>
      <c r="Q8" s="1232">
        <f t="shared" si="4"/>
        <v>2.2189996140666846E-2</v>
      </c>
      <c r="R8" s="1232">
        <f t="shared" si="4"/>
        <v>1.9818876545056499E-2</v>
      </c>
      <c r="S8" s="1232">
        <f t="shared" si="4"/>
        <v>1.7082096043672574E-2</v>
      </c>
      <c r="T8" s="1232">
        <f t="shared" si="4"/>
        <v>1.6098123783727575E-2</v>
      </c>
      <c r="U8" s="1232">
        <f t="shared" si="4"/>
        <v>1.3013212103992044E-2</v>
      </c>
      <c r="W8" s="1314" t="s">
        <v>1411</v>
      </c>
      <c r="X8" s="1315">
        <v>205463</v>
      </c>
      <c r="Y8" s="1315">
        <v>111427</v>
      </c>
      <c r="Z8" s="1315">
        <v>95573</v>
      </c>
    </row>
    <row r="9" spans="1:26" s="128" customFormat="1" ht="15.75">
      <c r="A9" s="791" t="s">
        <v>1901</v>
      </c>
      <c r="B9" s="2103">
        <v>262</v>
      </c>
      <c r="C9" s="2103">
        <v>7589</v>
      </c>
      <c r="D9" s="2103">
        <v>6388</v>
      </c>
      <c r="E9" s="2103">
        <v>4364</v>
      </c>
      <c r="F9" s="2103">
        <v>2377</v>
      </c>
      <c r="G9" s="2103">
        <v>1216</v>
      </c>
      <c r="H9" s="589">
        <f t="shared" si="0"/>
        <v>22196</v>
      </c>
      <c r="I9" s="2102">
        <f>+'VI.1.2 Afil. SRL x sexoy edad'!B5</f>
        <v>21039</v>
      </c>
      <c r="J9" s="2102">
        <f>+'VI.1.2 Afil. SRL x sexoy edad'!B6+'VI.1.2 Afil. SRL x sexoy edad'!B7</f>
        <v>459696</v>
      </c>
      <c r="K9" s="2102">
        <f>+'VI.1.2 Afil. SRL x sexoy edad'!B8+'VI.1.2 Afil. SRL x sexoy edad'!B9</f>
        <v>473047</v>
      </c>
      <c r="L9" s="2102">
        <f>+'VI.1.2 Afil. SRL x sexoy edad'!B10+'VI.1.2 Afil. SRL x sexoy edad'!B11</f>
        <v>356103</v>
      </c>
      <c r="M9" s="2102">
        <f>+'VI.1.2 Afil. SRL x sexoy edad'!B12+'VI.1.2 Afil. SRL x sexoy edad'!B13</f>
        <v>221286</v>
      </c>
      <c r="N9" s="2102">
        <f>+'VI.1.2 Afil. SRL x sexoy edad'!B14+'VI.1.2 Afil. SRL x sexoy edad'!B15+'VI.1.2 Afil. SRL x sexoy edad'!B16+'VI.1.2 Afil. SRL x sexoy edad'!B17+'VI.1.2 Afil. SRL x sexoy edad'!B18+'VI.1.2 Afil. SRL x sexoy edad'!B19</f>
        <v>120031</v>
      </c>
      <c r="O9" s="589">
        <f t="shared" si="1"/>
        <v>1651202</v>
      </c>
      <c r="P9" s="1232">
        <f t="shared" ref="P9:U9" si="5">B9/I9</f>
        <v>1.2453063358524644E-2</v>
      </c>
      <c r="Q9" s="1232">
        <f t="shared" si="5"/>
        <v>1.6508736208276774E-2</v>
      </c>
      <c r="R9" s="1232">
        <f t="shared" si="5"/>
        <v>1.3503943582772959E-2</v>
      </c>
      <c r="S9" s="1232">
        <f t="shared" si="5"/>
        <v>1.2254881312429269E-2</v>
      </c>
      <c r="T9" s="1232">
        <f t="shared" si="5"/>
        <v>1.074175501387345E-2</v>
      </c>
      <c r="U9" s="1232">
        <f t="shared" si="5"/>
        <v>1.013071623164016E-2</v>
      </c>
      <c r="W9" s="1314" t="s">
        <v>1412</v>
      </c>
      <c r="X9" s="1315">
        <v>178855</v>
      </c>
      <c r="Y9" s="1315">
        <v>96528</v>
      </c>
      <c r="Z9" s="1315">
        <v>83388</v>
      </c>
    </row>
    <row r="10" spans="1:26" s="128" customFormat="1" ht="15.75">
      <c r="A10" s="1968" t="s">
        <v>23</v>
      </c>
      <c r="B10" s="589">
        <f>SUM(B4:B9)</f>
        <v>483</v>
      </c>
      <c r="C10" s="589">
        <f t="shared" ref="C10:H10" si="6">SUM(C4:C9)</f>
        <v>42306</v>
      </c>
      <c r="D10" s="589">
        <f t="shared" si="6"/>
        <v>41305</v>
      </c>
      <c r="E10" s="589">
        <f t="shared" si="6"/>
        <v>27397</v>
      </c>
      <c r="F10" s="589">
        <f t="shared" si="6"/>
        <v>14539</v>
      </c>
      <c r="G10" s="589">
        <f t="shared" si="6"/>
        <v>6225</v>
      </c>
      <c r="H10" s="589">
        <f t="shared" si="6"/>
        <v>132255</v>
      </c>
      <c r="I10" s="353"/>
      <c r="J10" s="353"/>
      <c r="K10" s="353"/>
      <c r="L10" s="353"/>
      <c r="M10" s="353"/>
      <c r="N10" s="353"/>
      <c r="O10" s="353"/>
      <c r="P10" s="353"/>
      <c r="Q10" s="353"/>
      <c r="R10" s="353"/>
      <c r="S10" s="353"/>
      <c r="T10" s="353"/>
      <c r="U10" s="353"/>
      <c r="V10" s="389"/>
      <c r="W10" s="1314" t="s">
        <v>1413</v>
      </c>
      <c r="X10" s="1315">
        <v>154389</v>
      </c>
      <c r="Y10" s="1315">
        <v>83409</v>
      </c>
      <c r="Z10" s="1315">
        <v>71819</v>
      </c>
    </row>
    <row r="11" spans="1:26" s="128" customFormat="1" ht="15.75">
      <c r="V11" s="389"/>
      <c r="W11" s="1314" t="s">
        <v>1414</v>
      </c>
      <c r="X11" s="1315">
        <v>118642</v>
      </c>
      <c r="Y11" s="1315">
        <v>66843</v>
      </c>
      <c r="Z11" s="1315">
        <v>52380</v>
      </c>
    </row>
    <row r="12" spans="1:26" s="128" customFormat="1" ht="15.75">
      <c r="V12" s="389"/>
      <c r="W12" s="1314" t="s">
        <v>1415</v>
      </c>
      <c r="X12" s="1315">
        <v>83725</v>
      </c>
      <c r="Y12" s="1315">
        <v>49881</v>
      </c>
      <c r="Z12" s="1315">
        <v>34536</v>
      </c>
    </row>
    <row r="13" spans="1:26" s="128" customFormat="1" ht="15.75">
      <c r="V13" s="389"/>
      <c r="W13" s="1314" t="s">
        <v>1416</v>
      </c>
      <c r="X13" s="1315">
        <v>50577</v>
      </c>
      <c r="Y13" s="1315">
        <v>31937</v>
      </c>
      <c r="Z13" s="1315">
        <v>19173</v>
      </c>
    </row>
    <row r="14" spans="1:26" s="128" customFormat="1" ht="15.75">
      <c r="V14" s="389"/>
      <c r="W14" s="1314" t="s">
        <v>1417</v>
      </c>
      <c r="X14" s="1315">
        <v>27350</v>
      </c>
      <c r="Y14" s="1315">
        <v>18495</v>
      </c>
      <c r="Z14" s="1315">
        <v>9187</v>
      </c>
    </row>
    <row r="15" spans="1:26" s="128" customFormat="1" ht="15.75">
      <c r="P15" s="59"/>
      <c r="Q15" s="59"/>
      <c r="R15" s="59"/>
      <c r="S15" s="59"/>
      <c r="T15" s="59"/>
      <c r="U15" s="59"/>
      <c r="V15" s="376"/>
      <c r="W15" s="1314" t="s">
        <v>1418</v>
      </c>
      <c r="X15" s="1315">
        <v>14410</v>
      </c>
      <c r="Y15" s="1315">
        <v>10018</v>
      </c>
      <c r="Z15" s="1315">
        <v>4540</v>
      </c>
    </row>
    <row r="16" spans="1:26" s="128" customFormat="1" ht="15.75">
      <c r="T16" s="376"/>
      <c r="U16" s="389"/>
      <c r="V16" s="376"/>
      <c r="W16" s="1314" t="s">
        <v>1419</v>
      </c>
      <c r="X16" s="1315">
        <v>7471</v>
      </c>
      <c r="Y16" s="1315">
        <v>5252</v>
      </c>
      <c r="Z16" s="1315">
        <v>2278</v>
      </c>
    </row>
    <row r="17" spans="14:26" s="128" customFormat="1" ht="15.75">
      <c r="T17" s="376"/>
      <c r="U17" s="389"/>
      <c r="V17" s="376"/>
      <c r="W17" s="1314" t="s">
        <v>1420</v>
      </c>
      <c r="X17" s="1315">
        <v>3534</v>
      </c>
      <c r="Y17" s="1315">
        <v>2534</v>
      </c>
      <c r="Z17" s="1315">
        <v>1041</v>
      </c>
    </row>
    <row r="18" spans="14:26" s="128" customFormat="1" ht="15.75">
      <c r="T18" s="376"/>
      <c r="U18" s="389"/>
      <c r="V18" s="376"/>
      <c r="W18" s="1314" t="s">
        <v>1421</v>
      </c>
      <c r="X18" s="1315">
        <v>2192</v>
      </c>
      <c r="Y18" s="1315">
        <v>1539</v>
      </c>
      <c r="Z18" s="1315">
        <v>676</v>
      </c>
    </row>
    <row r="19" spans="14:26" s="128" customFormat="1" ht="15.75">
      <c r="T19" s="376"/>
      <c r="U19" s="389"/>
      <c r="V19" s="376"/>
    </row>
    <row r="20" spans="14:26" s="128" customFormat="1" ht="15.75">
      <c r="T20" s="376"/>
      <c r="U20" s="389"/>
      <c r="V20" s="376"/>
    </row>
    <row r="21" spans="14:26" s="128" customFormat="1" ht="15.75">
      <c r="T21" s="376"/>
      <c r="U21" s="389"/>
      <c r="V21" s="376"/>
    </row>
    <row r="22" spans="14:26" ht="15.75">
      <c r="T22" s="376"/>
      <c r="U22" s="389"/>
      <c r="V22" s="376"/>
      <c r="Y22" s="59">
        <v>1539090</v>
      </c>
    </row>
    <row r="23" spans="14:26" ht="15.75">
      <c r="N23" s="377"/>
      <c r="O23" s="377"/>
      <c r="T23" s="376"/>
      <c r="U23" s="389"/>
      <c r="V23" s="376"/>
      <c r="Y23" s="59">
        <f>+Y22-O9</f>
        <v>-112112</v>
      </c>
    </row>
    <row r="24" spans="14:26" ht="15.75">
      <c r="T24" s="376"/>
      <c r="U24" s="389"/>
      <c r="V24" s="376"/>
    </row>
    <row r="25" spans="14:26" ht="15.75">
      <c r="T25" s="376"/>
      <c r="U25" s="389"/>
      <c r="V25" s="376"/>
    </row>
    <row r="26" spans="14:26" ht="15.75">
      <c r="T26" s="376"/>
      <c r="U26" s="31"/>
      <c r="V26" s="376"/>
    </row>
    <row r="27" spans="14:26" ht="15.75">
      <c r="V27" s="376"/>
    </row>
    <row r="28" spans="14:26" ht="15.75">
      <c r="T28" s="389"/>
      <c r="U28" s="376"/>
      <c r="V28" s="376"/>
    </row>
    <row r="29" spans="14:26" ht="15.75">
      <c r="T29" s="389"/>
      <c r="U29" s="376"/>
      <c r="V29" s="376"/>
    </row>
    <row r="30" spans="14:26" ht="15.75">
      <c r="T30" s="389"/>
      <c r="U30" s="31"/>
      <c r="V30" s="376"/>
    </row>
    <row r="31" spans="14:26" ht="15.75">
      <c r="T31" s="389"/>
      <c r="U31" s="31"/>
      <c r="V31" s="31"/>
    </row>
    <row r="32" spans="14:26">
      <c r="V32" s="31"/>
    </row>
    <row r="33" spans="22:22">
      <c r="V33" s="3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0" tint="-0.14999847407452621"/>
    <pageSetUpPr fitToPage="1"/>
  </sheetPr>
  <dimension ref="A1:K21"/>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9" style="59" customWidth="1"/>
    <col min="2" max="2" width="22.85546875" style="59" customWidth="1"/>
    <col min="3" max="3" width="20.42578125" style="59" customWidth="1"/>
    <col min="4" max="4" width="16.42578125" style="59" customWidth="1"/>
    <col min="5" max="5" width="18.5703125" style="59" customWidth="1"/>
    <col min="6" max="6" width="18.7109375" style="59" customWidth="1"/>
    <col min="7" max="7" width="17.85546875" style="59" customWidth="1"/>
    <col min="8" max="8" width="18.85546875" style="59" customWidth="1"/>
    <col min="9" max="9" width="19.28515625" style="59" customWidth="1"/>
    <col min="10" max="10" width="16.140625" style="59" customWidth="1"/>
    <col min="11" max="11" width="8.140625" style="59" customWidth="1"/>
    <col min="12" max="16384" width="11.42578125" style="59"/>
  </cols>
  <sheetData>
    <row r="1" spans="1:11" s="128" customFormat="1" ht="88.5" customHeight="1">
      <c r="A1" s="2560" t="s">
        <v>2002</v>
      </c>
      <c r="B1" s="2561"/>
      <c r="C1" s="2561"/>
      <c r="D1" s="2561"/>
      <c r="E1" s="2561"/>
      <c r="F1" s="2561"/>
      <c r="G1" s="2561"/>
      <c r="H1" s="2561"/>
      <c r="I1" s="2561"/>
      <c r="J1" s="2562"/>
      <c r="K1" s="380"/>
    </row>
    <row r="2" spans="1:11" s="128" customFormat="1" ht="3.75" customHeight="1">
      <c r="K2" s="380"/>
    </row>
    <row r="3" spans="1:11" s="128" customFormat="1" ht="43.5" customHeight="1">
      <c r="A3" s="1555" t="s">
        <v>0</v>
      </c>
      <c r="B3" s="1549" t="s">
        <v>655</v>
      </c>
      <c r="C3" s="1549" t="s">
        <v>654</v>
      </c>
      <c r="D3" s="1549" t="s">
        <v>651</v>
      </c>
    </row>
    <row r="4" spans="1:11" s="128" customFormat="1" ht="18.75">
      <c r="A4" s="1555" t="s">
        <v>468</v>
      </c>
      <c r="B4" s="1556">
        <v>14329</v>
      </c>
      <c r="C4" s="1550">
        <v>14683</v>
      </c>
      <c r="D4" s="1557">
        <f t="shared" ref="D4:D9" si="0">B4/C4</f>
        <v>0.97589048559558678</v>
      </c>
      <c r="F4" s="22"/>
      <c r="G4" s="22"/>
      <c r="H4" s="22"/>
      <c r="I4" s="22"/>
      <c r="J4" s="22"/>
      <c r="K4" s="22"/>
    </row>
    <row r="5" spans="1:11" s="128" customFormat="1" ht="18.75">
      <c r="A5" s="1555" t="s">
        <v>360</v>
      </c>
      <c r="B5" s="1556">
        <v>16871</v>
      </c>
      <c r="C5" s="1550">
        <v>17456</v>
      </c>
      <c r="D5" s="1557">
        <f t="shared" si="0"/>
        <v>0.96648716773602195</v>
      </c>
      <c r="F5" s="22"/>
      <c r="H5" s="22"/>
      <c r="I5" s="22"/>
      <c r="J5" s="22"/>
      <c r="K5" s="22"/>
    </row>
    <row r="6" spans="1:11" s="128" customFormat="1" ht="18.75">
      <c r="A6" s="1555" t="s">
        <v>469</v>
      </c>
      <c r="B6" s="1556">
        <v>21189</v>
      </c>
      <c r="C6" s="1550">
        <v>22597</v>
      </c>
      <c r="D6" s="1557">
        <f t="shared" si="0"/>
        <v>0.93769084391733415</v>
      </c>
      <c r="F6" s="22"/>
      <c r="G6" s="22"/>
      <c r="H6" s="22"/>
      <c r="I6" s="22"/>
      <c r="J6" s="22"/>
      <c r="K6" s="22"/>
    </row>
    <row r="7" spans="1:11" s="128" customFormat="1" ht="18.75">
      <c r="A7" s="1555" t="s">
        <v>1058</v>
      </c>
      <c r="B7" s="1551">
        <f>18112+531</f>
        <v>18643</v>
      </c>
      <c r="C7" s="1550">
        <f>+'VI.3.14 Accid x Escolaridad'!G12</f>
        <v>26688</v>
      </c>
      <c r="D7" s="1557">
        <f t="shared" si="0"/>
        <v>0.69855365707434047</v>
      </c>
      <c r="F7" s="19"/>
    </row>
    <row r="8" spans="1:11" s="128" customFormat="1" ht="18.75">
      <c r="A8" s="1555" t="s">
        <v>1643</v>
      </c>
      <c r="B8" s="1567">
        <v>28754</v>
      </c>
      <c r="C8" s="1550">
        <f>+'VI.3.14 Accid x Escolaridad'!G13</f>
        <v>28635</v>
      </c>
      <c r="D8" s="1557">
        <f t="shared" si="0"/>
        <v>1.004155753448577</v>
      </c>
      <c r="F8" s="22"/>
    </row>
    <row r="9" spans="1:11" s="128" customFormat="1" ht="18.75">
      <c r="A9" s="1555" t="s">
        <v>1907</v>
      </c>
      <c r="B9" s="1567">
        <v>30331</v>
      </c>
      <c r="C9" s="1550">
        <f>+'VI.3.2 ID. Accidentabilidad'!C14</f>
        <v>31032</v>
      </c>
      <c r="D9" s="1557">
        <f t="shared" si="0"/>
        <v>0.9774104150554267</v>
      </c>
    </row>
    <row r="10" spans="1:11" s="128" customFormat="1" ht="18.75">
      <c r="A10" s="1555" t="s">
        <v>23</v>
      </c>
      <c r="B10" s="1552">
        <f>SUM(B4:B9)</f>
        <v>130117</v>
      </c>
      <c r="C10" s="1552">
        <f>SUM(C4:C9)</f>
        <v>141091</v>
      </c>
      <c r="D10" s="1558"/>
      <c r="K10" s="59"/>
    </row>
    <row r="11" spans="1:11" s="128" customFormat="1">
      <c r="A11" s="379"/>
      <c r="B11" s="379"/>
      <c r="K11" s="59"/>
    </row>
    <row r="12" spans="1:11" s="128" customFormat="1">
      <c r="A12" s="379"/>
      <c r="B12" s="379"/>
    </row>
    <row r="13" spans="1:11" s="128" customFormat="1">
      <c r="A13" s="379"/>
      <c r="B13" s="379"/>
    </row>
    <row r="14" spans="1:11" s="128" customFormat="1">
      <c r="A14" s="379"/>
      <c r="B14" s="379"/>
    </row>
    <row r="15" spans="1:11" s="128" customFormat="1"/>
    <row r="16" spans="1:11" s="128" customFormat="1"/>
    <row r="17" spans="1:11" s="128" customFormat="1"/>
    <row r="18" spans="1:11" s="128" customFormat="1"/>
    <row r="19" spans="1:11" s="128" customFormat="1"/>
    <row r="20" spans="1:11">
      <c r="A20" s="128"/>
      <c r="B20" s="128"/>
      <c r="C20" s="128"/>
      <c r="D20" s="128"/>
      <c r="E20" s="128"/>
    </row>
    <row r="21" spans="1:11">
      <c r="A21" s="128"/>
      <c r="B21" s="128"/>
      <c r="C21" s="128"/>
      <c r="D21" s="128"/>
      <c r="E21" s="128"/>
      <c r="K21" s="377"/>
    </row>
  </sheetData>
  <mergeCells count="1">
    <mergeCell ref="A1:J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0" tint="-0.249977111117893"/>
    <pageSetUpPr fitToPage="1"/>
  </sheetPr>
  <dimension ref="A1:N22"/>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13.85546875" style="59" customWidth="1"/>
    <col min="2" max="3" width="12.28515625" style="59" customWidth="1"/>
    <col min="4" max="4" width="12.85546875" style="59" customWidth="1"/>
    <col min="5" max="5" width="13.28515625" style="59" customWidth="1"/>
    <col min="6" max="6" width="15.140625" style="59" customWidth="1"/>
    <col min="7" max="7" width="11.7109375" style="59" customWidth="1"/>
    <col min="8" max="8" width="19" style="59" customWidth="1"/>
    <col min="9" max="9" width="20.140625" style="59" customWidth="1"/>
    <col min="10" max="10" width="17.42578125" style="59" customWidth="1"/>
    <col min="11" max="11" width="19.42578125" style="59" customWidth="1"/>
    <col min="12" max="12" width="19.28515625" style="59" customWidth="1"/>
    <col min="13" max="13" width="12.28515625" style="59" customWidth="1"/>
    <col min="14" max="16384" width="11.42578125" style="59"/>
  </cols>
  <sheetData>
    <row r="1" spans="1:14" s="128" customFormat="1" ht="77.25" customHeight="1">
      <c r="A1" s="2540" t="s">
        <v>2003</v>
      </c>
      <c r="B1" s="2541"/>
      <c r="C1" s="2541"/>
      <c r="D1" s="2541"/>
      <c r="E1" s="2541"/>
      <c r="F1" s="2541"/>
      <c r="G1" s="2541"/>
      <c r="H1" s="2541"/>
      <c r="I1" s="2541"/>
      <c r="J1" s="2541"/>
      <c r="K1" s="2541"/>
      <c r="L1" s="2542"/>
      <c r="M1" s="1529"/>
    </row>
    <row r="2" spans="1:14" s="128" customFormat="1" ht="4.5" customHeight="1">
      <c r="A2" s="347"/>
      <c r="B2" s="347"/>
      <c r="C2" s="347"/>
      <c r="D2" s="347"/>
      <c r="E2" s="347"/>
      <c r="F2" s="347"/>
      <c r="G2" s="347"/>
      <c r="H2" s="347"/>
      <c r="I2" s="347"/>
      <c r="J2" s="347"/>
      <c r="K2" s="347"/>
      <c r="L2" s="347"/>
      <c r="M2" s="347"/>
    </row>
    <row r="3" spans="1:14" s="347" customFormat="1" ht="27" customHeight="1">
      <c r="A3" s="1011" t="s">
        <v>0</v>
      </c>
      <c r="B3" s="934" t="s">
        <v>653</v>
      </c>
      <c r="C3" s="934" t="s">
        <v>652</v>
      </c>
      <c r="D3" s="934" t="s">
        <v>167</v>
      </c>
      <c r="E3" s="934" t="s">
        <v>651</v>
      </c>
      <c r="F3" s="934" t="s">
        <v>650</v>
      </c>
      <c r="N3"/>
    </row>
    <row r="4" spans="1:14" s="128" customFormat="1" ht="15.75">
      <c r="A4" s="1017" t="s">
        <v>468</v>
      </c>
      <c r="B4" s="390">
        <v>13326</v>
      </c>
      <c r="C4" s="390">
        <v>1003</v>
      </c>
      <c r="D4" s="1171">
        <f>SUM(B4:C4)</f>
        <v>14329</v>
      </c>
      <c r="E4" s="863">
        <f t="shared" ref="E4:E10" si="0">B4/D4</f>
        <v>0.93000209365622166</v>
      </c>
      <c r="F4" s="863">
        <f t="shared" ref="F4:F10" si="1">C4/D4</f>
        <v>6.9997906343778352E-2</v>
      </c>
      <c r="G4" s="22"/>
      <c r="N4"/>
    </row>
    <row r="5" spans="1:14" s="128" customFormat="1" ht="15.75">
      <c r="A5" s="1017" t="s">
        <v>360</v>
      </c>
      <c r="B5" s="390">
        <v>15647</v>
      </c>
      <c r="C5" s="390">
        <v>1224</v>
      </c>
      <c r="D5" s="1171">
        <f>SUM(B5:C5)</f>
        <v>16871</v>
      </c>
      <c r="E5" s="863">
        <f t="shared" si="0"/>
        <v>0.92744946950388241</v>
      </c>
      <c r="F5" s="863">
        <f t="shared" si="1"/>
        <v>7.2550530496117593E-2</v>
      </c>
      <c r="G5" s="22"/>
      <c r="N5"/>
    </row>
    <row r="6" spans="1:14" s="128" customFormat="1" ht="15.75">
      <c r="A6" s="1017" t="s">
        <v>469</v>
      </c>
      <c r="B6" s="390">
        <v>20531</v>
      </c>
      <c r="C6" s="390">
        <v>658</v>
      </c>
      <c r="D6" s="1171">
        <f>SUM(B6:C6)</f>
        <v>21189</v>
      </c>
      <c r="E6" s="863">
        <f t="shared" si="0"/>
        <v>0.96894615130492234</v>
      </c>
      <c r="F6" s="863">
        <f t="shared" si="1"/>
        <v>3.1053848695077636E-2</v>
      </c>
      <c r="G6" s="22"/>
      <c r="N6"/>
    </row>
    <row r="7" spans="1:14" s="128" customFormat="1" ht="15" customHeight="1">
      <c r="A7" s="1017" t="s">
        <v>1058</v>
      </c>
      <c r="B7" s="1548">
        <v>18112</v>
      </c>
      <c r="C7" s="1548">
        <v>531</v>
      </c>
      <c r="D7" s="1554">
        <f>+C7+B7</f>
        <v>18643</v>
      </c>
      <c r="E7" s="863">
        <f t="shared" si="0"/>
        <v>0.97151745963632463</v>
      </c>
      <c r="F7" s="863">
        <f t="shared" si="1"/>
        <v>2.8482540363675375E-2</v>
      </c>
      <c r="G7" s="22"/>
      <c r="N7" s="1528"/>
    </row>
    <row r="8" spans="1:14" s="128" customFormat="1" ht="15" customHeight="1">
      <c r="A8" s="1017" t="s">
        <v>1643</v>
      </c>
      <c r="B8" s="1548">
        <v>27073</v>
      </c>
      <c r="C8" s="1548">
        <v>1681</v>
      </c>
      <c r="D8" s="1554">
        <f>+C8+B8</f>
        <v>28754</v>
      </c>
      <c r="E8" s="863">
        <f t="shared" si="0"/>
        <v>0.94153856854698481</v>
      </c>
      <c r="F8" s="863">
        <f t="shared" si="1"/>
        <v>5.8461431453015231E-2</v>
      </c>
      <c r="G8" s="22"/>
    </row>
    <row r="9" spans="1:14" s="128" customFormat="1" ht="15.75">
      <c r="A9" s="1017" t="s">
        <v>1907</v>
      </c>
      <c r="B9" s="1548">
        <v>28722</v>
      </c>
      <c r="C9" s="1548">
        <v>1609</v>
      </c>
      <c r="D9" s="1554">
        <f>+C9+B9</f>
        <v>30331</v>
      </c>
      <c r="E9" s="863">
        <f>B9/D9</f>
        <v>0.94695196333783915</v>
      </c>
      <c r="F9" s="863">
        <f>C9/D9</f>
        <v>5.3048036662160826E-2</v>
      </c>
      <c r="G9" s="22"/>
    </row>
    <row r="10" spans="1:14" s="128" customFormat="1" ht="15.75">
      <c r="A10" s="1013" t="s">
        <v>23</v>
      </c>
      <c r="B10" s="1014">
        <f>SUM(B4:B9)</f>
        <v>123411</v>
      </c>
      <c r="C10" s="1014">
        <f>SUM(C4:C9)</f>
        <v>6706</v>
      </c>
      <c r="D10" s="1014">
        <f>SUM(D4:D9)</f>
        <v>130117</v>
      </c>
      <c r="E10" s="1140">
        <f t="shared" si="0"/>
        <v>0.94846176902326362</v>
      </c>
      <c r="F10" s="1140">
        <f t="shared" si="1"/>
        <v>5.1538230976736321E-2</v>
      </c>
    </row>
    <row r="11" spans="1:14" s="128" customFormat="1">
      <c r="A11" s="379"/>
      <c r="B11" s="378"/>
      <c r="C11" s="378"/>
      <c r="L11" s="59"/>
      <c r="M11" s="59"/>
    </row>
    <row r="12" spans="1:14" s="128" customFormat="1">
      <c r="A12" s="379"/>
      <c r="B12" s="378"/>
      <c r="C12" s="378"/>
      <c r="L12" s="59"/>
      <c r="M12" s="59"/>
    </row>
    <row r="13" spans="1:14" s="128" customFormat="1">
      <c r="A13" s="379"/>
      <c r="B13" s="378"/>
      <c r="C13" s="378"/>
    </row>
    <row r="14" spans="1:14" s="128" customFormat="1">
      <c r="A14" s="379"/>
      <c r="B14" s="378"/>
      <c r="C14" s="378"/>
    </row>
    <row r="15" spans="1:14" s="128" customFormat="1"/>
    <row r="16" spans="1:14" s="128" customFormat="1"/>
    <row r="17" spans="1:13" s="128" customFormat="1"/>
    <row r="18" spans="1:13" s="128" customFormat="1"/>
    <row r="19" spans="1:13" s="128" customFormat="1"/>
    <row r="20" spans="1:13" s="128" customFormat="1"/>
    <row r="21" spans="1:13">
      <c r="A21" s="128"/>
      <c r="B21" s="128"/>
      <c r="C21" s="128"/>
      <c r="D21" s="128"/>
      <c r="E21" s="128"/>
      <c r="F21" s="128"/>
    </row>
    <row r="22" spans="1:13">
      <c r="L22" s="377"/>
      <c r="M22" s="3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O21"/>
  <sheetViews>
    <sheetView showGridLines="0" view="pageBreakPreview" topLeftCell="C1" zoomScale="85" zoomScaleNormal="100" zoomScaleSheetLayoutView="85" workbookViewId="0">
      <selection activeCell="R34" sqref="R34"/>
    </sheetView>
  </sheetViews>
  <sheetFormatPr baseColWidth="10" defaultColWidth="11.42578125" defaultRowHeight="15"/>
  <cols>
    <col min="1" max="1" width="14.42578125" style="59" customWidth="1"/>
    <col min="2" max="3" width="12.28515625" style="59" customWidth="1"/>
    <col min="4" max="4" width="10.140625" style="59" customWidth="1"/>
    <col min="5" max="5" width="17" style="59" customWidth="1"/>
    <col min="6" max="6" width="12" style="59" customWidth="1"/>
    <col min="7" max="7" width="13.42578125" style="59" customWidth="1"/>
    <col min="8" max="8" width="14.85546875" style="59" customWidth="1"/>
    <col min="9" max="9" width="15.28515625" style="59" customWidth="1"/>
    <col min="10" max="10" width="18.5703125" style="59" customWidth="1"/>
    <col min="11" max="11" width="14.140625" style="59" customWidth="1"/>
    <col min="12" max="12" width="17.42578125" style="59" customWidth="1"/>
    <col min="13" max="13" width="9.42578125" style="59" customWidth="1"/>
    <col min="14" max="14" width="11.42578125" style="59"/>
    <col min="15" max="15" width="15.28515625" style="59" customWidth="1"/>
    <col min="16" max="16" width="4.85546875" style="59" customWidth="1"/>
    <col min="17" max="17" width="4.140625" style="59" customWidth="1"/>
    <col min="18" max="16384" width="11.42578125" style="59"/>
  </cols>
  <sheetData>
    <row r="1" spans="1:15" s="128" customFormat="1" ht="82.5" customHeight="1">
      <c r="A1" s="2563" t="s">
        <v>2004</v>
      </c>
      <c r="B1" s="2563"/>
      <c r="C1" s="2563"/>
      <c r="D1" s="2563"/>
      <c r="E1" s="2563"/>
      <c r="F1" s="2563"/>
      <c r="G1" s="2563"/>
      <c r="H1" s="2563"/>
      <c r="I1" s="2563"/>
      <c r="J1" s="2563"/>
      <c r="K1" s="2563"/>
      <c r="L1" s="2563"/>
      <c r="M1" s="2563"/>
      <c r="N1" s="2563"/>
      <c r="O1" s="2563"/>
    </row>
    <row r="2" spans="1:15" s="128" customFormat="1" ht="4.5" customHeight="1">
      <c r="A2" s="347"/>
      <c r="B2" s="347"/>
      <c r="C2" s="347"/>
      <c r="D2" s="347"/>
      <c r="E2" s="347"/>
      <c r="F2" s="347"/>
      <c r="G2" s="347"/>
      <c r="H2" s="347"/>
      <c r="I2" s="347"/>
      <c r="J2" s="347"/>
      <c r="K2" s="347"/>
      <c r="L2" s="347"/>
    </row>
    <row r="3" spans="1:15" s="347" customFormat="1" ht="27.75" customHeight="1">
      <c r="A3" s="1172" t="s">
        <v>0</v>
      </c>
      <c r="B3" s="1173" t="s">
        <v>517</v>
      </c>
      <c r="C3" s="1173" t="s">
        <v>516</v>
      </c>
      <c r="D3" s="1173" t="s">
        <v>515</v>
      </c>
      <c r="E3" s="1173" t="s">
        <v>514</v>
      </c>
      <c r="F3" s="1173" t="s">
        <v>167</v>
      </c>
      <c r="G3" s="1173" t="s">
        <v>1179</v>
      </c>
      <c r="H3" s="1173" t="s">
        <v>1177</v>
      </c>
      <c r="I3" s="1173" t="s">
        <v>1178</v>
      </c>
      <c r="J3" s="1173" t="s">
        <v>510</v>
      </c>
    </row>
    <row r="4" spans="1:15" s="128" customFormat="1" ht="15.75">
      <c r="A4" s="1017" t="s">
        <v>468</v>
      </c>
      <c r="B4" s="170">
        <v>11014</v>
      </c>
      <c r="C4" s="170">
        <v>2177</v>
      </c>
      <c r="D4" s="170">
        <v>128</v>
      </c>
      <c r="E4" s="170">
        <v>1010</v>
      </c>
      <c r="F4" s="1143">
        <f t="shared" ref="F4:F9" si="0">SUM(B4:E4)</f>
        <v>14329</v>
      </c>
      <c r="G4" s="1357">
        <f t="shared" ref="G4:G10" si="1">B4/F4</f>
        <v>0.76865098750785121</v>
      </c>
      <c r="H4" s="1357">
        <f t="shared" ref="H4:H10" si="2">C4/F4</f>
        <v>0.15192965315095261</v>
      </c>
      <c r="I4" s="1357">
        <f t="shared" ref="I4:I10" si="3">D4/F4</f>
        <v>8.9329332123665294E-3</v>
      </c>
      <c r="J4" s="1357">
        <f t="shared" ref="J4:J10" si="4">E4/F4</f>
        <v>7.0486426128829646E-2</v>
      </c>
    </row>
    <row r="5" spans="1:15" s="128" customFormat="1" ht="15.75">
      <c r="A5" s="1017" t="s">
        <v>360</v>
      </c>
      <c r="B5" s="392">
        <v>12997</v>
      </c>
      <c r="C5" s="392">
        <v>2524</v>
      </c>
      <c r="D5" s="392">
        <v>126</v>
      </c>
      <c r="E5" s="392">
        <v>1224</v>
      </c>
      <c r="F5" s="1143">
        <f t="shared" si="0"/>
        <v>16871</v>
      </c>
      <c r="G5" s="1358">
        <f t="shared" si="1"/>
        <v>0.77037520004741866</v>
      </c>
      <c r="H5" s="1358">
        <f t="shared" si="2"/>
        <v>0.14960583249362813</v>
      </c>
      <c r="I5" s="1357">
        <f t="shared" si="3"/>
        <v>7.4684369628356352E-3</v>
      </c>
      <c r="J5" s="1357">
        <f t="shared" si="4"/>
        <v>7.2550530496117593E-2</v>
      </c>
    </row>
    <row r="6" spans="1:15" s="128" customFormat="1" ht="15.75">
      <c r="A6" s="1017" t="s">
        <v>469</v>
      </c>
      <c r="B6" s="170">
        <v>15709</v>
      </c>
      <c r="C6" s="170">
        <v>4659</v>
      </c>
      <c r="D6" s="170">
        <v>163</v>
      </c>
      <c r="E6" s="170">
        <v>658</v>
      </c>
      <c r="F6" s="1143">
        <f t="shared" si="0"/>
        <v>21189</v>
      </c>
      <c r="G6" s="1357">
        <f t="shared" si="1"/>
        <v>0.74137524187078196</v>
      </c>
      <c r="H6" s="1357">
        <f t="shared" si="2"/>
        <v>0.21987823870876397</v>
      </c>
      <c r="I6" s="1357">
        <f t="shared" si="3"/>
        <v>7.6926707253763748E-3</v>
      </c>
      <c r="J6" s="1357">
        <f t="shared" si="4"/>
        <v>3.1053848695077636E-2</v>
      </c>
    </row>
    <row r="7" spans="1:15" s="128" customFormat="1" ht="15.75">
      <c r="A7" s="1017" t="s">
        <v>1058</v>
      </c>
      <c r="B7" s="170">
        <v>13908</v>
      </c>
      <c r="C7" s="170">
        <v>4049</v>
      </c>
      <c r="D7" s="170">
        <v>155</v>
      </c>
      <c r="E7" s="170">
        <v>531</v>
      </c>
      <c r="F7" s="1143">
        <f t="shared" si="0"/>
        <v>18643</v>
      </c>
      <c r="G7" s="1357">
        <f t="shared" si="1"/>
        <v>0.74601727189829958</v>
      </c>
      <c r="H7" s="1357">
        <f t="shared" si="2"/>
        <v>0.21718607520248887</v>
      </c>
      <c r="I7" s="1357">
        <f t="shared" si="3"/>
        <v>8.3141125355361261E-3</v>
      </c>
      <c r="J7" s="1357">
        <f t="shared" si="4"/>
        <v>2.8482540363675375E-2</v>
      </c>
    </row>
    <row r="8" spans="1:15" s="128" customFormat="1" ht="15.75">
      <c r="A8" s="1017" t="s">
        <v>1643</v>
      </c>
      <c r="B8" s="885">
        <v>17116</v>
      </c>
      <c r="C8" s="885">
        <v>6016</v>
      </c>
      <c r="D8" s="885">
        <v>209</v>
      </c>
      <c r="E8" s="885">
        <v>5413</v>
      </c>
      <c r="F8" s="1143">
        <f t="shared" si="0"/>
        <v>28754</v>
      </c>
      <c r="G8" s="1357">
        <f>B8/F8</f>
        <v>0.59525631216526398</v>
      </c>
      <c r="H8" s="1357">
        <f>C8/F8</f>
        <v>0.20922306461709675</v>
      </c>
      <c r="I8" s="1357">
        <f>D8/F8</f>
        <v>7.2685539403213465E-3</v>
      </c>
      <c r="J8" s="1357">
        <f>E8/F8</f>
        <v>0.18825206927731794</v>
      </c>
    </row>
    <row r="9" spans="1:15" s="128" customFormat="1" ht="15.75">
      <c r="A9" s="1017" t="s">
        <v>1907</v>
      </c>
      <c r="B9" s="885">
        <v>20884</v>
      </c>
      <c r="C9" s="885">
        <v>7546</v>
      </c>
      <c r="D9" s="885">
        <v>290</v>
      </c>
      <c r="E9" s="885">
        <f>30331-28720</f>
        <v>1611</v>
      </c>
      <c r="F9" s="1143">
        <f t="shared" si="0"/>
        <v>30331</v>
      </c>
      <c r="G9" s="1357">
        <f>B9/F9</f>
        <v>0.68853648082819563</v>
      </c>
      <c r="H9" s="1357">
        <f>C9/F9</f>
        <v>0.24878836833602586</v>
      </c>
      <c r="I9" s="1357">
        <f>D9/F9</f>
        <v>9.5611750354422861E-3</v>
      </c>
      <c r="J9" s="1357">
        <f>E9/F9</f>
        <v>5.3113975800336291E-2</v>
      </c>
    </row>
    <row r="10" spans="1:15" s="128" customFormat="1" ht="20.25" customHeight="1">
      <c r="A10" s="934" t="s">
        <v>23</v>
      </c>
      <c r="B10" s="1174">
        <f>SUM(B4:B9)</f>
        <v>91628</v>
      </c>
      <c r="C10" s="1174">
        <f>SUM(C4:C9)</f>
        <v>26971</v>
      </c>
      <c r="D10" s="1174">
        <f>SUM(D4:D9)</f>
        <v>1071</v>
      </c>
      <c r="E10" s="1174">
        <f>SUM(E4:E9)</f>
        <v>10447</v>
      </c>
      <c r="F10" s="1174">
        <f>SUM(F4:F9)</f>
        <v>130117</v>
      </c>
      <c r="G10" s="1140">
        <f t="shared" si="1"/>
        <v>0.70419699193802499</v>
      </c>
      <c r="H10" s="1140">
        <f t="shared" si="2"/>
        <v>0.20728267636050632</v>
      </c>
      <c r="I10" s="1140">
        <f t="shared" si="3"/>
        <v>8.231053590230332E-3</v>
      </c>
      <c r="J10" s="1140">
        <f t="shared" si="4"/>
        <v>8.0289278111238344E-2</v>
      </c>
    </row>
    <row r="11" spans="1:15" s="128" customFormat="1" ht="16.5" customHeight="1">
      <c r="A11" s="2564" t="s">
        <v>1077</v>
      </c>
      <c r="B11" s="2565"/>
      <c r="C11" s="2565"/>
      <c r="D11" s="2565"/>
      <c r="E11" s="2565"/>
      <c r="F11" s="2565"/>
      <c r="G11" s="2565"/>
      <c r="H11" s="2565"/>
      <c r="I11" s="2565"/>
      <c r="J11" s="2565"/>
      <c r="K11" s="2565"/>
      <c r="L11" s="1530"/>
    </row>
    <row r="12" spans="1:15" s="128" customFormat="1">
      <c r="A12" s="1530"/>
      <c r="B12" s="1530"/>
      <c r="C12" s="1530"/>
      <c r="D12" s="1530"/>
      <c r="E12" s="1530"/>
      <c r="F12" s="1530"/>
      <c r="G12" s="1530"/>
      <c r="H12" s="1530"/>
      <c r="I12" s="1530"/>
      <c r="J12" s="1530"/>
      <c r="K12" s="1530"/>
      <c r="L12" s="1530"/>
    </row>
    <row r="13" spans="1:15" s="128" customFormat="1">
      <c r="A13" s="379"/>
      <c r="B13" s="378"/>
      <c r="C13" s="378"/>
      <c r="D13" s="378"/>
      <c r="E13" s="378"/>
    </row>
    <row r="14" spans="1:15" s="128" customFormat="1">
      <c r="A14" s="379"/>
      <c r="B14" s="378"/>
      <c r="C14" s="378"/>
      <c r="D14" s="378"/>
      <c r="E14" s="378"/>
    </row>
    <row r="15" spans="1:15" s="128" customFormat="1"/>
    <row r="16" spans="1:15" s="128" customFormat="1"/>
    <row r="17" s="128" customFormat="1"/>
    <row r="18" s="128" customFormat="1"/>
    <row r="19" s="128" customFormat="1"/>
    <row r="20" s="128" customFormat="1"/>
    <row r="21" s="128" customFormat="1"/>
  </sheetData>
  <mergeCells count="2">
    <mergeCell ref="A1:O1"/>
    <mergeCell ref="A11:K1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tint="-0.14999847407452621"/>
  </sheetPr>
  <dimension ref="A1:N21"/>
  <sheetViews>
    <sheetView showGridLines="0" view="pageBreakPreview" zoomScale="85" zoomScaleNormal="100" zoomScaleSheetLayoutView="85" workbookViewId="0">
      <selection activeCell="U59" sqref="U59"/>
    </sheetView>
  </sheetViews>
  <sheetFormatPr baseColWidth="10" defaultColWidth="11.42578125" defaultRowHeight="15"/>
  <cols>
    <col min="1" max="1" width="11" style="1948" customWidth="1"/>
    <col min="2" max="2" width="11.140625" style="59" customWidth="1"/>
    <col min="3" max="3" width="12.28515625" style="59" customWidth="1"/>
    <col min="4" max="4" width="9.140625" style="59" customWidth="1"/>
    <col min="5" max="5" width="11.28515625" style="59" customWidth="1"/>
    <col min="6" max="6" width="11.7109375" style="59" customWidth="1"/>
    <col min="7" max="7" width="14" style="59" customWidth="1"/>
    <col min="8" max="8" width="11.7109375" style="59" customWidth="1"/>
    <col min="9" max="9" width="13.42578125" style="59" customWidth="1"/>
    <col min="10" max="10" width="15.85546875" style="59" customWidth="1"/>
    <col min="11" max="11" width="10.42578125" style="59" customWidth="1"/>
    <col min="12" max="12" width="13.7109375" style="59" customWidth="1"/>
    <col min="13" max="13" width="13.42578125" style="59" customWidth="1"/>
    <col min="14" max="14" width="15.5703125" style="59" customWidth="1"/>
    <col min="15" max="16384" width="11.42578125" style="59"/>
  </cols>
  <sheetData>
    <row r="1" spans="1:14" s="128" customFormat="1" ht="65.25" customHeight="1">
      <c r="A1" s="2566" t="s">
        <v>2005</v>
      </c>
      <c r="B1" s="2567"/>
      <c r="C1" s="2567"/>
      <c r="D1" s="2567"/>
      <c r="E1" s="2567"/>
      <c r="F1" s="2567"/>
      <c r="G1" s="2567"/>
      <c r="H1" s="2567"/>
      <c r="I1" s="2567"/>
      <c r="J1" s="2567"/>
      <c r="K1" s="2567"/>
      <c r="L1" s="2567"/>
      <c r="M1" s="2567"/>
      <c r="N1" s="2568"/>
    </row>
    <row r="2" spans="1:14" s="58" customFormat="1" ht="3.75" customHeight="1">
      <c r="A2" s="1946"/>
      <c r="B2" s="571"/>
      <c r="C2" s="571"/>
      <c r="D2" s="571"/>
      <c r="E2" s="571"/>
      <c r="F2" s="571"/>
      <c r="G2" s="571"/>
      <c r="H2" s="571"/>
      <c r="I2" s="571"/>
      <c r="J2" s="571"/>
      <c r="K2" s="571"/>
      <c r="L2" s="571"/>
      <c r="M2" s="571"/>
      <c r="N2" s="581"/>
    </row>
    <row r="3" spans="1:14" s="347" customFormat="1" ht="31.5">
      <c r="A3" s="1011" t="s">
        <v>0</v>
      </c>
      <c r="B3" s="934" t="s">
        <v>666</v>
      </c>
      <c r="C3" s="934" t="s">
        <v>665</v>
      </c>
      <c r="D3" s="934" t="s">
        <v>664</v>
      </c>
      <c r="E3" s="934" t="s">
        <v>663</v>
      </c>
      <c r="F3" s="934" t="s">
        <v>662</v>
      </c>
      <c r="G3" s="934" t="s">
        <v>661</v>
      </c>
      <c r="H3" s="934" t="s">
        <v>167</v>
      </c>
      <c r="I3" s="934" t="s">
        <v>660</v>
      </c>
      <c r="J3" s="934" t="s">
        <v>659</v>
      </c>
      <c r="K3" s="934" t="s">
        <v>658</v>
      </c>
      <c r="L3" s="934" t="s">
        <v>657</v>
      </c>
      <c r="M3" s="934" t="s">
        <v>656</v>
      </c>
      <c r="N3" s="934" t="s">
        <v>510</v>
      </c>
    </row>
    <row r="4" spans="1:14" s="128" customFormat="1" ht="15.75">
      <c r="A4" s="1017" t="s">
        <v>468</v>
      </c>
      <c r="B4" s="390">
        <v>6838</v>
      </c>
      <c r="C4" s="390">
        <v>5185</v>
      </c>
      <c r="D4" s="390">
        <v>853</v>
      </c>
      <c r="E4" s="390">
        <v>140</v>
      </c>
      <c r="F4" s="390">
        <v>310</v>
      </c>
      <c r="G4" s="390">
        <v>1003</v>
      </c>
      <c r="H4" s="1531">
        <f>SUM(B4:G4)</f>
        <v>14329</v>
      </c>
      <c r="I4" s="731">
        <f t="shared" ref="I4:I10" si="0">B4/H4</f>
        <v>0.47721404145439317</v>
      </c>
      <c r="J4" s="731">
        <f t="shared" ref="J4:J10" si="1">C4/H4</f>
        <v>0.36185358364156606</v>
      </c>
      <c r="K4" s="731">
        <f t="shared" ref="K4:K10" si="2">D4/H4</f>
        <v>5.9529625235536322E-2</v>
      </c>
      <c r="L4" s="731">
        <f t="shared" ref="L4:L10" si="3">E4/H4</f>
        <v>9.7703957010258913E-3</v>
      </c>
      <c r="M4" s="731">
        <f t="shared" ref="M4:M10" si="4">F4/H4</f>
        <v>2.163444762370019E-2</v>
      </c>
      <c r="N4" s="731">
        <f t="shared" ref="N4:N10" si="5">G4/H4</f>
        <v>6.9997906343778352E-2</v>
      </c>
    </row>
    <row r="5" spans="1:14" s="128" customFormat="1" ht="15.75">
      <c r="A5" s="1017" t="s">
        <v>360</v>
      </c>
      <c r="B5" s="466">
        <v>8908</v>
      </c>
      <c r="C5" s="466">
        <v>5224</v>
      </c>
      <c r="D5" s="466">
        <v>880</v>
      </c>
      <c r="E5" s="466">
        <v>148</v>
      </c>
      <c r="F5" s="466">
        <v>487</v>
      </c>
      <c r="G5" s="466">
        <v>1224</v>
      </c>
      <c r="H5" s="1531">
        <f>SUM(B5:G5)</f>
        <v>16871</v>
      </c>
      <c r="I5" s="731">
        <f t="shared" si="0"/>
        <v>0.52800663861063368</v>
      </c>
      <c r="J5" s="731">
        <f t="shared" si="1"/>
        <v>0.3096437674115346</v>
      </c>
      <c r="K5" s="731">
        <f t="shared" si="2"/>
        <v>5.2160512121391736E-2</v>
      </c>
      <c r="L5" s="731">
        <f t="shared" si="3"/>
        <v>8.7724497658704277E-3</v>
      </c>
      <c r="M5" s="731">
        <f t="shared" si="4"/>
        <v>2.8866101594452017E-2</v>
      </c>
      <c r="N5" s="731">
        <f t="shared" si="5"/>
        <v>7.2550530496117593E-2</v>
      </c>
    </row>
    <row r="6" spans="1:14" s="128" customFormat="1" ht="15.75">
      <c r="A6" s="1017" t="s">
        <v>469</v>
      </c>
      <c r="B6" s="390">
        <v>11414</v>
      </c>
      <c r="C6" s="390">
        <v>7139</v>
      </c>
      <c r="D6" s="390">
        <v>1109</v>
      </c>
      <c r="E6" s="390">
        <v>180</v>
      </c>
      <c r="F6" s="390">
        <v>689</v>
      </c>
      <c r="G6" s="390">
        <v>658</v>
      </c>
      <c r="H6" s="1531">
        <f>SUM(B6:G6)</f>
        <v>21189</v>
      </c>
      <c r="I6" s="731">
        <f t="shared" si="0"/>
        <v>0.53867572797206098</v>
      </c>
      <c r="J6" s="731">
        <f t="shared" si="1"/>
        <v>0.33692010005191375</v>
      </c>
      <c r="K6" s="731">
        <f t="shared" si="2"/>
        <v>5.2338477511916559E-2</v>
      </c>
      <c r="L6" s="731">
        <f t="shared" si="3"/>
        <v>8.4949738071640954E-3</v>
      </c>
      <c r="M6" s="731">
        <f t="shared" si="4"/>
        <v>3.2516871961867005E-2</v>
      </c>
      <c r="N6" s="731">
        <f t="shared" si="5"/>
        <v>3.1053848695077636E-2</v>
      </c>
    </row>
    <row r="7" spans="1:14" s="128" customFormat="1" ht="15.75">
      <c r="A7" s="1017" t="s">
        <v>1058</v>
      </c>
      <c r="B7" s="1548">
        <v>11746</v>
      </c>
      <c r="C7" s="1548">
        <v>5169</v>
      </c>
      <c r="D7" s="1548">
        <v>785</v>
      </c>
      <c r="E7" s="1548">
        <v>87</v>
      </c>
      <c r="F7" s="1548">
        <v>325</v>
      </c>
      <c r="G7" s="1548">
        <f>18643-18112</f>
        <v>531</v>
      </c>
      <c r="H7" s="1531">
        <f>+B7+C7+D7+E7+F7+G7</f>
        <v>18643</v>
      </c>
      <c r="I7" s="731">
        <f t="shared" si="0"/>
        <v>0.63004881188649897</v>
      </c>
      <c r="J7" s="731">
        <f t="shared" si="1"/>
        <v>0.27726224320120152</v>
      </c>
      <c r="K7" s="731">
        <f t="shared" si="2"/>
        <v>4.2106957034811994E-2</v>
      </c>
      <c r="L7" s="731">
        <f t="shared" si="3"/>
        <v>4.6666309070428581E-3</v>
      </c>
      <c r="M7" s="731">
        <f t="shared" si="4"/>
        <v>1.7432816606769298E-2</v>
      </c>
      <c r="N7" s="731">
        <f t="shared" si="5"/>
        <v>2.8482540363675375E-2</v>
      </c>
    </row>
    <row r="8" spans="1:14" s="128" customFormat="1" ht="15.75">
      <c r="A8" s="1017" t="s">
        <v>1643</v>
      </c>
      <c r="B8" s="1548">
        <v>14561</v>
      </c>
      <c r="C8" s="1548">
        <v>7412</v>
      </c>
      <c r="D8" s="1548">
        <v>960</v>
      </c>
      <c r="E8" s="1548">
        <v>132</v>
      </c>
      <c r="F8" s="1548">
        <v>276</v>
      </c>
      <c r="G8" s="1548">
        <f>28754-23341</f>
        <v>5413</v>
      </c>
      <c r="H8" s="1531">
        <f>SUM(B8:G8)</f>
        <v>28754</v>
      </c>
      <c r="I8" s="1532">
        <f t="shared" si="0"/>
        <v>0.50639910968908675</v>
      </c>
      <c r="J8" s="1532">
        <f t="shared" si="1"/>
        <v>0.25777283160603742</v>
      </c>
      <c r="K8" s="1532">
        <f t="shared" si="2"/>
        <v>3.3386659247409058E-2</v>
      </c>
      <c r="L8" s="1532">
        <f t="shared" si="3"/>
        <v>4.5906656465187455E-3</v>
      </c>
      <c r="M8" s="1532">
        <f t="shared" si="4"/>
        <v>9.5986645336301035E-3</v>
      </c>
      <c r="N8" s="1532">
        <f t="shared" si="5"/>
        <v>0.18825206927731794</v>
      </c>
    </row>
    <row r="9" spans="1:14" s="128" customFormat="1" ht="15.75">
      <c r="A9" s="1017" t="s">
        <v>1907</v>
      </c>
      <c r="B9" s="1548">
        <v>16769</v>
      </c>
      <c r="C9" s="1548">
        <v>10494</v>
      </c>
      <c r="D9" s="1548">
        <v>895</v>
      </c>
      <c r="E9" s="1548">
        <v>220</v>
      </c>
      <c r="F9" s="1548">
        <v>344</v>
      </c>
      <c r="G9" s="1548">
        <f>30331-28722</f>
        <v>1609</v>
      </c>
      <c r="H9" s="1531">
        <f>SUM(B9:G9)</f>
        <v>30331</v>
      </c>
      <c r="I9" s="1532">
        <f>B9/H9</f>
        <v>0.5528667040321783</v>
      </c>
      <c r="J9" s="1532">
        <f>C9/H9</f>
        <v>0.34598265800665984</v>
      </c>
      <c r="K9" s="1532">
        <f>D9/H9</f>
        <v>2.9507764333520162E-2</v>
      </c>
      <c r="L9" s="1532">
        <f>E9/H9</f>
        <v>7.2533051993010451E-3</v>
      </c>
      <c r="M9" s="1532">
        <f>F9/H9</f>
        <v>1.1341531766179816E-2</v>
      </c>
      <c r="N9" s="1532">
        <f>G9/H9</f>
        <v>5.3048036662160826E-2</v>
      </c>
    </row>
    <row r="10" spans="1:14" s="128" customFormat="1" ht="15.75">
      <c r="A10" s="1013" t="s">
        <v>23</v>
      </c>
      <c r="B10" s="1014">
        <f>SUM(B4:B9)</f>
        <v>70236</v>
      </c>
      <c r="C10" s="1014">
        <f t="shared" ref="C10:H10" si="6">SUM(C4:C9)</f>
        <v>40623</v>
      </c>
      <c r="D10" s="1014">
        <f t="shared" si="6"/>
        <v>5482</v>
      </c>
      <c r="E10" s="1014">
        <f t="shared" si="6"/>
        <v>907</v>
      </c>
      <c r="F10" s="1014">
        <f t="shared" si="6"/>
        <v>2431</v>
      </c>
      <c r="G10" s="1014">
        <f t="shared" si="6"/>
        <v>10438</v>
      </c>
      <c r="H10" s="1014">
        <f t="shared" si="6"/>
        <v>130117</v>
      </c>
      <c r="I10" s="1084">
        <f t="shared" si="0"/>
        <v>0.53979111107695377</v>
      </c>
      <c r="J10" s="1084">
        <f t="shared" si="1"/>
        <v>0.31220363211571123</v>
      </c>
      <c r="K10" s="1084">
        <f t="shared" si="2"/>
        <v>4.2131312587901655E-2</v>
      </c>
      <c r="L10" s="1084">
        <f t="shared" si="3"/>
        <v>6.9706494923799352E-3</v>
      </c>
      <c r="M10" s="1084">
        <f t="shared" si="4"/>
        <v>1.8683185133379958E-2</v>
      </c>
      <c r="N10" s="1084">
        <f t="shared" si="5"/>
        <v>8.0220109593673386E-2</v>
      </c>
    </row>
    <row r="11" spans="1:14" s="128" customFormat="1">
      <c r="A11" s="379"/>
      <c r="B11" s="378"/>
      <c r="C11" s="378"/>
      <c r="D11" s="378"/>
      <c r="E11" s="378"/>
      <c r="F11" s="378"/>
      <c r="G11" s="378"/>
    </row>
    <row r="12" spans="1:14" s="128" customFormat="1">
      <c r="A12" s="379"/>
      <c r="B12" s="378"/>
      <c r="C12" s="378"/>
      <c r="D12" s="378"/>
      <c r="E12" s="378"/>
      <c r="F12" s="378"/>
      <c r="G12" s="378"/>
    </row>
    <row r="13" spans="1:14" s="128" customFormat="1">
      <c r="A13" s="379"/>
      <c r="B13" s="378"/>
      <c r="C13" s="378"/>
      <c r="D13" s="378"/>
      <c r="E13" s="378"/>
      <c r="F13" s="378"/>
      <c r="G13" s="378"/>
    </row>
    <row r="14" spans="1:14" s="128" customFormat="1">
      <c r="A14" s="379"/>
      <c r="B14" s="378"/>
      <c r="C14" s="378"/>
      <c r="D14" s="378"/>
      <c r="E14" s="378"/>
      <c r="F14" s="378"/>
      <c r="G14" s="378"/>
    </row>
    <row r="15" spans="1:14" s="128" customFormat="1">
      <c r="A15" s="1947"/>
    </row>
    <row r="16" spans="1:14" s="128" customFormat="1">
      <c r="A16" s="1947"/>
    </row>
    <row r="17" spans="1:1" s="128" customFormat="1">
      <c r="A17" s="1947"/>
    </row>
    <row r="18" spans="1:1" s="128" customFormat="1">
      <c r="A18" s="1947"/>
    </row>
    <row r="19" spans="1:1" s="128" customFormat="1">
      <c r="A19" s="1947"/>
    </row>
    <row r="20" spans="1:1" s="128" customFormat="1">
      <c r="A20" s="1947"/>
    </row>
    <row r="21" spans="1:1" s="128" customFormat="1">
      <c r="A21" s="1947"/>
    </row>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P21"/>
  <sheetViews>
    <sheetView showGridLines="0" view="pageBreakPreview" topLeftCell="B1" zoomScale="85" zoomScaleNormal="100" zoomScaleSheetLayoutView="85" workbookViewId="0">
      <selection activeCell="Q40" sqref="Q40"/>
    </sheetView>
  </sheetViews>
  <sheetFormatPr baseColWidth="10" defaultColWidth="11.42578125" defaultRowHeight="15"/>
  <cols>
    <col min="1" max="1" width="13" style="436" customWidth="1"/>
    <col min="2" max="2" width="12.5703125" style="59" customWidth="1"/>
    <col min="3" max="3" width="12.85546875" style="59" customWidth="1"/>
    <col min="4" max="4" width="13" style="59" customWidth="1"/>
    <col min="5" max="5" width="11.5703125" style="59" customWidth="1"/>
    <col min="6" max="6" width="10.5703125" style="59" customWidth="1"/>
    <col min="7" max="7" width="13.5703125" style="59" customWidth="1"/>
    <col min="8" max="8" width="10.140625" style="59" customWidth="1"/>
    <col min="9" max="9" width="13.140625" style="59" customWidth="1"/>
    <col min="10" max="10" width="13.28515625" style="59" customWidth="1"/>
    <col min="11" max="11" width="13.7109375" style="59" customWidth="1"/>
    <col min="12" max="13" width="11.7109375" style="59" customWidth="1"/>
    <col min="14" max="14" width="13.85546875" style="59" customWidth="1"/>
    <col min="15" max="15" width="11.140625" style="59" customWidth="1"/>
    <col min="16" max="16384" width="11.42578125" style="59"/>
  </cols>
  <sheetData>
    <row r="1" spans="1:16" s="128" customFormat="1" ht="77.25" customHeight="1">
      <c r="A1" s="2569" t="s">
        <v>2006</v>
      </c>
      <c r="B1" s="2570"/>
      <c r="C1" s="2570"/>
      <c r="D1" s="2570"/>
      <c r="E1" s="2570"/>
      <c r="F1" s="2570"/>
      <c r="G1" s="2570"/>
      <c r="H1" s="2570"/>
      <c r="I1" s="2570"/>
      <c r="J1" s="2570"/>
      <c r="K1" s="2570"/>
      <c r="L1" s="2570"/>
      <c r="M1" s="2570"/>
      <c r="N1" s="2571"/>
    </row>
    <row r="2" spans="1:16" s="58" customFormat="1" ht="3" customHeight="1">
      <c r="A2" s="583"/>
      <c r="B2" s="584"/>
      <c r="C2" s="584"/>
      <c r="D2" s="584"/>
      <c r="E2" s="584"/>
      <c r="F2" s="584"/>
      <c r="G2" s="584"/>
      <c r="H2" s="584"/>
      <c r="I2" s="584"/>
      <c r="J2" s="584"/>
      <c r="K2" s="584"/>
      <c r="L2" s="584"/>
      <c r="M2" s="584"/>
      <c r="N2" s="585"/>
    </row>
    <row r="3" spans="1:16" s="347" customFormat="1" ht="54.75" customHeight="1">
      <c r="A3" s="1175" t="s">
        <v>0</v>
      </c>
      <c r="B3" s="1175" t="s">
        <v>676</v>
      </c>
      <c r="C3" s="1175" t="s">
        <v>675</v>
      </c>
      <c r="D3" s="1175" t="s">
        <v>674</v>
      </c>
      <c r="E3" s="1175" t="s">
        <v>673</v>
      </c>
      <c r="F3" s="1175" t="s">
        <v>672</v>
      </c>
      <c r="G3" s="1175" t="s">
        <v>966</v>
      </c>
      <c r="H3" s="1175" t="s">
        <v>167</v>
      </c>
      <c r="I3" s="1175" t="s">
        <v>671</v>
      </c>
      <c r="J3" s="1175" t="s">
        <v>670</v>
      </c>
      <c r="K3" s="1175" t="s">
        <v>669</v>
      </c>
      <c r="L3" s="1175" t="s">
        <v>668</v>
      </c>
      <c r="M3" s="1175" t="s">
        <v>667</v>
      </c>
      <c r="N3" s="1175" t="s">
        <v>510</v>
      </c>
    </row>
    <row r="4" spans="1:16" s="128" customFormat="1" ht="18.75" customHeight="1">
      <c r="A4" s="1175" t="s">
        <v>468</v>
      </c>
      <c r="B4" s="452">
        <v>372</v>
      </c>
      <c r="C4" s="452">
        <v>339</v>
      </c>
      <c r="D4" s="452">
        <v>498</v>
      </c>
      <c r="E4" s="452">
        <v>11663</v>
      </c>
      <c r="F4" s="452">
        <v>458</v>
      </c>
      <c r="G4" s="460">
        <v>999</v>
      </c>
      <c r="H4" s="1534">
        <f t="shared" ref="H4:H9" si="0">SUM(B4:G4)</f>
        <v>14329</v>
      </c>
      <c r="I4" s="1533">
        <f t="shared" ref="I4:I10" si="1">B4/H4</f>
        <v>2.5961337148440226E-2</v>
      </c>
      <c r="J4" s="1533">
        <f t="shared" ref="J4:J10" si="2">C4/H4</f>
        <v>2.3658315304626979E-2</v>
      </c>
      <c r="K4" s="1533">
        <f t="shared" ref="K4:K10" si="3">D4/H4</f>
        <v>3.4754693279363529E-2</v>
      </c>
      <c r="L4" s="1533">
        <f t="shared" ref="L4:L10" si="4">E4/H4</f>
        <v>0.81394375043617839</v>
      </c>
      <c r="M4" s="1533">
        <f t="shared" ref="M4:M10" si="5">F4/H4</f>
        <v>3.196315165049899E-2</v>
      </c>
      <c r="N4" s="1533">
        <f t="shared" ref="N4:N10" si="6">G4/H4</f>
        <v>6.9718752180891894E-2</v>
      </c>
      <c r="P4" s="347"/>
    </row>
    <row r="5" spans="1:16" s="128" customFormat="1" ht="20.25" customHeight="1">
      <c r="A5" s="1175" t="s">
        <v>360</v>
      </c>
      <c r="B5" s="452">
        <v>415</v>
      </c>
      <c r="C5" s="452">
        <v>357</v>
      </c>
      <c r="D5" s="452">
        <v>484</v>
      </c>
      <c r="E5" s="452">
        <v>13583</v>
      </c>
      <c r="F5" s="452">
        <v>519</v>
      </c>
      <c r="G5" s="460">
        <v>1513</v>
      </c>
      <c r="H5" s="1534">
        <f t="shared" si="0"/>
        <v>16871</v>
      </c>
      <c r="I5" s="1533">
        <f t="shared" si="1"/>
        <v>2.4598423329974514E-2</v>
      </c>
      <c r="J5" s="1533">
        <f t="shared" si="2"/>
        <v>2.1160571394700966E-2</v>
      </c>
      <c r="K5" s="1533">
        <f t="shared" si="3"/>
        <v>2.8688281666765455E-2</v>
      </c>
      <c r="L5" s="1533">
        <f t="shared" si="4"/>
        <v>0.80510935925552729</v>
      </c>
      <c r="M5" s="1533">
        <f t="shared" si="5"/>
        <v>3.0762847489775355E-2</v>
      </c>
      <c r="N5" s="1533">
        <f t="shared" si="6"/>
        <v>8.9680516863256482E-2</v>
      </c>
      <c r="P5" s="347"/>
    </row>
    <row r="6" spans="1:16" s="128" customFormat="1" ht="16.5" customHeight="1">
      <c r="A6" s="1175" t="s">
        <v>469</v>
      </c>
      <c r="B6" s="452">
        <v>472</v>
      </c>
      <c r="C6" s="452">
        <v>799</v>
      </c>
      <c r="D6" s="452">
        <v>550</v>
      </c>
      <c r="E6" s="452">
        <v>17568</v>
      </c>
      <c r="F6" s="452">
        <v>540</v>
      </c>
      <c r="G6" s="460">
        <v>1260</v>
      </c>
      <c r="H6" s="1534">
        <f t="shared" si="0"/>
        <v>21189</v>
      </c>
      <c r="I6" s="1533">
        <f t="shared" si="1"/>
        <v>2.2275709094341404E-2</v>
      </c>
      <c r="J6" s="1533">
        <f t="shared" si="2"/>
        <v>3.770824484402284E-2</v>
      </c>
      <c r="K6" s="1533">
        <f t="shared" si="3"/>
        <v>2.5956864410779178E-2</v>
      </c>
      <c r="L6" s="1533">
        <f t="shared" si="4"/>
        <v>0.82910944357921568</v>
      </c>
      <c r="M6" s="1533">
        <f t="shared" si="5"/>
        <v>2.5484921421492283E-2</v>
      </c>
      <c r="N6" s="1533">
        <f t="shared" si="6"/>
        <v>5.9464816650148661E-2</v>
      </c>
      <c r="P6" s="347"/>
    </row>
    <row r="7" spans="1:16" s="128" customFormat="1" ht="17.25" customHeight="1">
      <c r="A7" s="1175" t="s">
        <v>1058</v>
      </c>
      <c r="B7" s="452">
        <v>276</v>
      </c>
      <c r="C7" s="452">
        <v>1166</v>
      </c>
      <c r="D7" s="452">
        <v>512</v>
      </c>
      <c r="E7" s="452">
        <v>15582</v>
      </c>
      <c r="F7" s="452">
        <v>382</v>
      </c>
      <c r="G7" s="460">
        <v>725</v>
      </c>
      <c r="H7" s="1534">
        <f t="shared" si="0"/>
        <v>18643</v>
      </c>
      <c r="I7" s="1533">
        <f t="shared" si="1"/>
        <v>1.4804484256825618E-2</v>
      </c>
      <c r="J7" s="1533">
        <f t="shared" si="2"/>
        <v>6.2543582041516929E-2</v>
      </c>
      <c r="K7" s="1533">
        <f t="shared" si="3"/>
        <v>2.7463391085125785E-2</v>
      </c>
      <c r="L7" s="1533">
        <f t="shared" si="4"/>
        <v>0.83580968728208982</v>
      </c>
      <c r="M7" s="1533">
        <f t="shared" si="5"/>
        <v>2.0490264442418065E-2</v>
      </c>
      <c r="N7" s="1533">
        <f t="shared" si="6"/>
        <v>3.8888590892023817E-2</v>
      </c>
      <c r="P7" s="347"/>
    </row>
    <row r="8" spans="1:16" s="128" customFormat="1" ht="18" customHeight="1">
      <c r="A8" s="1175" t="s">
        <v>1643</v>
      </c>
      <c r="B8" s="1584">
        <v>973</v>
      </c>
      <c r="C8" s="1584">
        <v>911</v>
      </c>
      <c r="D8" s="1584">
        <v>417</v>
      </c>
      <c r="E8" s="1584">
        <v>20368</v>
      </c>
      <c r="F8" s="1584">
        <v>548</v>
      </c>
      <c r="G8" s="1584">
        <f>28754-23217</f>
        <v>5537</v>
      </c>
      <c r="H8" s="1534">
        <f t="shared" si="0"/>
        <v>28754</v>
      </c>
      <c r="I8" s="1533">
        <f t="shared" si="1"/>
        <v>3.3838770258051057E-2</v>
      </c>
      <c r="J8" s="1533">
        <f t="shared" si="2"/>
        <v>3.1682548514989216E-2</v>
      </c>
      <c r="K8" s="1533">
        <f t="shared" si="3"/>
        <v>1.450233011059331E-2</v>
      </c>
      <c r="L8" s="1533">
        <f t="shared" si="4"/>
        <v>0.70835362036586214</v>
      </c>
      <c r="M8" s="1533">
        <f t="shared" si="5"/>
        <v>1.905821798706267E-2</v>
      </c>
      <c r="N8" s="1533">
        <f t="shared" si="6"/>
        <v>0.19256451276344161</v>
      </c>
      <c r="P8" s="347"/>
    </row>
    <row r="9" spans="1:16" s="128" customFormat="1" ht="18" customHeight="1">
      <c r="A9" s="1175" t="s">
        <v>1907</v>
      </c>
      <c r="B9" s="1584">
        <v>1182</v>
      </c>
      <c r="C9" s="1584">
        <v>1127</v>
      </c>
      <c r="D9" s="1584">
        <v>628</v>
      </c>
      <c r="E9" s="1584">
        <v>24972</v>
      </c>
      <c r="F9" s="1584">
        <v>777</v>
      </c>
      <c r="G9" s="1584">
        <f>30331-28686</f>
        <v>1645</v>
      </c>
      <c r="H9" s="1534">
        <f t="shared" si="0"/>
        <v>30331</v>
      </c>
      <c r="I9" s="1533">
        <f>B9/H9</f>
        <v>3.8970030661699254E-2</v>
      </c>
      <c r="J9" s="1533">
        <f>C9/H9</f>
        <v>3.7156704361873988E-2</v>
      </c>
      <c r="K9" s="1533">
        <f>D9/H9</f>
        <v>2.070488938709571E-2</v>
      </c>
      <c r="L9" s="1533">
        <f>E9/H9</f>
        <v>0.82331607925884409</v>
      </c>
      <c r="M9" s="1533">
        <f>F9/H9</f>
        <v>2.5617355181167784E-2</v>
      </c>
      <c r="N9" s="1533">
        <f>G9/H9</f>
        <v>5.4234941149319177E-2</v>
      </c>
      <c r="P9" s="347"/>
    </row>
    <row r="10" spans="1:16" s="128" customFormat="1" ht="15.75">
      <c r="A10" s="1175" t="s">
        <v>23</v>
      </c>
      <c r="B10" s="1014">
        <f t="shared" ref="B10:H10" si="7">SUM(B4:B9)</f>
        <v>3690</v>
      </c>
      <c r="C10" s="1014">
        <f t="shared" si="7"/>
        <v>4699</v>
      </c>
      <c r="D10" s="1014">
        <f t="shared" si="7"/>
        <v>3089</v>
      </c>
      <c r="E10" s="1014">
        <f t="shared" si="7"/>
        <v>103736</v>
      </c>
      <c r="F10" s="1014">
        <f t="shared" si="7"/>
        <v>3224</v>
      </c>
      <c r="G10" s="1014">
        <f t="shared" si="7"/>
        <v>11679</v>
      </c>
      <c r="H10" s="1014">
        <f t="shared" si="7"/>
        <v>130117</v>
      </c>
      <c r="I10" s="1137">
        <f t="shared" si="1"/>
        <v>2.8359092201633913E-2</v>
      </c>
      <c r="J10" s="1137">
        <f t="shared" si="2"/>
        <v>3.6113651559750069E-2</v>
      </c>
      <c r="K10" s="1137">
        <f t="shared" si="3"/>
        <v>2.3740172306462644E-2</v>
      </c>
      <c r="L10" s="1137">
        <f t="shared" si="4"/>
        <v>0.79725170423541891</v>
      </c>
      <c r="M10" s="1137">
        <f t="shared" si="5"/>
        <v>2.4777700069937056E-2</v>
      </c>
      <c r="N10" s="1137">
        <f t="shared" si="6"/>
        <v>8.9757679626797426E-2</v>
      </c>
      <c r="P10" s="347"/>
    </row>
    <row r="11" spans="1:16" s="128" customFormat="1">
      <c r="A11" s="434"/>
      <c r="B11" s="378"/>
      <c r="C11" s="378"/>
      <c r="D11" s="378"/>
      <c r="E11" s="378"/>
      <c r="F11" s="378"/>
      <c r="G11" s="378"/>
      <c r="P11" s="347"/>
    </row>
    <row r="12" spans="1:16" s="128" customFormat="1">
      <c r="A12" s="434"/>
      <c r="B12" s="378"/>
      <c r="C12" s="378"/>
      <c r="D12" s="378"/>
      <c r="E12" s="378"/>
      <c r="F12" s="378"/>
      <c r="G12" s="378"/>
      <c r="P12" s="347"/>
    </row>
    <row r="13" spans="1:16" s="128" customFormat="1">
      <c r="A13" s="434"/>
      <c r="B13" s="378"/>
      <c r="C13" s="378"/>
      <c r="D13" s="378"/>
      <c r="E13" s="378"/>
      <c r="F13" s="378"/>
      <c r="G13" s="378"/>
      <c r="P13" s="347"/>
    </row>
    <row r="14" spans="1:16" s="128" customFormat="1">
      <c r="A14" s="434"/>
      <c r="B14" s="378"/>
      <c r="C14" s="378"/>
      <c r="D14" s="378"/>
      <c r="E14" s="378"/>
      <c r="F14" s="378"/>
      <c r="G14" s="378"/>
    </row>
    <row r="15" spans="1:16" s="128" customFormat="1">
      <c r="A15" s="435"/>
    </row>
    <row r="16" spans="1:16" s="128" customFormat="1">
      <c r="A16" s="435"/>
    </row>
    <row r="17" spans="1:1" s="128" customFormat="1">
      <c r="A17" s="435"/>
    </row>
    <row r="18" spans="1:1" s="128" customFormat="1">
      <c r="A18" s="435"/>
    </row>
    <row r="19" spans="1:1" s="128" customFormat="1">
      <c r="A19" s="435"/>
    </row>
    <row r="20" spans="1:1" s="128" customFormat="1">
      <c r="A20" s="435"/>
    </row>
    <row r="21" spans="1:1" s="128" customFormat="1">
      <c r="A21" s="435"/>
    </row>
  </sheetData>
  <mergeCells count="1">
    <mergeCell ref="A1:N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40" sqref="O40"/>
    </sheetView>
  </sheetViews>
  <sheetFormatPr baseColWidth="10" defaultColWidth="11.42578125" defaultRowHeight="15"/>
  <cols>
    <col min="1" max="1" width="46.42578125" style="59" customWidth="1"/>
    <col min="2" max="2" width="13.7109375" style="59" customWidth="1"/>
    <col min="3" max="3" width="13" style="59" customWidth="1"/>
    <col min="4" max="4" width="13.5703125" style="59" customWidth="1"/>
    <col min="5" max="5" width="14.5703125" style="59" customWidth="1"/>
    <col min="6" max="6" width="12.7109375" style="59" customWidth="1"/>
    <col min="7" max="7" width="14.42578125" style="59" customWidth="1"/>
    <col min="8" max="8" width="11.7109375" style="59" customWidth="1"/>
    <col min="9" max="9" width="16.28515625" style="59" customWidth="1"/>
    <col min="10" max="10" width="13.5703125" style="59" customWidth="1"/>
    <col min="11" max="11" width="9.85546875" style="59" customWidth="1"/>
    <col min="12" max="12" width="11.28515625" style="59" customWidth="1"/>
    <col min="13" max="13" width="3.85546875" style="59" customWidth="1"/>
    <col min="14" max="16384" width="11.42578125" style="59"/>
  </cols>
  <sheetData>
    <row r="1" spans="1:13" s="128" customFormat="1" ht="61.5" customHeight="1">
      <c r="A1" s="2572" t="s">
        <v>2007</v>
      </c>
      <c r="B1" s="2573"/>
      <c r="C1" s="2573"/>
      <c r="D1" s="2573"/>
      <c r="E1" s="2573"/>
      <c r="F1" s="2573"/>
      <c r="G1" s="2573"/>
      <c r="H1" s="2573"/>
      <c r="I1" s="2573"/>
      <c r="J1" s="2573"/>
      <c r="K1" s="2573"/>
      <c r="L1" s="2573"/>
    </row>
    <row r="2" spans="1:13" s="58" customFormat="1" ht="3" customHeight="1">
      <c r="A2" s="586"/>
      <c r="B2" s="587"/>
      <c r="C2" s="587"/>
      <c r="D2" s="587"/>
      <c r="E2" s="587"/>
      <c r="F2" s="587"/>
      <c r="G2" s="587"/>
      <c r="H2" s="587"/>
      <c r="I2" s="587"/>
      <c r="J2" s="588"/>
      <c r="K2" s="588"/>
      <c r="L2" s="588"/>
      <c r="M2" s="588"/>
    </row>
    <row r="3" spans="1:13" s="128" customFormat="1" ht="19.5" customHeight="1">
      <c r="A3" s="934" t="s">
        <v>686</v>
      </c>
      <c r="B3" s="1175" t="s">
        <v>468</v>
      </c>
      <c r="C3" s="1175" t="s">
        <v>360</v>
      </c>
      <c r="D3" s="1175" t="s">
        <v>469</v>
      </c>
      <c r="E3" s="1175" t="s">
        <v>1058</v>
      </c>
      <c r="F3" s="1175" t="s">
        <v>1643</v>
      </c>
      <c r="G3" s="1175" t="s">
        <v>1907</v>
      </c>
      <c r="H3" s="1175" t="s">
        <v>167</v>
      </c>
      <c r="I3" s="1175" t="s">
        <v>1039</v>
      </c>
    </row>
    <row r="4" spans="1:13" s="128" customFormat="1" ht="15.75">
      <c r="A4" s="1176" t="s">
        <v>684</v>
      </c>
      <c r="B4" s="676">
        <v>1527</v>
      </c>
      <c r="C4" s="676">
        <v>1611</v>
      </c>
      <c r="D4" s="676">
        <v>1725</v>
      </c>
      <c r="E4" s="676">
        <v>1516</v>
      </c>
      <c r="F4" s="1592">
        <v>1956</v>
      </c>
      <c r="G4" s="1592">
        <v>2469</v>
      </c>
      <c r="H4" s="1177">
        <f>SUM(B4:G4)</f>
        <v>10804</v>
      </c>
      <c r="I4" s="1178">
        <f t="shared" ref="I4:I12" si="0">H4/$H$13</f>
        <v>8.3032962641315128E-2</v>
      </c>
      <c r="J4" s="22"/>
    </row>
    <row r="5" spans="1:13" s="128" customFormat="1" ht="15.75">
      <c r="A5" s="1176" t="s">
        <v>683</v>
      </c>
      <c r="B5" s="676">
        <v>1528</v>
      </c>
      <c r="C5" s="676">
        <v>1780</v>
      </c>
      <c r="D5" s="676">
        <v>2009</v>
      </c>
      <c r="E5" s="676">
        <v>1783</v>
      </c>
      <c r="F5" s="1592">
        <v>2145</v>
      </c>
      <c r="G5" s="1592">
        <v>2774</v>
      </c>
      <c r="H5" s="1177">
        <f t="shared" ref="H5:H12" si="1">SUM(B5:G5)</f>
        <v>12019</v>
      </c>
      <c r="I5" s="1178">
        <f t="shared" si="0"/>
        <v>9.2370712512584829E-2</v>
      </c>
      <c r="J5" s="22"/>
    </row>
    <row r="6" spans="1:13" s="128" customFormat="1" ht="15.75">
      <c r="A6" s="1176" t="s">
        <v>682</v>
      </c>
      <c r="B6" s="676">
        <v>2798</v>
      </c>
      <c r="C6" s="676">
        <v>3344</v>
      </c>
      <c r="D6" s="676">
        <v>4572</v>
      </c>
      <c r="E6" s="676">
        <v>4159</v>
      </c>
      <c r="F6" s="1592">
        <v>5865</v>
      </c>
      <c r="G6" s="1592">
        <v>7155</v>
      </c>
      <c r="H6" s="1177">
        <f t="shared" si="1"/>
        <v>27893</v>
      </c>
      <c r="I6" s="1178">
        <f t="shared" si="0"/>
        <v>0.21436860671549451</v>
      </c>
      <c r="J6" s="22"/>
    </row>
    <row r="7" spans="1:13" s="128" customFormat="1" ht="15.75" customHeight="1">
      <c r="A7" s="1176" t="s">
        <v>681</v>
      </c>
      <c r="B7" s="676">
        <v>104</v>
      </c>
      <c r="C7" s="676">
        <v>94</v>
      </c>
      <c r="D7" s="676">
        <v>107</v>
      </c>
      <c r="E7" s="676">
        <v>94</v>
      </c>
      <c r="F7" s="1592">
        <v>120</v>
      </c>
      <c r="G7" s="1592">
        <v>116</v>
      </c>
      <c r="H7" s="1177">
        <f t="shared" si="1"/>
        <v>635</v>
      </c>
      <c r="I7" s="1178">
        <f t="shared" si="0"/>
        <v>4.8802231837500095E-3</v>
      </c>
      <c r="J7" s="22"/>
    </row>
    <row r="8" spans="1:13" s="128" customFormat="1" ht="16.5" customHeight="1">
      <c r="A8" s="1176" t="s">
        <v>680</v>
      </c>
      <c r="B8" s="676">
        <v>276</v>
      </c>
      <c r="C8" s="676">
        <v>296</v>
      </c>
      <c r="D8" s="676">
        <v>409</v>
      </c>
      <c r="E8" s="676">
        <v>324</v>
      </c>
      <c r="F8" s="1592">
        <v>387</v>
      </c>
      <c r="G8" s="1592">
        <v>411</v>
      </c>
      <c r="H8" s="1177">
        <f t="shared" si="1"/>
        <v>2103</v>
      </c>
      <c r="I8" s="1178">
        <f t="shared" si="0"/>
        <v>1.6162376937679166E-2</v>
      </c>
      <c r="J8" s="22"/>
    </row>
    <row r="9" spans="1:13" s="128" customFormat="1" ht="15.75" customHeight="1">
      <c r="A9" s="1176" t="s">
        <v>679</v>
      </c>
      <c r="B9" s="676">
        <v>292</v>
      </c>
      <c r="C9" s="676">
        <v>295</v>
      </c>
      <c r="D9" s="676">
        <v>343</v>
      </c>
      <c r="E9" s="676">
        <v>302</v>
      </c>
      <c r="F9" s="1592">
        <v>338</v>
      </c>
      <c r="G9" s="1592">
        <v>448</v>
      </c>
      <c r="H9" s="1177">
        <f t="shared" si="1"/>
        <v>2018</v>
      </c>
      <c r="I9" s="1178">
        <f t="shared" si="0"/>
        <v>1.5509118716232314E-2</v>
      </c>
      <c r="J9" s="22"/>
    </row>
    <row r="10" spans="1:13" s="128" customFormat="1" ht="15.75">
      <c r="A10" s="1176" t="s">
        <v>678</v>
      </c>
      <c r="B10" s="676">
        <v>4500</v>
      </c>
      <c r="C10" s="676">
        <v>5147</v>
      </c>
      <c r="D10" s="676">
        <v>7750</v>
      </c>
      <c r="E10" s="676">
        <v>6840</v>
      </c>
      <c r="F10" s="1592">
        <v>8713</v>
      </c>
      <c r="G10" s="1592">
        <v>10975</v>
      </c>
      <c r="H10" s="1177">
        <f t="shared" si="1"/>
        <v>43925</v>
      </c>
      <c r="I10" s="1178">
        <f t="shared" si="0"/>
        <v>0.33758079267121127</v>
      </c>
      <c r="J10" s="22"/>
    </row>
    <row r="11" spans="1:13" s="128" customFormat="1" ht="15.75">
      <c r="A11" s="1176" t="s">
        <v>677</v>
      </c>
      <c r="B11" s="676">
        <v>1700</v>
      </c>
      <c r="C11" s="676">
        <v>2203</v>
      </c>
      <c r="D11" s="676">
        <v>2585</v>
      </c>
      <c r="E11" s="676">
        <v>2428</v>
      </c>
      <c r="F11" s="1592">
        <v>3081</v>
      </c>
      <c r="G11" s="1592">
        <v>3418</v>
      </c>
      <c r="H11" s="1177">
        <f t="shared" si="1"/>
        <v>15415</v>
      </c>
      <c r="I11" s="1178">
        <f t="shared" si="0"/>
        <v>0.1184702998070967</v>
      </c>
    </row>
    <row r="12" spans="1:13" s="128" customFormat="1" ht="18.75" customHeight="1">
      <c r="A12" s="1176" t="s">
        <v>173</v>
      </c>
      <c r="B12" s="676">
        <v>1604</v>
      </c>
      <c r="C12" s="676">
        <v>2101</v>
      </c>
      <c r="D12" s="676">
        <v>1689</v>
      </c>
      <c r="E12" s="676">
        <f>18643-17446</f>
        <v>1197</v>
      </c>
      <c r="F12" s="1593">
        <f>28754-22605</f>
        <v>6149</v>
      </c>
      <c r="G12" s="1592">
        <f>30331-27766</f>
        <v>2565</v>
      </c>
      <c r="H12" s="1177">
        <f t="shared" si="1"/>
        <v>15305</v>
      </c>
      <c r="I12" s="1178">
        <f t="shared" si="0"/>
        <v>0.11762490681463605</v>
      </c>
    </row>
    <row r="13" spans="1:13" s="128" customFormat="1" ht="25.5" customHeight="1">
      <c r="A13" s="934" t="s">
        <v>23</v>
      </c>
      <c r="B13" s="1177">
        <f>SUM(B4:B12)</f>
        <v>14329</v>
      </c>
      <c r="C13" s="1177">
        <f t="shared" ref="C13:H13" si="2">SUM(C4:C12)</f>
        <v>16871</v>
      </c>
      <c r="D13" s="1177">
        <f t="shared" si="2"/>
        <v>21189</v>
      </c>
      <c r="E13" s="1177">
        <f t="shared" si="2"/>
        <v>18643</v>
      </c>
      <c r="F13" s="1177">
        <f t="shared" si="2"/>
        <v>28754</v>
      </c>
      <c r="G13" s="1177">
        <f t="shared" si="2"/>
        <v>30331</v>
      </c>
      <c r="H13" s="1177">
        <f t="shared" si="2"/>
        <v>130117</v>
      </c>
      <c r="I13" s="2083">
        <f>SUM(I4:I12)</f>
        <v>1</v>
      </c>
    </row>
    <row r="14" spans="1:13" s="128" customFormat="1"/>
    <row r="15" spans="1:13" s="128" customFormat="1"/>
    <row r="16" spans="1:13" s="128" customFormat="1"/>
    <row r="17" s="128" customFormat="1"/>
    <row r="18" s="128" customFormat="1"/>
    <row r="19" s="128" customFormat="1"/>
    <row r="20" s="128" customFormat="1"/>
    <row r="21" s="128" customFormat="1"/>
    <row r="22" s="128" customFormat="1"/>
    <row r="23" s="128" customFormat="1"/>
    <row r="24" s="128" customFormat="1"/>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6" tint="-0.499984740745262"/>
  </sheetPr>
  <dimension ref="A1:P63"/>
  <sheetViews>
    <sheetView showGridLines="0" view="pageBreakPreview" zoomScale="55" zoomScaleNormal="40" zoomScaleSheetLayoutView="55" workbookViewId="0">
      <pane ySplit="1" topLeftCell="A2" activePane="bottomLeft" state="frozen"/>
      <selection sqref="A1:B2"/>
      <selection pane="bottomLeft" activeCell="J19" sqref="J19"/>
    </sheetView>
  </sheetViews>
  <sheetFormatPr baseColWidth="10" defaultColWidth="11.5703125" defaultRowHeight="15"/>
  <cols>
    <col min="1" max="1" width="18.7109375" customWidth="1"/>
    <col min="2" max="2" width="20.85546875" customWidth="1"/>
    <col min="3" max="3" width="19.42578125" customWidth="1"/>
    <col min="4" max="4" width="23.7109375" customWidth="1"/>
    <col min="5" max="5" width="15.28515625" bestFit="1" customWidth="1"/>
    <col min="6" max="6" width="15" customWidth="1"/>
    <col min="7" max="7" width="13.85546875" customWidth="1"/>
    <col min="8" max="8" width="12.85546875" customWidth="1"/>
    <col min="9" max="9" width="13.85546875" customWidth="1"/>
    <col min="10" max="10" width="14.140625" customWidth="1"/>
    <col min="11" max="11" width="12.140625" customWidth="1"/>
    <col min="12" max="12" width="39.28515625" customWidth="1"/>
    <col min="13" max="13" width="15.42578125" bestFit="1" customWidth="1"/>
    <col min="16" max="16" width="17.5703125" customWidth="1"/>
  </cols>
  <sheetData>
    <row r="1" spans="1:16" ht="146.25" customHeight="1">
      <c r="A1" s="2229" t="s">
        <v>1910</v>
      </c>
      <c r="B1" s="2229"/>
      <c r="C1" s="2229"/>
      <c r="D1" s="2229"/>
      <c r="E1" s="2229"/>
      <c r="F1" s="2229"/>
      <c r="G1" s="2229"/>
      <c r="H1" s="2229"/>
      <c r="I1" s="2229"/>
      <c r="J1" s="2229"/>
      <c r="K1" s="2229"/>
      <c r="L1" s="2229"/>
      <c r="M1" s="2229"/>
      <c r="N1" s="2229"/>
      <c r="O1" s="2229"/>
      <c r="P1" s="2229"/>
    </row>
    <row r="2" spans="1:16" ht="29.25" customHeight="1">
      <c r="A2" s="2230" t="s">
        <v>1886</v>
      </c>
      <c r="B2" s="2230"/>
      <c r="C2" s="2230"/>
      <c r="D2" s="2230"/>
      <c r="E2" s="2230"/>
      <c r="F2" s="2230"/>
      <c r="G2" s="2230"/>
      <c r="H2" s="2230"/>
      <c r="I2" s="2230"/>
      <c r="J2" s="2230"/>
      <c r="K2" s="2230"/>
      <c r="L2" s="2230"/>
      <c r="M2" s="2230"/>
      <c r="N2" s="2230"/>
      <c r="O2" s="2230"/>
      <c r="P2" s="2230"/>
    </row>
    <row r="3" spans="1:16" ht="34.5" customHeight="1">
      <c r="A3" s="2231"/>
      <c r="B3" s="2231"/>
      <c r="C3" s="2231"/>
      <c r="D3" s="2231"/>
      <c r="E3" s="2231"/>
      <c r="F3" s="2231"/>
      <c r="G3" s="2231"/>
      <c r="H3" s="2231"/>
      <c r="I3" s="2231"/>
      <c r="J3" s="2231"/>
      <c r="K3" s="2231"/>
      <c r="L3" s="2231"/>
      <c r="M3" s="2231"/>
      <c r="N3" s="2231"/>
      <c r="O3" s="2231"/>
      <c r="P3" s="2231"/>
    </row>
    <row r="4" spans="1:16" ht="24.75" customHeight="1">
      <c r="A4" s="2231"/>
      <c r="B4" s="2231"/>
      <c r="C4" s="2231"/>
      <c r="D4" s="2231"/>
      <c r="E4" s="2231"/>
      <c r="F4" s="2231"/>
      <c r="G4" s="2231"/>
      <c r="H4" s="2231"/>
      <c r="I4" s="2231"/>
      <c r="J4" s="2231"/>
      <c r="K4" s="2231"/>
      <c r="L4" s="2231"/>
      <c r="M4" s="2231"/>
      <c r="N4" s="2231"/>
      <c r="O4" s="2231"/>
      <c r="P4" s="2231"/>
    </row>
    <row r="5" spans="1:16" ht="30.75" customHeight="1">
      <c r="A5" s="2228" t="s">
        <v>24</v>
      </c>
      <c r="B5" s="2228"/>
      <c r="C5" s="2228"/>
      <c r="D5" s="2228"/>
      <c r="E5" s="27"/>
      <c r="F5" s="102"/>
      <c r="G5" s="102"/>
      <c r="H5" s="102"/>
      <c r="I5" s="102"/>
      <c r="J5" s="102"/>
      <c r="K5" s="102"/>
      <c r="L5" s="102"/>
      <c r="M5" s="102"/>
      <c r="N5" s="102"/>
      <c r="O5" s="102"/>
    </row>
    <row r="6" spans="1:16" ht="59.25" customHeight="1">
      <c r="A6" s="925" t="s">
        <v>25</v>
      </c>
      <c r="B6" s="926" t="s">
        <v>38</v>
      </c>
      <c r="C6" s="926" t="s">
        <v>37</v>
      </c>
      <c r="D6" s="2054" t="s">
        <v>237</v>
      </c>
      <c r="F6" s="102"/>
      <c r="G6" s="200"/>
      <c r="H6" s="102"/>
      <c r="I6" s="102"/>
      <c r="J6" s="102"/>
      <c r="K6" s="102"/>
      <c r="L6" s="102"/>
      <c r="M6" s="102"/>
      <c r="N6" s="102"/>
      <c r="O6" s="102"/>
    </row>
    <row r="7" spans="1:16" ht="18.75" hidden="1">
      <c r="A7" s="925" t="s">
        <v>28</v>
      </c>
      <c r="B7" s="927">
        <v>8742318</v>
      </c>
      <c r="C7" s="927">
        <v>1039738</v>
      </c>
      <c r="D7" s="928">
        <f>+C7/B7</f>
        <v>0.11893161516201996</v>
      </c>
      <c r="F7" s="102"/>
      <c r="G7" s="200"/>
      <c r="H7" s="102"/>
      <c r="I7" s="102"/>
      <c r="J7" s="102"/>
      <c r="K7" s="102"/>
      <c r="L7" s="102"/>
      <c r="M7" s="102"/>
      <c r="N7" s="102"/>
      <c r="O7" s="102"/>
    </row>
    <row r="8" spans="1:16" ht="18.75" hidden="1">
      <c r="A8" s="925" t="s">
        <v>29</v>
      </c>
      <c r="B8" s="927">
        <v>8855026</v>
      </c>
      <c r="C8" s="927">
        <v>1254915</v>
      </c>
      <c r="D8" s="928">
        <f t="shared" ref="D8:D26" si="0">+C8/B8</f>
        <v>0.14171782217240242</v>
      </c>
      <c r="F8" s="199"/>
      <c r="G8" s="200"/>
      <c r="H8" s="102"/>
      <c r="I8" s="102"/>
      <c r="J8" s="102"/>
      <c r="K8" s="102"/>
      <c r="L8" s="102"/>
      <c r="M8" s="102"/>
      <c r="N8" s="102"/>
      <c r="O8" s="102"/>
    </row>
    <row r="9" spans="1:16" ht="18.75">
      <c r="A9" s="925" t="s">
        <v>30</v>
      </c>
      <c r="B9" s="927">
        <v>8968144</v>
      </c>
      <c r="C9" s="927">
        <v>1687712</v>
      </c>
      <c r="D9" s="928">
        <v>0.18818966332387169</v>
      </c>
      <c r="F9" s="199"/>
      <c r="G9" s="200"/>
      <c r="H9" s="102"/>
      <c r="I9" s="102"/>
      <c r="J9" s="102"/>
      <c r="K9" s="102"/>
      <c r="L9" s="102"/>
      <c r="M9" s="102"/>
      <c r="N9" s="102"/>
      <c r="O9" s="102"/>
    </row>
    <row r="10" spans="1:16" ht="18.75">
      <c r="A10" s="925" t="s">
        <v>31</v>
      </c>
      <c r="B10" s="927">
        <v>9072308</v>
      </c>
      <c r="C10" s="927">
        <v>2102527</v>
      </c>
      <c r="D10" s="928">
        <v>0.23175216273521579</v>
      </c>
      <c r="F10" s="199"/>
      <c r="G10" s="200"/>
      <c r="H10" s="102"/>
      <c r="I10" s="102"/>
      <c r="J10" s="102"/>
      <c r="K10" s="102"/>
      <c r="L10" s="102"/>
      <c r="M10" s="102"/>
      <c r="N10" s="102"/>
      <c r="O10" s="102"/>
    </row>
    <row r="11" spans="1:16" ht="18.75">
      <c r="A11" s="925" t="s">
        <v>32</v>
      </c>
      <c r="B11" s="927">
        <v>9175265</v>
      </c>
      <c r="C11" s="927">
        <v>2449608</v>
      </c>
      <c r="D11" s="928">
        <v>0.26697953683081632</v>
      </c>
      <c r="F11" s="199"/>
      <c r="G11" s="200"/>
      <c r="H11" s="102"/>
      <c r="I11" s="199"/>
      <c r="J11" s="102"/>
      <c r="K11" s="102"/>
      <c r="L11" s="102"/>
      <c r="M11" s="102"/>
      <c r="N11" s="102"/>
      <c r="O11" s="102"/>
    </row>
    <row r="12" spans="1:16" ht="18.75">
      <c r="A12" s="925" t="s">
        <v>33</v>
      </c>
      <c r="B12" s="927">
        <v>9277181</v>
      </c>
      <c r="C12" s="927">
        <v>2934940</v>
      </c>
      <c r="D12" s="928">
        <v>0.31636118773580035</v>
      </c>
      <c r="F12" s="199"/>
      <c r="G12" s="200"/>
      <c r="H12" s="199"/>
      <c r="I12" s="201"/>
      <c r="J12" s="102"/>
      <c r="K12" s="102"/>
      <c r="L12" s="102"/>
      <c r="M12" s="102"/>
      <c r="N12" s="102"/>
      <c r="O12" s="102"/>
    </row>
    <row r="13" spans="1:16" ht="18.75">
      <c r="A13" s="925" t="s">
        <v>34</v>
      </c>
      <c r="B13" s="927">
        <v>9378455</v>
      </c>
      <c r="C13" s="927">
        <v>3521433</v>
      </c>
      <c r="D13" s="928">
        <v>0.3754811426828833</v>
      </c>
      <c r="F13" s="199"/>
      <c r="G13" s="200"/>
      <c r="H13" s="199"/>
      <c r="I13" s="102"/>
      <c r="J13" s="102"/>
      <c r="K13" s="102"/>
      <c r="L13" s="102"/>
      <c r="M13" s="102"/>
      <c r="N13" s="102"/>
      <c r="O13" s="102"/>
    </row>
    <row r="14" spans="1:16" ht="18.75">
      <c r="A14" s="925" t="s">
        <v>359</v>
      </c>
      <c r="B14" s="927">
        <v>9478612</v>
      </c>
      <c r="C14" s="927">
        <v>4414548</v>
      </c>
      <c r="D14" s="928">
        <v>0.46573781055707314</v>
      </c>
      <c r="F14" s="199"/>
      <c r="G14" s="200"/>
      <c r="H14" s="199"/>
      <c r="I14" s="102"/>
      <c r="J14" s="102"/>
      <c r="K14" s="102"/>
      <c r="L14" s="102"/>
      <c r="M14" s="102"/>
      <c r="N14" s="102"/>
      <c r="O14" s="102"/>
    </row>
    <row r="15" spans="1:16" ht="18.75">
      <c r="A15" s="925" t="s">
        <v>477</v>
      </c>
      <c r="B15" s="927">
        <v>9579983</v>
      </c>
      <c r="C15" s="927">
        <v>4564572</v>
      </c>
      <c r="D15" s="928">
        <v>0.47646973903815903</v>
      </c>
      <c r="F15" s="305"/>
      <c r="G15" s="200"/>
      <c r="H15" s="103"/>
      <c r="I15" s="103"/>
      <c r="J15" s="103"/>
      <c r="K15" s="103"/>
      <c r="L15" s="103"/>
      <c r="M15" s="103"/>
      <c r="N15" s="103"/>
      <c r="O15" s="103"/>
    </row>
    <row r="16" spans="1:16" ht="18.75">
      <c r="A16" s="925" t="s">
        <v>39</v>
      </c>
      <c r="B16" s="927">
        <v>9680534</v>
      </c>
      <c r="C16" s="929">
        <v>5054406</v>
      </c>
      <c r="D16" s="928">
        <v>0.52212057723261962</v>
      </c>
      <c r="F16" s="103"/>
      <c r="G16" s="200"/>
      <c r="H16" s="103"/>
      <c r="I16" s="103"/>
      <c r="J16" s="103"/>
      <c r="K16" s="103"/>
      <c r="L16" s="103"/>
      <c r="M16" s="103"/>
      <c r="N16" s="103"/>
      <c r="O16" s="103"/>
    </row>
    <row r="17" spans="1:15" ht="18.75">
      <c r="A17" s="925" t="s">
        <v>40</v>
      </c>
      <c r="B17" s="2109">
        <v>9780743</v>
      </c>
      <c r="C17" s="2109">
        <v>5638332</v>
      </c>
      <c r="D17" s="928">
        <v>0.57647276899106747</v>
      </c>
      <c r="F17" s="103"/>
      <c r="G17" s="200"/>
      <c r="H17" s="103"/>
      <c r="I17" s="103"/>
      <c r="J17" s="103"/>
      <c r="K17" s="103"/>
      <c r="L17" s="103"/>
      <c r="M17" s="103"/>
      <c r="N17" s="103"/>
      <c r="O17" s="103"/>
    </row>
    <row r="18" spans="1:15" ht="18.75">
      <c r="A18" s="925" t="s">
        <v>41</v>
      </c>
      <c r="B18" s="2109">
        <v>9880505</v>
      </c>
      <c r="C18" s="2109">
        <v>6187615</v>
      </c>
      <c r="D18" s="2121">
        <v>0.6262448123856017</v>
      </c>
      <c r="F18" s="103"/>
      <c r="G18" s="200"/>
      <c r="H18" s="103"/>
      <c r="I18" s="103"/>
      <c r="J18" s="103"/>
      <c r="K18" s="103"/>
      <c r="L18" s="103"/>
      <c r="M18" s="103"/>
      <c r="N18" s="103"/>
      <c r="O18" s="103"/>
    </row>
    <row r="19" spans="1:15" ht="18.75">
      <c r="A19" s="930" t="s">
        <v>42</v>
      </c>
      <c r="B19" s="1034">
        <v>9980243</v>
      </c>
      <c r="C19" s="1034">
        <v>6794001.2700000005</v>
      </c>
      <c r="D19" s="2110">
        <v>0.680745075044766</v>
      </c>
      <c r="F19" s="103"/>
      <c r="G19" s="200"/>
      <c r="H19" s="103"/>
      <c r="I19" s="103"/>
      <c r="J19" s="103"/>
      <c r="K19" s="103"/>
      <c r="L19" s="103"/>
      <c r="M19" s="103"/>
      <c r="N19" s="103"/>
      <c r="O19" s="103"/>
    </row>
    <row r="20" spans="1:15" ht="18.75">
      <c r="A20" s="930" t="s">
        <v>43</v>
      </c>
      <c r="B20" s="1034">
        <v>10075780</v>
      </c>
      <c r="C20" s="1034">
        <v>7459813.394460001</v>
      </c>
      <c r="D20" s="1035">
        <v>0.74037080945197309</v>
      </c>
      <c r="F20" s="103"/>
      <c r="G20" s="103"/>
      <c r="H20" s="103"/>
      <c r="I20" s="103"/>
      <c r="J20" s="103"/>
      <c r="K20" s="103"/>
      <c r="L20" s="103"/>
      <c r="M20" s="103"/>
      <c r="N20" s="103"/>
      <c r="O20" s="103"/>
    </row>
    <row r="21" spans="1:15" ht="18.75">
      <c r="A21" s="930" t="s">
        <v>44</v>
      </c>
      <c r="B21" s="1034">
        <v>10170498</v>
      </c>
      <c r="C21" s="1034">
        <v>8190875.107117082</v>
      </c>
      <c r="D21" s="1035">
        <v>0.80535634608227469</v>
      </c>
      <c r="F21" s="103"/>
      <c r="G21" s="103"/>
      <c r="H21" s="103"/>
      <c r="I21" s="103"/>
      <c r="J21" s="103"/>
      <c r="K21" s="103"/>
      <c r="L21" s="103"/>
      <c r="M21" s="103"/>
      <c r="N21" s="103"/>
      <c r="O21" s="103"/>
    </row>
    <row r="22" spans="1:15" ht="18.75">
      <c r="A22" s="930" t="s">
        <v>45</v>
      </c>
      <c r="B22" s="1034">
        <v>10264384</v>
      </c>
      <c r="C22" s="1034">
        <v>8993580.8676145561</v>
      </c>
      <c r="D22" s="1035">
        <v>0.87619294714758877</v>
      </c>
      <c r="F22" s="103"/>
      <c r="G22" s="103"/>
      <c r="H22" s="103"/>
      <c r="I22" s="103"/>
      <c r="J22" s="103"/>
      <c r="K22" s="103"/>
      <c r="L22" s="103"/>
      <c r="M22" s="103"/>
      <c r="N22" s="103"/>
      <c r="O22" s="103"/>
    </row>
    <row r="23" spans="1:15" s="128" customFormat="1" ht="18.75">
      <c r="A23" s="930" t="s">
        <v>483</v>
      </c>
      <c r="B23" s="1034">
        <v>10357021</v>
      </c>
      <c r="C23" s="1034">
        <v>9874951.7926407829</v>
      </c>
      <c r="D23" s="1035">
        <v>0.95345483924777041</v>
      </c>
      <c r="F23" s="103"/>
      <c r="G23" s="103"/>
      <c r="H23" s="103"/>
      <c r="I23" s="103"/>
      <c r="J23" s="103"/>
      <c r="K23" s="103"/>
      <c r="L23" s="148"/>
    </row>
    <row r="24" spans="1:15" s="128" customFormat="1" ht="18.75">
      <c r="A24" s="930" t="s">
        <v>484</v>
      </c>
      <c r="B24" s="1034">
        <v>10448497</v>
      </c>
      <c r="C24" s="1034">
        <v>10842697.06831958</v>
      </c>
      <c r="D24" s="1036">
        <v>1.0377279208980563</v>
      </c>
      <c r="F24" s="103"/>
      <c r="G24" s="103"/>
      <c r="H24" s="103"/>
      <c r="I24" s="103"/>
      <c r="J24" s="103"/>
      <c r="K24" s="103"/>
      <c r="L24" s="148"/>
    </row>
    <row r="25" spans="1:15" s="128" customFormat="1" ht="18.75" hidden="1">
      <c r="A25" s="642" t="s">
        <v>485</v>
      </c>
      <c r="B25" s="643">
        <v>10536881</v>
      </c>
      <c r="C25" s="644">
        <f>B24*1.025</f>
        <v>10709709.424999999</v>
      </c>
      <c r="D25" s="924">
        <f t="shared" si="0"/>
        <v>1.016402237531201</v>
      </c>
      <c r="E25" s="259"/>
      <c r="F25" s="103"/>
      <c r="G25" s="103"/>
      <c r="H25" s="103"/>
      <c r="I25" s="103"/>
      <c r="J25" s="103"/>
      <c r="K25" s="103"/>
      <c r="L25" s="148"/>
    </row>
    <row r="26" spans="1:15" ht="17.25" hidden="1" customHeight="1">
      <c r="B26" s="248">
        <v>1.0980000000000001</v>
      </c>
      <c r="D26" s="924">
        <f t="shared" si="0"/>
        <v>0</v>
      </c>
      <c r="E26" s="1"/>
      <c r="F26" s="1"/>
      <c r="G26" s="1"/>
      <c r="H26" s="1"/>
      <c r="I26" s="1"/>
      <c r="J26" s="1"/>
      <c r="K26" s="1"/>
    </row>
    <row r="27" spans="1:15">
      <c r="B27" s="1"/>
      <c r="D27" s="1"/>
      <c r="E27" s="1"/>
      <c r="F27" s="1"/>
      <c r="G27" s="1"/>
      <c r="H27" s="1"/>
      <c r="I27" s="1"/>
      <c r="J27" s="1"/>
      <c r="K27" s="1"/>
    </row>
    <row r="28" spans="1:15">
      <c r="B28" s="1"/>
      <c r="D28" s="1"/>
      <c r="E28" s="1"/>
      <c r="F28" s="1"/>
      <c r="H28" s="1"/>
      <c r="I28" s="1"/>
      <c r="J28" s="1"/>
      <c r="K28" s="1"/>
    </row>
    <row r="29" spans="1:15">
      <c r="B29" s="1"/>
      <c r="C29" s="1"/>
      <c r="D29" s="1"/>
      <c r="E29" s="1"/>
      <c r="F29" s="1"/>
      <c r="G29" s="1"/>
      <c r="H29" s="1"/>
      <c r="I29" s="1"/>
      <c r="J29" s="1"/>
      <c r="K29" s="1"/>
    </row>
    <row r="30" spans="1:15" ht="15.75">
      <c r="B30" s="1"/>
      <c r="C30" s="1"/>
      <c r="D30" s="1"/>
      <c r="E30" s="1"/>
      <c r="F30" s="338">
        <f>+[2]Proyección!$D$178</f>
        <v>11217488.195331346</v>
      </c>
      <c r="G30" s="1"/>
      <c r="H30" s="1"/>
      <c r="I30" s="1"/>
      <c r="J30" s="1"/>
      <c r="K30" s="1"/>
    </row>
    <row r="31" spans="1:15">
      <c r="B31" s="1"/>
      <c r="C31" s="1"/>
      <c r="D31" s="1"/>
      <c r="E31" s="1"/>
      <c r="F31" s="1"/>
      <c r="G31" s="1"/>
      <c r="H31" s="1"/>
      <c r="I31" s="1"/>
      <c r="J31" s="1"/>
      <c r="K31" s="1"/>
    </row>
    <row r="32" spans="1:15">
      <c r="B32" s="1"/>
      <c r="C32" s="1"/>
      <c r="D32" s="1"/>
      <c r="E32" s="1"/>
      <c r="F32" s="1"/>
      <c r="G32" s="1"/>
      <c r="H32" s="1"/>
      <c r="I32" s="1"/>
      <c r="J32" s="1"/>
      <c r="K32" s="1"/>
    </row>
    <row r="33" spans="2:11">
      <c r="B33" s="1"/>
      <c r="C33" s="1"/>
      <c r="D33" s="1"/>
      <c r="E33" s="1"/>
      <c r="F33" s="1"/>
      <c r="G33" s="1"/>
      <c r="H33" s="1"/>
      <c r="I33" s="1"/>
      <c r="J33" s="1"/>
      <c r="K33" s="1"/>
    </row>
    <row r="34" spans="2:11">
      <c r="B34" s="1"/>
      <c r="C34" s="1"/>
      <c r="D34" s="1"/>
      <c r="E34" s="1"/>
      <c r="F34" s="1"/>
      <c r="G34" s="1"/>
      <c r="H34" s="1"/>
      <c r="I34" s="1"/>
      <c r="J34" s="1"/>
      <c r="K34" s="1"/>
    </row>
    <row r="35" spans="2:11">
      <c r="B35" s="1"/>
      <c r="C35" s="1"/>
      <c r="D35" s="1"/>
      <c r="E35" s="1"/>
      <c r="F35" s="1"/>
      <c r="G35" s="1"/>
      <c r="H35" s="1"/>
      <c r="I35" s="1"/>
      <c r="J35" s="1"/>
      <c r="K35" s="1"/>
    </row>
    <row r="36" spans="2:11">
      <c r="B36" s="1"/>
      <c r="C36" s="1"/>
      <c r="D36" s="1"/>
      <c r="E36" s="1"/>
      <c r="F36" s="1"/>
      <c r="G36" s="1"/>
      <c r="H36" s="1"/>
      <c r="I36" s="1"/>
      <c r="J36" s="1"/>
      <c r="K36" s="1"/>
    </row>
    <row r="37" spans="2:11">
      <c r="B37" s="1"/>
      <c r="C37" s="1"/>
      <c r="D37" s="1"/>
      <c r="E37" s="1"/>
      <c r="F37" s="1"/>
      <c r="G37" s="1"/>
      <c r="H37" s="1"/>
      <c r="I37" s="1"/>
      <c r="J37" s="1"/>
      <c r="K37" s="1"/>
    </row>
    <row r="38" spans="2:11">
      <c r="B38" s="1"/>
      <c r="C38" s="1"/>
      <c r="D38" s="1"/>
      <c r="E38" s="1"/>
      <c r="F38" s="1"/>
      <c r="G38" s="1"/>
      <c r="H38" s="1"/>
      <c r="I38" s="1"/>
      <c r="J38" s="1"/>
      <c r="K38" s="1"/>
    </row>
    <row r="39" spans="2:11">
      <c r="B39" s="1"/>
      <c r="C39" s="1"/>
      <c r="D39" s="1"/>
      <c r="E39" s="1"/>
      <c r="F39" s="1"/>
      <c r="G39" s="1"/>
      <c r="H39" s="1"/>
      <c r="I39" s="1"/>
      <c r="J39" s="1"/>
      <c r="K39" s="1"/>
    </row>
    <row r="40" spans="2:11">
      <c r="B40" s="1"/>
      <c r="C40" s="1"/>
      <c r="D40" s="1"/>
      <c r="E40" s="1"/>
      <c r="F40" s="1"/>
      <c r="G40" s="1"/>
      <c r="H40" s="1"/>
      <c r="I40" s="1"/>
      <c r="J40" s="1"/>
      <c r="K40" s="1"/>
    </row>
    <row r="41" spans="2:11">
      <c r="B41" s="1"/>
      <c r="C41" s="1"/>
      <c r="D41" s="1"/>
      <c r="E41" s="1"/>
      <c r="F41" s="1"/>
      <c r="G41" s="1"/>
      <c r="H41" s="1"/>
      <c r="I41" s="1"/>
      <c r="J41" s="1"/>
      <c r="K41" s="1"/>
    </row>
    <row r="42" spans="2:11">
      <c r="B42" s="1"/>
      <c r="C42" s="1"/>
      <c r="D42" s="1"/>
      <c r="E42" s="1"/>
      <c r="F42" s="1"/>
      <c r="G42" s="1"/>
      <c r="H42" s="1"/>
      <c r="I42" s="1"/>
      <c r="J42" s="1"/>
      <c r="K42" s="1"/>
    </row>
    <row r="43" spans="2:11">
      <c r="B43" s="1"/>
      <c r="C43" s="1"/>
      <c r="D43" s="1"/>
      <c r="E43" s="1"/>
      <c r="F43" s="1"/>
      <c r="G43" s="1"/>
      <c r="H43" s="1"/>
      <c r="I43" s="1"/>
      <c r="J43" s="1"/>
      <c r="K43" s="1"/>
    </row>
    <row r="44" spans="2:11">
      <c r="B44" s="1"/>
      <c r="C44" s="1"/>
      <c r="D44" s="1"/>
      <c r="E44" s="1"/>
      <c r="F44" s="1"/>
      <c r="G44" s="1"/>
      <c r="H44" s="1"/>
      <c r="I44" s="1"/>
      <c r="J44" s="1"/>
      <c r="K44" s="1"/>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c r="E52" s="1"/>
      <c r="F52" s="1"/>
      <c r="G52" s="1"/>
      <c r="H52" s="1"/>
      <c r="I52" s="1"/>
      <c r="J52" s="1"/>
      <c r="K52" s="1"/>
    </row>
    <row r="53" spans="2:11">
      <c r="B53" s="1"/>
      <c r="C53" s="1"/>
      <c r="D53" s="1"/>
      <c r="E53" s="1"/>
      <c r="F53" s="1"/>
      <c r="G53" s="1"/>
      <c r="H53" s="1"/>
      <c r="I53" s="1"/>
      <c r="J53" s="1"/>
      <c r="K53" s="1"/>
    </row>
    <row r="54" spans="2:11">
      <c r="B54" s="1"/>
      <c r="C54" s="1"/>
      <c r="D54" s="1"/>
      <c r="E54" s="1"/>
      <c r="F54" s="1"/>
      <c r="G54" s="1"/>
      <c r="H54" s="1"/>
      <c r="I54" s="1"/>
      <c r="J54" s="1"/>
      <c r="K54" s="1"/>
    </row>
    <row r="55" spans="2:11">
      <c r="B55" s="1"/>
      <c r="C55" s="1"/>
      <c r="D55" s="1"/>
      <c r="E55" s="1"/>
      <c r="F55" s="1"/>
      <c r="G55" s="1"/>
      <c r="H55" s="1"/>
      <c r="I55" s="1"/>
      <c r="J55" s="1"/>
      <c r="K55" s="1"/>
    </row>
    <row r="56" spans="2:11">
      <c r="B56" s="1"/>
      <c r="C56" s="1"/>
      <c r="D56" s="1"/>
      <c r="E56" s="1"/>
      <c r="F56" s="1"/>
      <c r="G56" s="1"/>
      <c r="H56" s="1"/>
      <c r="I56" s="1"/>
      <c r="J56" s="1"/>
      <c r="K56" s="1"/>
    </row>
    <row r="57" spans="2:11">
      <c r="B57" s="1"/>
      <c r="C57" s="1"/>
      <c r="D57" s="1"/>
      <c r="E57" s="1"/>
      <c r="F57" s="1"/>
      <c r="G57" s="1"/>
      <c r="H57" s="1"/>
      <c r="I57" s="1"/>
      <c r="J57" s="1"/>
      <c r="K57" s="1"/>
    </row>
    <row r="63" spans="2:11" ht="36.75" customHeight="1"/>
  </sheetData>
  <mergeCells count="3">
    <mergeCell ref="A5:D5"/>
    <mergeCell ref="A1:P1"/>
    <mergeCell ref="A2:P4"/>
  </mergeCells>
  <printOptions horizontalCentered="1" verticalCentered="1"/>
  <pageMargins left="0.39370078740157483" right="0.39370078740157483" top="0.23622047244094491" bottom="0.19" header="0.24" footer="0.18"/>
  <pageSetup scale="43"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42" sqref="N42"/>
    </sheetView>
  </sheetViews>
  <sheetFormatPr baseColWidth="10" defaultColWidth="11.42578125" defaultRowHeight="15"/>
  <cols>
    <col min="1" max="1" width="42" style="59" customWidth="1"/>
    <col min="2" max="3" width="13.42578125" style="59" customWidth="1"/>
    <col min="4" max="4" width="12.5703125" style="59" customWidth="1"/>
    <col min="5" max="5" width="13.5703125" style="59" customWidth="1"/>
    <col min="6" max="6" width="14.5703125" style="59" customWidth="1"/>
    <col min="7" max="7" width="15.42578125" style="59" customWidth="1"/>
    <col min="8" max="8" width="14" style="59" customWidth="1"/>
    <col min="9" max="9" width="19.5703125" style="59" customWidth="1"/>
    <col min="10" max="11" width="11.42578125" style="59" customWidth="1"/>
    <col min="12" max="16384" width="11.42578125" style="59"/>
  </cols>
  <sheetData>
    <row r="1" spans="1:12" s="128" customFormat="1" ht="77.25" customHeight="1">
      <c r="A1" s="2574" t="s">
        <v>2008</v>
      </c>
      <c r="B1" s="2574"/>
      <c r="C1" s="2574"/>
      <c r="D1" s="2574"/>
      <c r="E1" s="2574"/>
      <c r="F1" s="2574"/>
      <c r="G1" s="2574"/>
      <c r="H1" s="2574"/>
      <c r="I1" s="2574"/>
      <c r="J1" s="2574"/>
      <c r="K1" s="2574"/>
      <c r="L1" s="2574"/>
    </row>
    <row r="2" spans="1:12" s="128" customFormat="1" ht="3" customHeight="1">
      <c r="A2" s="2575"/>
      <c r="B2" s="2576"/>
      <c r="C2" s="2576"/>
      <c r="D2" s="2576"/>
      <c r="E2" s="2576"/>
      <c r="F2" s="2576"/>
      <c r="G2" s="2576"/>
      <c r="H2" s="2576"/>
      <c r="I2" s="2576"/>
      <c r="J2" s="2576"/>
      <c r="K2" s="2576"/>
      <c r="L2" s="2576"/>
    </row>
    <row r="3" spans="1:12" s="128" customFormat="1" ht="18.75" customHeight="1">
      <c r="A3" s="1142" t="s">
        <v>686</v>
      </c>
      <c r="B3" s="934" t="s">
        <v>468</v>
      </c>
      <c r="C3" s="934" t="s">
        <v>360</v>
      </c>
      <c r="D3" s="934" t="s">
        <v>469</v>
      </c>
      <c r="E3" s="934" t="s">
        <v>1058</v>
      </c>
      <c r="F3" s="934" t="s">
        <v>1643</v>
      </c>
      <c r="G3" s="934" t="s">
        <v>1907</v>
      </c>
      <c r="H3" s="934" t="s">
        <v>167</v>
      </c>
      <c r="I3" s="934" t="s">
        <v>685</v>
      </c>
    </row>
    <row r="4" spans="1:12" s="128" customFormat="1" ht="16.5" customHeight="1">
      <c r="A4" s="1179" t="s">
        <v>694</v>
      </c>
      <c r="B4" s="452">
        <v>2805</v>
      </c>
      <c r="C4" s="452">
        <v>3727</v>
      </c>
      <c r="D4" s="452">
        <v>4775</v>
      </c>
      <c r="E4" s="452">
        <v>4242</v>
      </c>
      <c r="F4" s="1584">
        <v>5649</v>
      </c>
      <c r="G4" s="1584">
        <v>7364</v>
      </c>
      <c r="H4" s="1170">
        <f>SUM(B4:G4)</f>
        <v>28562</v>
      </c>
      <c r="I4" s="1178">
        <f>H4/$H$12</f>
        <v>0.21951013318782325</v>
      </c>
      <c r="J4" s="22"/>
    </row>
    <row r="5" spans="1:12" s="128" customFormat="1" ht="15.75">
      <c r="A5" s="1179" t="s">
        <v>693</v>
      </c>
      <c r="B5" s="452">
        <v>81</v>
      </c>
      <c r="C5" s="452">
        <v>107</v>
      </c>
      <c r="D5" s="452">
        <v>174</v>
      </c>
      <c r="E5" s="452">
        <v>169</v>
      </c>
      <c r="F5" s="1584">
        <v>220</v>
      </c>
      <c r="G5" s="1584">
        <v>274</v>
      </c>
      <c r="H5" s="1170">
        <f t="shared" ref="H5:H11" si="0">SUM(B5:G5)</f>
        <v>1025</v>
      </c>
      <c r="I5" s="1178">
        <f t="shared" ref="I5:I11" si="1">H5/$H$12</f>
        <v>7.8775256115649755E-3</v>
      </c>
      <c r="J5" s="22"/>
    </row>
    <row r="6" spans="1:12" s="128" customFormat="1" ht="15.75">
      <c r="A6" s="1179" t="s">
        <v>692</v>
      </c>
      <c r="B6" s="452">
        <v>3659</v>
      </c>
      <c r="C6" s="452">
        <v>4591</v>
      </c>
      <c r="D6" s="452">
        <v>5297</v>
      </c>
      <c r="E6" s="452">
        <v>4795</v>
      </c>
      <c r="F6" s="1584">
        <v>5370</v>
      </c>
      <c r="G6" s="1584">
        <v>6041</v>
      </c>
      <c r="H6" s="1170">
        <f t="shared" si="0"/>
        <v>29753</v>
      </c>
      <c r="I6" s="1178">
        <f t="shared" si="1"/>
        <v>0.22866343367891975</v>
      </c>
      <c r="J6" s="22"/>
    </row>
    <row r="7" spans="1:12" s="128" customFormat="1" ht="15.75">
      <c r="A7" s="1179" t="s">
        <v>691</v>
      </c>
      <c r="B7" s="452">
        <v>1851</v>
      </c>
      <c r="C7" s="452">
        <v>1583</v>
      </c>
      <c r="D7" s="452">
        <v>1961</v>
      </c>
      <c r="E7" s="452">
        <v>1806</v>
      </c>
      <c r="F7" s="1584">
        <v>2250</v>
      </c>
      <c r="G7" s="1584">
        <v>2625</v>
      </c>
      <c r="H7" s="1170">
        <f t="shared" si="0"/>
        <v>12076</v>
      </c>
      <c r="I7" s="1178">
        <f t="shared" si="1"/>
        <v>9.2808779790496246E-2</v>
      </c>
      <c r="J7" s="22"/>
    </row>
    <row r="8" spans="1:12" s="128" customFormat="1" ht="15.75">
      <c r="A8" s="1179" t="s">
        <v>690</v>
      </c>
      <c r="B8" s="452">
        <v>542</v>
      </c>
      <c r="C8" s="452">
        <v>772</v>
      </c>
      <c r="D8" s="452">
        <v>743</v>
      </c>
      <c r="E8" s="452">
        <v>617</v>
      </c>
      <c r="F8" s="1584">
        <v>804</v>
      </c>
      <c r="G8" s="1584">
        <v>927</v>
      </c>
      <c r="H8" s="1170">
        <f t="shared" si="0"/>
        <v>4405</v>
      </c>
      <c r="I8" s="1178">
        <f t="shared" si="1"/>
        <v>3.3854146652628023E-2</v>
      </c>
      <c r="J8" s="22"/>
    </row>
    <row r="9" spans="1:12" s="128" customFormat="1" ht="15.75">
      <c r="A9" s="1179" t="s">
        <v>689</v>
      </c>
      <c r="B9" s="452">
        <v>3092</v>
      </c>
      <c r="C9" s="452">
        <v>3398</v>
      </c>
      <c r="D9" s="452">
        <v>5619</v>
      </c>
      <c r="E9" s="452">
        <v>5067</v>
      </c>
      <c r="F9" s="1584">
        <v>7117</v>
      </c>
      <c r="G9" s="1584">
        <v>8898</v>
      </c>
      <c r="H9" s="1170">
        <f t="shared" si="0"/>
        <v>33191</v>
      </c>
      <c r="I9" s="1178">
        <f t="shared" si="1"/>
        <v>0.25508580738873476</v>
      </c>
      <c r="J9" s="22"/>
    </row>
    <row r="10" spans="1:12" s="128" customFormat="1" ht="15.75">
      <c r="A10" s="1179" t="s">
        <v>688</v>
      </c>
      <c r="B10" s="452">
        <v>24</v>
      </c>
      <c r="C10" s="452">
        <v>18</v>
      </c>
      <c r="D10" s="452">
        <v>15</v>
      </c>
      <c r="E10" s="452">
        <v>14</v>
      </c>
      <c r="F10" s="1584">
        <v>18</v>
      </c>
      <c r="G10" s="1584">
        <v>17</v>
      </c>
      <c r="H10" s="1170">
        <f t="shared" si="0"/>
        <v>106</v>
      </c>
      <c r="I10" s="1178">
        <f t="shared" si="1"/>
        <v>8.1465142909842682E-4</v>
      </c>
      <c r="J10" s="22"/>
    </row>
    <row r="11" spans="1:12" s="128" customFormat="1" ht="15.75">
      <c r="A11" s="1179" t="s">
        <v>687</v>
      </c>
      <c r="B11" s="452">
        <v>2275</v>
      </c>
      <c r="C11" s="452">
        <v>2675</v>
      </c>
      <c r="D11" s="452">
        <v>2605</v>
      </c>
      <c r="E11" s="452">
        <f>18643-16710</f>
        <v>1933</v>
      </c>
      <c r="F11" s="1584">
        <f>28754-21428</f>
        <v>7326</v>
      </c>
      <c r="G11" s="1584">
        <f>30331-26146</f>
        <v>4185</v>
      </c>
      <c r="H11" s="1170">
        <f t="shared" si="0"/>
        <v>20999</v>
      </c>
      <c r="I11" s="1178">
        <f t="shared" si="1"/>
        <v>0.16138552226073458</v>
      </c>
    </row>
    <row r="12" spans="1:12" s="128" customFormat="1" ht="15.75">
      <c r="A12" s="934" t="s">
        <v>23</v>
      </c>
      <c r="B12" s="1170">
        <f>SUM(B4:B11)</f>
        <v>14329</v>
      </c>
      <c r="C12" s="1170">
        <f t="shared" ref="C12:H12" si="2">SUM(C4:C11)</f>
        <v>16871</v>
      </c>
      <c r="D12" s="1170">
        <f t="shared" si="2"/>
        <v>21189</v>
      </c>
      <c r="E12" s="1170">
        <f t="shared" si="2"/>
        <v>18643</v>
      </c>
      <c r="F12" s="1170">
        <f t="shared" si="2"/>
        <v>28754</v>
      </c>
      <c r="G12" s="1170">
        <f t="shared" si="2"/>
        <v>30331</v>
      </c>
      <c r="H12" s="1170">
        <f t="shared" si="2"/>
        <v>130117</v>
      </c>
      <c r="I12" s="1178">
        <f>SUM(I4:I11)</f>
        <v>1</v>
      </c>
    </row>
    <row r="13" spans="1:12" s="128" customFormat="1"/>
    <row r="14" spans="1:12" s="128" customFormat="1"/>
    <row r="15" spans="1:12" s="128" customFormat="1"/>
    <row r="16" spans="1:12" s="128" customFormat="1"/>
    <row r="17" s="128" customFormat="1"/>
    <row r="18" s="128" customFormat="1"/>
    <row r="19" s="128" customFormat="1"/>
    <row r="20" s="128" customFormat="1"/>
    <row r="21" s="128" customFormat="1"/>
    <row r="22" s="128" customFormat="1"/>
    <row r="23" s="128" customFormat="1"/>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J2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K28" sqref="K28"/>
    </sheetView>
  </sheetViews>
  <sheetFormatPr baseColWidth="10" defaultColWidth="11.42578125" defaultRowHeight="15"/>
  <cols>
    <col min="1" max="1" width="48.5703125" style="59" customWidth="1"/>
    <col min="2" max="2" width="12.140625" style="59" customWidth="1"/>
    <col min="3" max="3" width="15" style="59" customWidth="1"/>
    <col min="4" max="4" width="14.7109375" style="59" customWidth="1"/>
    <col min="5" max="5" width="15.28515625" style="59" customWidth="1"/>
    <col min="6" max="6" width="15.7109375" style="59" customWidth="1"/>
    <col min="7" max="7" width="17.85546875" style="59" customWidth="1"/>
    <col min="8" max="8" width="15.5703125" style="59" customWidth="1"/>
    <col min="9" max="9" width="19.5703125" style="59" customWidth="1"/>
    <col min="10" max="10" width="17.7109375" style="59" customWidth="1"/>
    <col min="11" max="11" width="12.7109375" style="59" customWidth="1"/>
    <col min="12" max="16384" width="11.42578125" style="59"/>
  </cols>
  <sheetData>
    <row r="1" spans="1:10" s="128" customFormat="1" ht="75.75" customHeight="1">
      <c r="A1" s="2577" t="s">
        <v>2009</v>
      </c>
      <c r="B1" s="2577"/>
      <c r="C1" s="2577"/>
      <c r="D1" s="2577"/>
      <c r="E1" s="2577"/>
      <c r="F1" s="2577"/>
      <c r="G1" s="2577"/>
      <c r="H1" s="2577"/>
      <c r="I1" s="2577"/>
      <c r="J1" s="2577"/>
    </row>
    <row r="2" spans="1:10" s="128" customFormat="1" ht="3.75" customHeight="1">
      <c r="A2" s="347"/>
      <c r="B2" s="347"/>
      <c r="C2" s="347"/>
      <c r="D2" s="347"/>
      <c r="E2" s="347"/>
      <c r="F2" s="347"/>
      <c r="G2" s="347"/>
      <c r="H2" s="347"/>
      <c r="I2" s="347"/>
      <c r="J2" s="347"/>
    </row>
    <row r="3" spans="1:10" s="347" customFormat="1" ht="22.5" customHeight="1">
      <c r="A3" s="726" t="s">
        <v>703</v>
      </c>
      <c r="B3" s="563" t="s">
        <v>468</v>
      </c>
      <c r="C3" s="563" t="s">
        <v>360</v>
      </c>
      <c r="D3" s="563" t="s">
        <v>469</v>
      </c>
      <c r="E3" s="689" t="s">
        <v>1058</v>
      </c>
      <c r="F3" s="689" t="s">
        <v>1643</v>
      </c>
      <c r="G3" s="689" t="s">
        <v>1907</v>
      </c>
      <c r="H3" s="563" t="s">
        <v>167</v>
      </c>
      <c r="I3" s="563" t="s">
        <v>685</v>
      </c>
    </row>
    <row r="4" spans="1:10" s="128" customFormat="1" ht="18.75">
      <c r="A4" s="727" t="s">
        <v>702</v>
      </c>
      <c r="B4" s="170">
        <v>892</v>
      </c>
      <c r="C4" s="170">
        <v>730</v>
      </c>
      <c r="D4" s="170">
        <v>663</v>
      </c>
      <c r="E4" s="170">
        <v>372</v>
      </c>
      <c r="F4" s="885">
        <v>651</v>
      </c>
      <c r="G4" s="885">
        <v>843</v>
      </c>
      <c r="H4" s="589">
        <f>SUM(B4:G4)</f>
        <v>4151</v>
      </c>
      <c r="I4" s="1232">
        <f t="shared" ref="I4:I12" si="0">H4/$H$13</f>
        <v>3.1902057379128018E-2</v>
      </c>
    </row>
    <row r="5" spans="1:10" s="128" customFormat="1" ht="21">
      <c r="A5" s="727" t="s">
        <v>701</v>
      </c>
      <c r="B5" s="170">
        <v>6315</v>
      </c>
      <c r="C5" s="170">
        <v>8043</v>
      </c>
      <c r="D5" s="170">
        <v>9764</v>
      </c>
      <c r="E5" s="170">
        <v>9145</v>
      </c>
      <c r="F5" s="885">
        <v>10743</v>
      </c>
      <c r="G5" s="885">
        <v>12179</v>
      </c>
      <c r="H5" s="589">
        <f t="shared" ref="H5:H12" si="1">SUM(B5:G5)</f>
        <v>56189</v>
      </c>
      <c r="I5" s="1232">
        <f t="shared" si="0"/>
        <v>0.43183442593973115</v>
      </c>
      <c r="J5" s="1562"/>
    </row>
    <row r="6" spans="1:10" s="128" customFormat="1" ht="21">
      <c r="A6" s="727" t="s">
        <v>700</v>
      </c>
      <c r="B6" s="170">
        <v>110</v>
      </c>
      <c r="C6" s="170">
        <v>78</v>
      </c>
      <c r="D6" s="170">
        <v>95</v>
      </c>
      <c r="E6" s="170">
        <v>60</v>
      </c>
      <c r="F6" s="885">
        <v>101</v>
      </c>
      <c r="G6" s="885">
        <v>70</v>
      </c>
      <c r="H6" s="589">
        <f t="shared" si="1"/>
        <v>514</v>
      </c>
      <c r="I6" s="1232">
        <f t="shared" si="0"/>
        <v>3.9502908920433146E-3</v>
      </c>
      <c r="J6" s="1563"/>
    </row>
    <row r="7" spans="1:10" s="128" customFormat="1" ht="21">
      <c r="A7" s="727" t="s">
        <v>699</v>
      </c>
      <c r="B7" s="170">
        <v>475</v>
      </c>
      <c r="C7" s="170">
        <v>516</v>
      </c>
      <c r="D7" s="170">
        <v>610</v>
      </c>
      <c r="E7" s="170">
        <v>550</v>
      </c>
      <c r="F7" s="885">
        <v>815</v>
      </c>
      <c r="G7" s="885">
        <v>1067</v>
      </c>
      <c r="H7" s="589">
        <f t="shared" si="1"/>
        <v>4033</v>
      </c>
      <c r="I7" s="1232">
        <f t="shared" si="0"/>
        <v>3.0995181259942974E-2</v>
      </c>
      <c r="J7" s="1564"/>
    </row>
    <row r="8" spans="1:10" s="128" customFormat="1" ht="21">
      <c r="A8" s="727" t="s">
        <v>698</v>
      </c>
      <c r="B8" s="170">
        <v>491</v>
      </c>
      <c r="C8" s="170">
        <v>567</v>
      </c>
      <c r="D8" s="170">
        <v>791</v>
      </c>
      <c r="E8" s="170">
        <v>588</v>
      </c>
      <c r="F8" s="885">
        <v>809</v>
      </c>
      <c r="G8" s="885">
        <v>1128</v>
      </c>
      <c r="H8" s="589">
        <f t="shared" si="1"/>
        <v>4374</v>
      </c>
      <c r="I8" s="1232">
        <f t="shared" si="0"/>
        <v>3.3615899536570931E-2</v>
      </c>
      <c r="J8" s="1565"/>
    </row>
    <row r="9" spans="1:10" s="128" customFormat="1" ht="21">
      <c r="A9" s="727" t="s">
        <v>697</v>
      </c>
      <c r="B9" s="170">
        <v>134</v>
      </c>
      <c r="C9" s="170">
        <v>151</v>
      </c>
      <c r="D9" s="170">
        <v>163</v>
      </c>
      <c r="E9" s="170">
        <v>103</v>
      </c>
      <c r="F9" s="885">
        <v>158</v>
      </c>
      <c r="G9" s="885">
        <v>228</v>
      </c>
      <c r="H9" s="589">
        <f t="shared" si="1"/>
        <v>937</v>
      </c>
      <c r="I9" s="1232">
        <f t="shared" si="0"/>
        <v>7.2012112175964711E-3</v>
      </c>
      <c r="J9" s="1566"/>
    </row>
    <row r="10" spans="1:10" s="128" customFormat="1" ht="21">
      <c r="A10" s="727" t="s">
        <v>696</v>
      </c>
      <c r="B10" s="170">
        <v>1093</v>
      </c>
      <c r="C10" s="170">
        <v>1015</v>
      </c>
      <c r="D10" s="170">
        <v>1167</v>
      </c>
      <c r="E10" s="170">
        <v>1027</v>
      </c>
      <c r="F10" s="885">
        <v>1379</v>
      </c>
      <c r="G10" s="885">
        <v>1662</v>
      </c>
      <c r="H10" s="589">
        <f t="shared" si="1"/>
        <v>7343</v>
      </c>
      <c r="I10" s="1232">
        <f t="shared" si="0"/>
        <v>5.6433824942167435E-2</v>
      </c>
      <c r="J10" s="1565"/>
    </row>
    <row r="11" spans="1:10" s="128" customFormat="1" ht="18.75">
      <c r="A11" s="727" t="s">
        <v>695</v>
      </c>
      <c r="B11" s="170">
        <v>3053</v>
      </c>
      <c r="C11" s="170">
        <v>3558</v>
      </c>
      <c r="D11" s="170">
        <v>6057</v>
      </c>
      <c r="E11" s="170">
        <v>5508</v>
      </c>
      <c r="F11" s="885">
        <v>7673</v>
      </c>
      <c r="G11" s="885">
        <v>9780</v>
      </c>
      <c r="H11" s="589">
        <f t="shared" si="1"/>
        <v>35629</v>
      </c>
      <c r="I11" s="1232">
        <f t="shared" si="0"/>
        <v>0.27382279025799855</v>
      </c>
      <c r="J11" s="385"/>
    </row>
    <row r="12" spans="1:10" s="128" customFormat="1" ht="19.5" customHeight="1">
      <c r="A12" s="727" t="s">
        <v>173</v>
      </c>
      <c r="B12" s="170">
        <v>1766</v>
      </c>
      <c r="C12" s="170">
        <v>2213</v>
      </c>
      <c r="D12" s="392">
        <v>1879</v>
      </c>
      <c r="E12" s="170">
        <f>18643-17353</f>
        <v>1290</v>
      </c>
      <c r="F12" s="885">
        <f>28754-22329</f>
        <v>6425</v>
      </c>
      <c r="G12" s="885">
        <f>30331-26957</f>
        <v>3374</v>
      </c>
      <c r="H12" s="589">
        <f t="shared" si="1"/>
        <v>16947</v>
      </c>
      <c r="I12" s="1232">
        <f t="shared" si="0"/>
        <v>0.13024431857482113</v>
      </c>
      <c r="J12" s="385"/>
    </row>
    <row r="13" spans="1:10" s="128" customFormat="1" ht="17.25" customHeight="1">
      <c r="A13" s="728" t="s">
        <v>23</v>
      </c>
      <c r="B13" s="589">
        <f t="shared" ref="B13:I13" si="2">SUM(B4:B12)</f>
        <v>14329</v>
      </c>
      <c r="C13" s="589">
        <f t="shared" si="2"/>
        <v>16871</v>
      </c>
      <c r="D13" s="589">
        <f t="shared" si="2"/>
        <v>21189</v>
      </c>
      <c r="E13" s="589">
        <f t="shared" si="2"/>
        <v>18643</v>
      </c>
      <c r="F13" s="589">
        <f t="shared" si="2"/>
        <v>28754</v>
      </c>
      <c r="G13" s="589">
        <f>SUM(G4:G12)</f>
        <v>30331</v>
      </c>
      <c r="H13" s="589">
        <f>SUM(H4:H12)</f>
        <v>130117</v>
      </c>
      <c r="I13" s="1232">
        <f t="shared" si="2"/>
        <v>0.99999999999999989</v>
      </c>
    </row>
    <row r="14" spans="1:10" s="128" customFormat="1"/>
    <row r="15" spans="1:10" s="128" customFormat="1"/>
    <row r="16" spans="1:10" s="128" customFormat="1"/>
    <row r="17" s="128" customFormat="1"/>
    <row r="18" s="128" customFormat="1"/>
    <row r="19" s="128" customFormat="1"/>
    <row r="20" s="128" customFormat="1"/>
    <row r="21" s="128" customFormat="1"/>
    <row r="22" s="128" customFormat="1"/>
    <row r="23" s="128" customFormat="1"/>
    <row r="24" s="128" customFormat="1"/>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16"/>
  <sheetViews>
    <sheetView showGridLines="0" view="pageBreakPreview" zoomScale="70" zoomScaleNormal="100" zoomScaleSheetLayoutView="70" workbookViewId="0">
      <selection activeCell="M6" sqref="M6"/>
    </sheetView>
  </sheetViews>
  <sheetFormatPr baseColWidth="10" defaultColWidth="11.42578125" defaultRowHeight="15"/>
  <cols>
    <col min="1" max="1" width="12.28515625" style="59" customWidth="1"/>
    <col min="2" max="2" width="13.42578125" style="59" customWidth="1"/>
    <col min="3" max="3" width="13" style="59" customWidth="1"/>
    <col min="4" max="4" width="14.42578125" style="59" customWidth="1"/>
    <col min="5" max="5" width="9.7109375" style="59" customWidth="1"/>
    <col min="6" max="6" width="10.7109375" style="59" bestFit="1" customWidth="1"/>
    <col min="7" max="7" width="11.28515625" style="59" bestFit="1" customWidth="1"/>
    <col min="8" max="8" width="11.7109375" style="59" customWidth="1"/>
    <col min="9" max="9" width="13.140625" style="59" customWidth="1"/>
    <col min="10" max="10" width="9.42578125" style="59" customWidth="1"/>
    <col min="11" max="11" width="10.85546875" style="59" bestFit="1" customWidth="1"/>
    <col min="12" max="12" width="11.42578125" style="59" bestFit="1" customWidth="1"/>
    <col min="13" max="13" width="11.85546875" style="59" bestFit="1" customWidth="1"/>
    <col min="14" max="14" width="10.7109375" style="59" customWidth="1"/>
    <col min="15" max="17" width="11.7109375" style="59" customWidth="1"/>
    <col min="18" max="18" width="14.28515625" style="59" bestFit="1" customWidth="1"/>
    <col min="19" max="19" width="3.85546875" style="59" customWidth="1"/>
    <col min="20" max="20" width="20.85546875" style="59" customWidth="1"/>
    <col min="21" max="21" width="11.85546875" style="59" customWidth="1"/>
    <col min="22" max="22" width="12" style="59" customWidth="1"/>
    <col min="23" max="23" width="10.5703125" style="59" customWidth="1"/>
    <col min="24" max="24" width="9" style="59" customWidth="1"/>
    <col min="25" max="25" width="10.85546875" style="59" customWidth="1"/>
    <col min="26" max="26" width="12.5703125" style="59" customWidth="1"/>
    <col min="27" max="27" width="15.42578125" style="59" customWidth="1"/>
    <col min="28" max="28" width="11.42578125" style="59" customWidth="1"/>
    <col min="29" max="16384" width="11.42578125" style="59"/>
  </cols>
  <sheetData>
    <row r="1" spans="1:29" s="128" customFormat="1" ht="66.75" customHeight="1">
      <c r="A1" s="2578" t="s">
        <v>1018</v>
      </c>
      <c r="B1" s="2579"/>
      <c r="C1" s="2579"/>
      <c r="D1" s="2579"/>
      <c r="E1" s="2579"/>
      <c r="F1" s="2579"/>
      <c r="G1" s="2579"/>
      <c r="H1" s="2579"/>
      <c r="I1" s="2579"/>
      <c r="J1" s="2579"/>
      <c r="K1" s="2579"/>
      <c r="L1" s="2579"/>
      <c r="M1" s="2579"/>
      <c r="N1" s="2579"/>
      <c r="O1" s="2579"/>
      <c r="P1" s="2579"/>
      <c r="Q1" s="2579"/>
      <c r="R1" s="2580"/>
    </row>
    <row r="2" spans="1:29" s="128" customFormat="1" ht="3.75" customHeight="1">
      <c r="A2" s="2557"/>
      <c r="B2" s="2558"/>
      <c r="C2" s="2558"/>
      <c r="D2" s="2558"/>
      <c r="E2" s="2558"/>
      <c r="F2" s="2558"/>
      <c r="G2" s="2558"/>
      <c r="H2" s="2558"/>
      <c r="I2" s="2558"/>
      <c r="J2" s="2558"/>
      <c r="K2" s="2558"/>
      <c r="L2" s="2558"/>
      <c r="M2" s="2558"/>
      <c r="N2" s="2558"/>
      <c r="O2" s="2558"/>
      <c r="P2" s="2558"/>
      <c r="Q2" s="2558"/>
      <c r="R2" s="2559"/>
    </row>
    <row r="3" spans="1:29" s="435" customFormat="1" ht="39.75" customHeight="1">
      <c r="A3" s="465" t="s">
        <v>0</v>
      </c>
      <c r="B3" s="457" t="s">
        <v>717</v>
      </c>
      <c r="C3" s="457" t="s">
        <v>716</v>
      </c>
      <c r="D3" s="457" t="s">
        <v>715</v>
      </c>
      <c r="E3" s="457" t="s">
        <v>714</v>
      </c>
      <c r="F3" s="457" t="s">
        <v>713</v>
      </c>
      <c r="G3" s="457" t="s">
        <v>751</v>
      </c>
      <c r="H3" s="457" t="s">
        <v>712</v>
      </c>
      <c r="I3" s="457" t="s">
        <v>711</v>
      </c>
      <c r="J3" s="457" t="s">
        <v>167</v>
      </c>
      <c r="K3" s="457" t="s">
        <v>710</v>
      </c>
      <c r="L3" s="457" t="s">
        <v>709</v>
      </c>
      <c r="M3" s="457" t="s">
        <v>708</v>
      </c>
      <c r="N3" s="457" t="s">
        <v>707</v>
      </c>
      <c r="O3" s="457" t="s">
        <v>706</v>
      </c>
      <c r="P3" s="457" t="s">
        <v>705</v>
      </c>
      <c r="Q3" s="457" t="s">
        <v>704</v>
      </c>
      <c r="R3" s="457" t="s">
        <v>510</v>
      </c>
    </row>
    <row r="4" spans="1:29" s="128" customFormat="1" ht="15.75">
      <c r="A4" s="462" t="s">
        <v>468</v>
      </c>
      <c r="B4" s="390">
        <v>2679</v>
      </c>
      <c r="C4" s="390">
        <v>1999</v>
      </c>
      <c r="D4" s="390">
        <v>3729</v>
      </c>
      <c r="E4" s="390">
        <v>2586</v>
      </c>
      <c r="F4" s="390">
        <v>1316</v>
      </c>
      <c r="G4" s="390">
        <v>547</v>
      </c>
      <c r="H4" s="390">
        <v>535</v>
      </c>
      <c r="I4" s="390">
        <v>938</v>
      </c>
      <c r="J4" s="730">
        <f>SUM(B4:I4)</f>
        <v>14329</v>
      </c>
      <c r="K4" s="731">
        <f>B4/J4</f>
        <v>0.1869635005932026</v>
      </c>
      <c r="L4" s="731">
        <f>C4/J4</f>
        <v>0.13950729290250541</v>
      </c>
      <c r="M4" s="731">
        <f>D4/J4</f>
        <v>0.26024146835089679</v>
      </c>
      <c r="N4" s="731">
        <f>E4/J4</f>
        <v>0.18047316630609253</v>
      </c>
      <c r="O4" s="731">
        <f>F4/J4</f>
        <v>9.1841719589643378E-2</v>
      </c>
      <c r="P4" s="731">
        <f>G4/J4</f>
        <v>3.817433177472259E-2</v>
      </c>
      <c r="Q4" s="731">
        <f>H4/J4</f>
        <v>3.733686928606323E-2</v>
      </c>
      <c r="R4" s="731">
        <f>I4/J4</f>
        <v>6.5461651196873472E-2</v>
      </c>
    </row>
    <row r="5" spans="1:29" s="128" customFormat="1" ht="15.75">
      <c r="A5" s="462" t="s">
        <v>360</v>
      </c>
      <c r="B5" s="390">
        <v>3268</v>
      </c>
      <c r="C5" s="390">
        <v>2351</v>
      </c>
      <c r="D5" s="390">
        <v>3895</v>
      </c>
      <c r="E5" s="390">
        <v>3183</v>
      </c>
      <c r="F5" s="390">
        <v>1763</v>
      </c>
      <c r="G5" s="390">
        <v>619</v>
      </c>
      <c r="H5" s="390">
        <v>657</v>
      </c>
      <c r="I5" s="390">
        <v>1135</v>
      </c>
      <c r="J5" s="732">
        <f>SUM(B5:I5)</f>
        <v>16871</v>
      </c>
      <c r="K5" s="731">
        <f>B5/J5</f>
        <v>0.19370517455989567</v>
      </c>
      <c r="L5" s="731">
        <f>C5/J5</f>
        <v>0.13935154999703633</v>
      </c>
      <c r="M5" s="731">
        <f>D5/J5</f>
        <v>0.2308695394463873</v>
      </c>
      <c r="N5" s="731">
        <f>E5/J5</f>
        <v>0.18866694327544306</v>
      </c>
      <c r="O5" s="731">
        <f>F5/J5</f>
        <v>0.10449884417047003</v>
      </c>
      <c r="P5" s="731">
        <f>G5/J5</f>
        <v>3.6690178412660777E-2</v>
      </c>
      <c r="Q5" s="731">
        <f>H5/J5</f>
        <v>3.8942564163357243E-2</v>
      </c>
      <c r="R5" s="731">
        <f>I5/J5</f>
        <v>6.7275205974749563E-2</v>
      </c>
    </row>
    <row r="6" spans="1:29" s="128" customFormat="1" ht="15.75">
      <c r="A6" s="462" t="s">
        <v>469</v>
      </c>
      <c r="B6" s="390">
        <v>4561</v>
      </c>
      <c r="C6" s="390">
        <v>2963</v>
      </c>
      <c r="D6" s="390">
        <v>4973</v>
      </c>
      <c r="E6" s="390">
        <v>4051</v>
      </c>
      <c r="F6" s="390">
        <v>2740</v>
      </c>
      <c r="G6" s="390">
        <v>889</v>
      </c>
      <c r="H6" s="390">
        <v>1012</v>
      </c>
      <c r="I6" s="390">
        <v>0</v>
      </c>
      <c r="J6" s="730">
        <f>SUM(B6:I6)</f>
        <v>21189</v>
      </c>
      <c r="K6" s="731">
        <f>B6/J6</f>
        <v>0.21525319741375243</v>
      </c>
      <c r="L6" s="731">
        <f>C6/J6</f>
        <v>0.13983670772570672</v>
      </c>
      <c r="M6" s="731">
        <f>D6/J6</f>
        <v>0.23469724857237245</v>
      </c>
      <c r="N6" s="731">
        <f>E6/J6</f>
        <v>0.19118410496012081</v>
      </c>
      <c r="O6" s="731">
        <f>F6/J6</f>
        <v>0.12931237906460899</v>
      </c>
      <c r="P6" s="731">
        <f>G6/J6</f>
        <v>4.1955731747604891E-2</v>
      </c>
      <c r="Q6" s="731">
        <f>H6/J6</f>
        <v>4.7760630515833687E-2</v>
      </c>
      <c r="R6" s="731">
        <f>I6/J6</f>
        <v>0</v>
      </c>
    </row>
    <row r="7" spans="1:29" s="128" customFormat="1" ht="17.25" customHeight="1">
      <c r="A7" s="462" t="s">
        <v>1000</v>
      </c>
      <c r="B7" s="736">
        <v>2912</v>
      </c>
      <c r="C7" s="736">
        <f>+AC10</f>
        <v>2028</v>
      </c>
      <c r="D7" s="736">
        <f>+AC11</f>
        <v>3541</v>
      </c>
      <c r="E7" s="736">
        <f>+AC12</f>
        <v>2655</v>
      </c>
      <c r="F7" s="736">
        <f>+AC13</f>
        <v>1871</v>
      </c>
      <c r="G7" s="736">
        <f>+AC14</f>
        <v>643</v>
      </c>
      <c r="H7" s="736">
        <f>+AC15</f>
        <v>678</v>
      </c>
      <c r="I7" s="736">
        <v>0</v>
      </c>
      <c r="J7" s="737">
        <f>SUM(B7:I7)</f>
        <v>14328</v>
      </c>
      <c r="K7" s="731">
        <f>B7/J7</f>
        <v>0.20323841429369069</v>
      </c>
      <c r="L7" s="731">
        <f>C7/J7</f>
        <v>0.14154103852596314</v>
      </c>
      <c r="M7" s="731">
        <f>D7/J7</f>
        <v>0.24713847012841988</v>
      </c>
      <c r="N7" s="731">
        <f>E7/J7</f>
        <v>0.18530150753768845</v>
      </c>
      <c r="O7" s="731">
        <f>F7/J7</f>
        <v>0.13058347292015635</v>
      </c>
      <c r="P7" s="731">
        <f>G7/J7</f>
        <v>4.487716359575656E-2</v>
      </c>
      <c r="Q7" s="731">
        <f>H7/J7</f>
        <v>4.7319932998324959E-2</v>
      </c>
      <c r="R7" s="731">
        <f>I7/J7</f>
        <v>0</v>
      </c>
      <c r="T7" s="724" t="s">
        <v>978</v>
      </c>
      <c r="U7" s="723" t="s">
        <v>972</v>
      </c>
      <c r="V7" s="723" t="s">
        <v>973</v>
      </c>
      <c r="W7" s="723" t="s">
        <v>974</v>
      </c>
      <c r="X7" s="723" t="s">
        <v>975</v>
      </c>
      <c r="Y7" s="723" t="s">
        <v>976</v>
      </c>
      <c r="Z7" s="723" t="s">
        <v>977</v>
      </c>
      <c r="AA7" s="723" t="s">
        <v>1013</v>
      </c>
    </row>
    <row r="8" spans="1:29" s="128" customFormat="1" ht="17.25">
      <c r="A8" s="431" t="s">
        <v>23</v>
      </c>
      <c r="B8" s="733">
        <f t="shared" ref="B8:I8" si="0">SUM(B4:B7)</f>
        <v>13420</v>
      </c>
      <c r="C8" s="733">
        <f t="shared" si="0"/>
        <v>9341</v>
      </c>
      <c r="D8" s="733">
        <f t="shared" si="0"/>
        <v>16138</v>
      </c>
      <c r="E8" s="733">
        <f t="shared" si="0"/>
        <v>12475</v>
      </c>
      <c r="F8" s="733">
        <f t="shared" si="0"/>
        <v>7690</v>
      </c>
      <c r="G8" s="733">
        <f t="shared" si="0"/>
        <v>2698</v>
      </c>
      <c r="H8" s="733">
        <f t="shared" si="0"/>
        <v>2882</v>
      </c>
      <c r="I8" s="733">
        <f t="shared" si="0"/>
        <v>2073</v>
      </c>
      <c r="J8" s="733">
        <f>SUM(J4:J7)</f>
        <v>66717</v>
      </c>
      <c r="K8" s="734">
        <f>B8/J8</f>
        <v>0.20114813315946461</v>
      </c>
      <c r="L8" s="734">
        <f>C8/J8</f>
        <v>0.14000929298379725</v>
      </c>
      <c r="M8" s="734">
        <f>D8/J8</f>
        <v>0.24188737503185095</v>
      </c>
      <c r="N8" s="734">
        <f>E8/J8</f>
        <v>0.18698382721045612</v>
      </c>
      <c r="O8" s="734">
        <f>F8/J8</f>
        <v>0.11526297645277815</v>
      </c>
      <c r="P8" s="734">
        <f>G8/J8</f>
        <v>4.0439468201507858E-2</v>
      </c>
      <c r="Q8" s="734">
        <f>H8/J8</f>
        <v>4.3197385973589943E-2</v>
      </c>
      <c r="R8" s="734">
        <f>I8/J8</f>
        <v>3.1071540986555152E-2</v>
      </c>
      <c r="T8" s="725"/>
      <c r="U8" s="735"/>
      <c r="V8" s="735"/>
      <c r="W8" s="735"/>
      <c r="X8" s="735"/>
      <c r="Y8" s="735"/>
      <c r="Z8" s="735"/>
      <c r="AA8" s="735"/>
      <c r="AB8" s="722"/>
      <c r="AC8" s="722"/>
    </row>
    <row r="9" spans="1:29" s="128" customFormat="1" ht="17.25">
      <c r="T9" s="725" t="s">
        <v>979</v>
      </c>
      <c r="U9" s="735">
        <v>367</v>
      </c>
      <c r="V9" s="735">
        <v>366</v>
      </c>
      <c r="W9" s="735">
        <v>447</v>
      </c>
      <c r="X9" s="735">
        <v>341</v>
      </c>
      <c r="Y9" s="735">
        <v>436</v>
      </c>
      <c r="Z9" s="735">
        <v>499</v>
      </c>
      <c r="AA9" s="735">
        <v>456</v>
      </c>
      <c r="AB9" s="722"/>
      <c r="AC9" s="722">
        <f t="shared" ref="AC9:AC15" si="1">SUM(U9:AB9)</f>
        <v>2912</v>
      </c>
    </row>
    <row r="10" spans="1:29" s="128" customFormat="1" ht="17.25">
      <c r="T10" s="725" t="s">
        <v>980</v>
      </c>
      <c r="U10" s="735">
        <v>210</v>
      </c>
      <c r="V10" s="735">
        <v>266</v>
      </c>
      <c r="W10" s="735">
        <v>310</v>
      </c>
      <c r="X10" s="735">
        <v>276</v>
      </c>
      <c r="Y10" s="735">
        <v>296</v>
      </c>
      <c r="Z10" s="735">
        <v>325</v>
      </c>
      <c r="AA10" s="735">
        <v>345</v>
      </c>
      <c r="AB10" s="722"/>
      <c r="AC10" s="722">
        <f t="shared" si="1"/>
        <v>2028</v>
      </c>
    </row>
    <row r="11" spans="1:29" s="128" customFormat="1" ht="17.25">
      <c r="T11" s="725" t="s">
        <v>981</v>
      </c>
      <c r="U11" s="735">
        <v>481</v>
      </c>
      <c r="V11" s="735">
        <v>429</v>
      </c>
      <c r="W11" s="735">
        <v>490</v>
      </c>
      <c r="X11" s="735">
        <v>426</v>
      </c>
      <c r="Y11" s="735">
        <v>557</v>
      </c>
      <c r="Z11" s="735">
        <v>561</v>
      </c>
      <c r="AA11" s="735">
        <v>597</v>
      </c>
      <c r="AB11" s="722"/>
      <c r="AC11" s="722">
        <f t="shared" si="1"/>
        <v>3541</v>
      </c>
    </row>
    <row r="12" spans="1:29" s="128" customFormat="1" ht="17.25">
      <c r="T12" s="725" t="s">
        <v>982</v>
      </c>
      <c r="U12" s="735">
        <v>311</v>
      </c>
      <c r="V12" s="735">
        <v>363</v>
      </c>
      <c r="W12" s="735">
        <v>381</v>
      </c>
      <c r="X12" s="735">
        <v>330</v>
      </c>
      <c r="Y12" s="735">
        <v>420</v>
      </c>
      <c r="Z12" s="735">
        <v>422</v>
      </c>
      <c r="AA12" s="735">
        <v>428</v>
      </c>
      <c r="AB12" s="722"/>
      <c r="AC12" s="722">
        <f t="shared" si="1"/>
        <v>2655</v>
      </c>
    </row>
    <row r="13" spans="1:29" s="128" customFormat="1" ht="17.25">
      <c r="T13" s="725" t="s">
        <v>1019</v>
      </c>
      <c r="U13" s="735">
        <v>220</v>
      </c>
      <c r="V13" s="735">
        <v>246</v>
      </c>
      <c r="W13" s="735">
        <v>261</v>
      </c>
      <c r="X13" s="735">
        <v>228</v>
      </c>
      <c r="Y13" s="735">
        <v>300</v>
      </c>
      <c r="Z13" s="735">
        <v>325</v>
      </c>
      <c r="AA13" s="735">
        <v>291</v>
      </c>
      <c r="AB13" s="722"/>
      <c r="AC13" s="722">
        <f t="shared" si="1"/>
        <v>1871</v>
      </c>
    </row>
    <row r="14" spans="1:29" s="128" customFormat="1" ht="17.25">
      <c r="T14" s="725" t="s">
        <v>1020</v>
      </c>
      <c r="U14" s="735">
        <v>76</v>
      </c>
      <c r="V14" s="735">
        <v>103</v>
      </c>
      <c r="W14" s="735">
        <v>89</v>
      </c>
      <c r="X14" s="735">
        <v>80</v>
      </c>
      <c r="Y14" s="735">
        <v>111</v>
      </c>
      <c r="Z14" s="735">
        <v>87</v>
      </c>
      <c r="AA14" s="735">
        <v>97</v>
      </c>
      <c r="AB14" s="722"/>
      <c r="AC14" s="722">
        <f t="shared" si="1"/>
        <v>643</v>
      </c>
    </row>
    <row r="15" spans="1:29" ht="17.25">
      <c r="T15" s="725" t="s">
        <v>1021</v>
      </c>
      <c r="U15" s="735">
        <v>82</v>
      </c>
      <c r="V15" s="735">
        <v>91</v>
      </c>
      <c r="W15" s="735">
        <v>118</v>
      </c>
      <c r="X15" s="735">
        <v>112</v>
      </c>
      <c r="Y15" s="735">
        <v>93</v>
      </c>
      <c r="Z15" s="735">
        <v>99</v>
      </c>
      <c r="AA15" s="735">
        <v>83</v>
      </c>
      <c r="AB15" s="729"/>
      <c r="AC15" s="729">
        <f t="shared" si="1"/>
        <v>678</v>
      </c>
    </row>
    <row r="16" spans="1:29" ht="17.25">
      <c r="T16" s="725"/>
      <c r="U16" s="735"/>
      <c r="V16" s="735"/>
      <c r="W16" s="735"/>
      <c r="X16" s="735"/>
      <c r="Y16" s="735"/>
      <c r="Z16" s="735"/>
      <c r="AA16" s="735"/>
      <c r="AB16" s="729"/>
      <c r="AC16" s="729">
        <f>+AC9+AC10+AC11+AC12+AC13+AC14+AC15</f>
        <v>14328</v>
      </c>
    </row>
  </sheetData>
  <mergeCells count="2">
    <mergeCell ref="A1:R1"/>
    <mergeCell ref="A2:R2"/>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O20"/>
  <sheetViews>
    <sheetView showGridLines="0" view="pageBreakPreview" zoomScale="55" zoomScaleNormal="100" zoomScaleSheetLayoutView="55" workbookViewId="0">
      <selection activeCell="U41" sqref="U41"/>
    </sheetView>
  </sheetViews>
  <sheetFormatPr baseColWidth="10" defaultColWidth="11.42578125" defaultRowHeight="15"/>
  <cols>
    <col min="1" max="1" width="17.28515625" style="59" customWidth="1"/>
    <col min="2" max="2" width="24.7109375" style="59" customWidth="1"/>
    <col min="3" max="3" width="17.7109375" style="59" customWidth="1"/>
    <col min="4" max="4" width="14.140625" style="59" customWidth="1"/>
    <col min="5" max="6" width="12.28515625" style="59" customWidth="1"/>
    <col min="7" max="7" width="15.7109375" style="59" customWidth="1"/>
    <col min="8" max="8" width="14.42578125" style="59" customWidth="1"/>
    <col min="9" max="9" width="11.140625" style="59" customWidth="1"/>
    <col min="10" max="10" width="13.28515625" style="59" customWidth="1"/>
    <col min="11" max="11" width="13.7109375" style="59" customWidth="1"/>
    <col min="12" max="12" width="11.7109375" style="59" customWidth="1"/>
    <col min="13" max="13" width="13.28515625" style="59" customWidth="1"/>
    <col min="14" max="16384" width="11.42578125" style="59"/>
  </cols>
  <sheetData>
    <row r="1" spans="1:15" s="128" customFormat="1" ht="66.75" customHeight="1">
      <c r="A1" s="2379" t="s">
        <v>2010</v>
      </c>
      <c r="B1" s="2379"/>
      <c r="C1" s="2379"/>
      <c r="D1" s="2379"/>
      <c r="E1" s="2379"/>
      <c r="F1" s="2379"/>
      <c r="G1" s="2379"/>
      <c r="H1" s="2379"/>
      <c r="I1" s="2379"/>
      <c r="J1" s="2379"/>
      <c r="K1" s="2379"/>
      <c r="L1" s="2379"/>
      <c r="M1" s="2379"/>
      <c r="N1" s="2379"/>
      <c r="O1" s="2379"/>
    </row>
    <row r="2" spans="1:15" ht="3.75" customHeight="1">
      <c r="A2" s="575"/>
      <c r="B2" s="575"/>
      <c r="C2" s="575"/>
      <c r="D2" s="575"/>
      <c r="E2" s="575"/>
      <c r="F2" s="575"/>
      <c r="G2" s="575"/>
      <c r="H2" s="575"/>
      <c r="I2" s="575"/>
      <c r="J2" s="575"/>
      <c r="K2" s="575"/>
      <c r="L2" s="575"/>
      <c r="M2" s="582"/>
    </row>
    <row r="3" spans="1:15" s="128" customFormat="1" ht="37.5">
      <c r="A3" s="1773" t="s">
        <v>0</v>
      </c>
      <c r="B3" s="2182" t="s">
        <v>738</v>
      </c>
      <c r="C3" s="2182" t="s">
        <v>718</v>
      </c>
    </row>
    <row r="4" spans="1:15" s="128" customFormat="1" ht="18.75">
      <c r="A4" s="1773" t="s">
        <v>468</v>
      </c>
      <c r="B4" s="1580">
        <v>10304</v>
      </c>
      <c r="C4" s="2183">
        <f t="shared" ref="C4:C9" si="0">B4/$B$10</f>
        <v>9.5905583633503669E-2</v>
      </c>
    </row>
    <row r="5" spans="1:15" s="128" customFormat="1" ht="18.75">
      <c r="A5" s="1773" t="s">
        <v>360</v>
      </c>
      <c r="B5" s="1580">
        <v>12867</v>
      </c>
      <c r="C5" s="2183">
        <f t="shared" si="0"/>
        <v>0.11976098064948483</v>
      </c>
    </row>
    <row r="6" spans="1:15" s="128" customFormat="1" ht="18.75">
      <c r="A6" s="1773" t="s">
        <v>469</v>
      </c>
      <c r="B6" s="1580">
        <v>16348</v>
      </c>
      <c r="C6" s="2183">
        <f t="shared" si="0"/>
        <v>0.15216076098995709</v>
      </c>
    </row>
    <row r="7" spans="1:15" s="128" customFormat="1" ht="18.75">
      <c r="A7" s="1773" t="s">
        <v>1058</v>
      </c>
      <c r="B7" s="1580">
        <v>20578</v>
      </c>
      <c r="C7" s="2183">
        <f t="shared" si="0"/>
        <v>0.19153193905378865</v>
      </c>
      <c r="F7" s="2149"/>
    </row>
    <row r="8" spans="1:15" s="128" customFormat="1" ht="18.75">
      <c r="A8" s="1773" t="s">
        <v>1643</v>
      </c>
      <c r="B8" s="1580">
        <v>21956</v>
      </c>
      <c r="C8" s="2183">
        <f t="shared" si="0"/>
        <v>0.20435782164763261</v>
      </c>
    </row>
    <row r="9" spans="1:15" s="128" customFormat="1" ht="18.75">
      <c r="A9" s="1773" t="s">
        <v>1907</v>
      </c>
      <c r="B9" s="1580">
        <v>25386</v>
      </c>
      <c r="C9" s="2183">
        <f t="shared" si="0"/>
        <v>0.23628291402563315</v>
      </c>
      <c r="E9" s="378"/>
      <c r="F9" s="378"/>
      <c r="G9" s="378"/>
    </row>
    <row r="10" spans="1:15" s="128" customFormat="1" ht="18.75">
      <c r="A10" s="2182" t="s">
        <v>23</v>
      </c>
      <c r="B10" s="2184">
        <f>SUM(B4:B9)</f>
        <v>107439</v>
      </c>
      <c r="C10" s="2185">
        <f>SUM(C4:C9)</f>
        <v>1</v>
      </c>
      <c r="D10" s="378"/>
      <c r="E10" s="378"/>
      <c r="F10" s="378"/>
      <c r="G10" s="378"/>
    </row>
    <row r="11" spans="1:15" s="128" customFormat="1">
      <c r="A11" s="379"/>
      <c r="B11" s="378"/>
      <c r="C11" s="378"/>
      <c r="D11" s="378"/>
      <c r="E11" s="378"/>
      <c r="F11" s="378"/>
      <c r="G11" s="378"/>
    </row>
    <row r="12" spans="1:15" s="128" customFormat="1">
      <c r="A12" s="379"/>
      <c r="B12" s="378"/>
      <c r="C12" s="378"/>
      <c r="D12" s="378"/>
      <c r="E12" s="378"/>
      <c r="F12" s="378"/>
      <c r="G12" s="378"/>
    </row>
    <row r="13" spans="1:15" s="128" customFormat="1">
      <c r="A13" s="379"/>
      <c r="B13" s="378"/>
      <c r="C13" s="378"/>
      <c r="D13" s="378"/>
    </row>
    <row r="14" spans="1:15" s="128" customFormat="1"/>
    <row r="15" spans="1:15" s="128" customFormat="1"/>
    <row r="16" spans="1:15" s="128" customFormat="1"/>
    <row r="17" spans="1:4" s="128" customFormat="1"/>
    <row r="18" spans="1:4" s="128" customFormat="1"/>
    <row r="19" spans="1:4" s="128" customFormat="1"/>
    <row r="20" spans="1:4">
      <c r="A20" s="128"/>
      <c r="B20" s="128"/>
      <c r="C20" s="128"/>
      <c r="D20" s="128"/>
    </row>
  </sheetData>
  <mergeCells count="1">
    <mergeCell ref="A1:O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L23"/>
  <sheetViews>
    <sheetView showGridLines="0" view="pageBreakPreview" zoomScale="85" zoomScaleNormal="100" zoomScaleSheetLayoutView="85" workbookViewId="0">
      <selection activeCell="M30" sqref="M30"/>
    </sheetView>
  </sheetViews>
  <sheetFormatPr baseColWidth="10" defaultColWidth="11.42578125" defaultRowHeight="15"/>
  <cols>
    <col min="1" max="1" width="14.7109375" style="59" customWidth="1"/>
    <col min="2" max="2" width="12.85546875" style="59" customWidth="1"/>
    <col min="3" max="3" width="13.28515625" style="59" customWidth="1"/>
    <col min="4" max="4" width="13.85546875" style="59" customWidth="1"/>
    <col min="5" max="5" width="14.7109375" style="59" customWidth="1"/>
    <col min="6" max="6" width="15" style="59" customWidth="1"/>
    <col min="7" max="7" width="11.7109375" style="59" customWidth="1"/>
    <col min="8" max="8" width="20" style="59" customWidth="1"/>
    <col min="9" max="9" width="21.85546875" style="59" customWidth="1"/>
    <col min="10" max="10" width="11.42578125" style="59"/>
    <col min="11" max="11" width="14.42578125" style="59" customWidth="1"/>
    <col min="12" max="12" width="14.140625" style="59" customWidth="1"/>
    <col min="13" max="16384" width="11.42578125" style="59"/>
  </cols>
  <sheetData>
    <row r="1" spans="1:12" s="128" customFormat="1" ht="77.25" customHeight="1">
      <c r="A1" s="2574" t="s">
        <v>2011</v>
      </c>
      <c r="B1" s="2574"/>
      <c r="C1" s="2574"/>
      <c r="D1" s="2574"/>
      <c r="E1" s="2574"/>
      <c r="F1" s="2574"/>
      <c r="G1" s="2574"/>
      <c r="H1" s="2574"/>
      <c r="I1" s="2574"/>
      <c r="J1" s="2574"/>
      <c r="K1" s="2574"/>
      <c r="L1" s="2574"/>
    </row>
    <row r="2" spans="1:12" ht="3.75" customHeight="1">
      <c r="A2" s="2581"/>
      <c r="B2" s="2581"/>
      <c r="C2" s="2581"/>
      <c r="D2" s="2581"/>
      <c r="E2" s="2581"/>
      <c r="F2" s="2581"/>
      <c r="G2" s="2581"/>
      <c r="H2" s="2581"/>
      <c r="I2" s="2581"/>
      <c r="J2" s="2581"/>
      <c r="K2" s="2581"/>
      <c r="L2" s="2581"/>
    </row>
    <row r="3" spans="1:12" s="128" customFormat="1" ht="21.75" customHeight="1">
      <c r="A3" s="1011" t="s">
        <v>0</v>
      </c>
      <c r="B3" s="934" t="s">
        <v>653</v>
      </c>
      <c r="C3" s="934" t="s">
        <v>652</v>
      </c>
      <c r="D3" s="934" t="s">
        <v>167</v>
      </c>
      <c r="E3" s="934" t="s">
        <v>720</v>
      </c>
      <c r="F3" s="934" t="s">
        <v>719</v>
      </c>
    </row>
    <row r="4" spans="1:12" s="128" customFormat="1" ht="15.75">
      <c r="A4" s="1012">
        <v>2008</v>
      </c>
      <c r="B4" s="750">
        <v>4</v>
      </c>
      <c r="C4" s="452">
        <v>6</v>
      </c>
      <c r="D4" s="566">
        <f t="shared" ref="D4:D9" si="0">SUM(B4:C4)</f>
        <v>10</v>
      </c>
      <c r="E4" s="1594">
        <f t="shared" ref="E4:E11" si="1">B4/D4</f>
        <v>0.4</v>
      </c>
      <c r="F4" s="1594">
        <f t="shared" ref="F4:F11" si="2">C4/D4</f>
        <v>0.6</v>
      </c>
    </row>
    <row r="5" spans="1:12" s="128" customFormat="1" ht="15.75">
      <c r="A5" s="1011" t="s">
        <v>468</v>
      </c>
      <c r="B5" s="750">
        <v>53</v>
      </c>
      <c r="C5" s="452">
        <v>45</v>
      </c>
      <c r="D5" s="566">
        <f t="shared" si="0"/>
        <v>98</v>
      </c>
      <c r="E5" s="1594">
        <f t="shared" si="1"/>
        <v>0.54081632653061229</v>
      </c>
      <c r="F5" s="1594">
        <f t="shared" si="2"/>
        <v>0.45918367346938777</v>
      </c>
      <c r="G5" s="22"/>
    </row>
    <row r="6" spans="1:12" s="128" customFormat="1" ht="15.75">
      <c r="A6" s="1011" t="s">
        <v>360</v>
      </c>
      <c r="B6" s="751">
        <v>95</v>
      </c>
      <c r="C6" s="460">
        <v>153</v>
      </c>
      <c r="D6" s="566">
        <f t="shared" si="0"/>
        <v>248</v>
      </c>
      <c r="E6" s="1594">
        <f t="shared" si="1"/>
        <v>0.38306451612903225</v>
      </c>
      <c r="F6" s="1594">
        <f t="shared" si="2"/>
        <v>0.61693548387096775</v>
      </c>
      <c r="G6" s="22"/>
    </row>
    <row r="7" spans="1:12" s="128" customFormat="1" ht="15.75">
      <c r="A7" s="1011" t="s">
        <v>469</v>
      </c>
      <c r="B7" s="750">
        <v>226</v>
      </c>
      <c r="C7" s="452">
        <v>169</v>
      </c>
      <c r="D7" s="566">
        <f t="shared" si="0"/>
        <v>395</v>
      </c>
      <c r="E7" s="1594">
        <f t="shared" si="1"/>
        <v>0.57215189873417727</v>
      </c>
      <c r="F7" s="1594">
        <f t="shared" si="2"/>
        <v>0.42784810126582279</v>
      </c>
      <c r="G7" s="22"/>
    </row>
    <row r="8" spans="1:12" s="128" customFormat="1" ht="15.75">
      <c r="A8" s="1011" t="s">
        <v>1058</v>
      </c>
      <c r="B8" s="750">
        <v>192</v>
      </c>
      <c r="C8" s="452">
        <v>251</v>
      </c>
      <c r="D8" s="566">
        <f t="shared" si="0"/>
        <v>443</v>
      </c>
      <c r="E8" s="1594">
        <f t="shared" si="1"/>
        <v>0.43340857787810383</v>
      </c>
      <c r="F8" s="1594">
        <f t="shared" si="2"/>
        <v>0.56659142212189617</v>
      </c>
      <c r="G8" s="22"/>
    </row>
    <row r="9" spans="1:12" s="128" customFormat="1" ht="15.75">
      <c r="A9" s="1011" t="s">
        <v>1643</v>
      </c>
      <c r="B9" s="1595">
        <v>118</v>
      </c>
      <c r="C9" s="1584">
        <v>384</v>
      </c>
      <c r="D9" s="566">
        <f t="shared" si="0"/>
        <v>502</v>
      </c>
      <c r="E9" s="1594">
        <f>B9/D9</f>
        <v>0.23505976095617531</v>
      </c>
      <c r="F9" s="1594">
        <f>C9/D9</f>
        <v>0.76494023904382469</v>
      </c>
      <c r="G9" s="22"/>
    </row>
    <row r="10" spans="1:12" s="128" customFormat="1" ht="15.75">
      <c r="A10" s="1011" t="s">
        <v>1907</v>
      </c>
      <c r="B10" s="1595">
        <v>122</v>
      </c>
      <c r="C10" s="1584">
        <v>300</v>
      </c>
      <c r="D10" s="566">
        <f>SUM(B10:C10)</f>
        <v>422</v>
      </c>
      <c r="E10" s="1594">
        <f>B10/D10</f>
        <v>0.2890995260663507</v>
      </c>
      <c r="F10" s="1594">
        <f>C10/D10</f>
        <v>0.7109004739336493</v>
      </c>
      <c r="G10" s="22"/>
    </row>
    <row r="11" spans="1:12" s="128" customFormat="1" ht="15.75">
      <c r="A11" s="1013" t="s">
        <v>23</v>
      </c>
      <c r="B11" s="1014">
        <f>SUM(B4:B10)</f>
        <v>810</v>
      </c>
      <c r="C11" s="1014">
        <f>SUM(C4:C10)</f>
        <v>1308</v>
      </c>
      <c r="D11" s="1014">
        <f>SUM(D4:D10)</f>
        <v>2118</v>
      </c>
      <c r="E11" s="1015">
        <f t="shared" si="1"/>
        <v>0.38243626062322944</v>
      </c>
      <c r="F11" s="1016">
        <f t="shared" si="2"/>
        <v>0.61756373937677056</v>
      </c>
      <c r="G11" s="22"/>
    </row>
    <row r="12" spans="1:12" s="128" customFormat="1">
      <c r="A12" s="379"/>
      <c r="B12" s="378"/>
      <c r="C12" s="378"/>
      <c r="L12" s="59"/>
    </row>
    <row r="13" spans="1:12" s="128" customFormat="1">
      <c r="A13" s="379"/>
      <c r="B13" s="378"/>
      <c r="C13" s="378"/>
      <c r="L13" s="59"/>
    </row>
    <row r="14" spans="1:12" s="128" customFormat="1">
      <c r="A14" s="379"/>
      <c r="B14" s="378"/>
      <c r="C14" s="378"/>
    </row>
    <row r="15" spans="1:12" s="128" customFormat="1">
      <c r="A15" s="379"/>
      <c r="B15" s="378"/>
      <c r="C15" s="378"/>
    </row>
    <row r="16" spans="1:12" s="128" customFormat="1"/>
    <row r="17" spans="1:12" s="128" customFormat="1"/>
    <row r="18" spans="1:12" s="128" customFormat="1"/>
    <row r="19" spans="1:12" s="128" customFormat="1"/>
    <row r="20" spans="1:12" s="128" customFormat="1"/>
    <row r="21" spans="1:12" s="128" customFormat="1"/>
    <row r="22" spans="1:12">
      <c r="A22" s="128"/>
      <c r="B22" s="128"/>
      <c r="C22" s="128"/>
      <c r="D22" s="128"/>
      <c r="E22" s="128"/>
      <c r="F22" s="128"/>
      <c r="G22" s="128"/>
      <c r="H22" s="128"/>
    </row>
    <row r="23" spans="1:12">
      <c r="L23" s="37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21"/>
  <sheetViews>
    <sheetView showGridLines="0" view="pageBreakPreview" zoomScale="70" zoomScaleNormal="100" zoomScaleSheetLayoutView="70" workbookViewId="0">
      <selection activeCell="M31" sqref="M31"/>
    </sheetView>
  </sheetViews>
  <sheetFormatPr baseColWidth="10" defaultColWidth="11.42578125" defaultRowHeight="15"/>
  <cols>
    <col min="1" max="1" width="13" style="59" customWidth="1"/>
    <col min="2" max="3" width="12.28515625" style="59" customWidth="1"/>
    <col min="4" max="4" width="14.42578125" style="59" customWidth="1"/>
    <col min="5" max="5" width="16.5703125" style="59" customWidth="1"/>
    <col min="6" max="6" width="17.140625" style="59" customWidth="1"/>
    <col min="7" max="7" width="11.7109375" style="59" customWidth="1"/>
    <col min="8" max="8" width="13.7109375" style="59" customWidth="1"/>
    <col min="9" max="9" width="13.42578125" style="59" customWidth="1"/>
    <col min="10" max="10" width="22.42578125" style="59" customWidth="1"/>
    <col min="11" max="11" width="19.7109375" style="59" customWidth="1"/>
    <col min="12" max="12" width="32.140625" style="59" customWidth="1"/>
    <col min="13" max="13" width="11.42578125" style="59" customWidth="1"/>
    <col min="14" max="16384" width="11.42578125" style="59"/>
  </cols>
  <sheetData>
    <row r="1" spans="1:13" s="128" customFormat="1" ht="79.5" customHeight="1">
      <c r="A1" s="2563" t="s">
        <v>2012</v>
      </c>
      <c r="B1" s="2563"/>
      <c r="C1" s="2563"/>
      <c r="D1" s="2563"/>
      <c r="E1" s="2563"/>
      <c r="F1" s="2563"/>
      <c r="G1" s="2563"/>
      <c r="H1" s="2563"/>
      <c r="I1" s="2563"/>
      <c r="J1" s="2563"/>
      <c r="K1" s="2563"/>
      <c r="L1" s="2563"/>
      <c r="M1" s="380"/>
    </row>
    <row r="2" spans="1:13" ht="4.5" customHeight="1">
      <c r="A2" s="701"/>
      <c r="B2" s="701"/>
      <c r="C2" s="701"/>
      <c r="D2" s="701"/>
      <c r="E2" s="701"/>
      <c r="F2" s="701"/>
      <c r="G2" s="701"/>
      <c r="H2" s="701"/>
      <c r="I2" s="701"/>
      <c r="J2" s="701"/>
      <c r="K2" s="701"/>
      <c r="L2" s="701"/>
      <c r="M2" s="582"/>
    </row>
    <row r="3" spans="1:13" s="128" customFormat="1" ht="21.75" customHeight="1">
      <c r="A3" s="1011" t="s">
        <v>0</v>
      </c>
      <c r="B3" s="934" t="s">
        <v>653</v>
      </c>
      <c r="C3" s="934" t="s">
        <v>652</v>
      </c>
      <c r="D3" s="934" t="s">
        <v>167</v>
      </c>
      <c r="E3" s="934" t="s">
        <v>720</v>
      </c>
      <c r="F3" s="934" t="s">
        <v>719</v>
      </c>
    </row>
    <row r="4" spans="1:13" s="128" customFormat="1" ht="15.75">
      <c r="A4" s="1017" t="s">
        <v>468</v>
      </c>
      <c r="B4" s="391">
        <v>66</v>
      </c>
      <c r="C4" s="170">
        <v>86</v>
      </c>
      <c r="D4" s="469">
        <f t="shared" ref="D4:D9" si="0">SUM(B4:C4)</f>
        <v>152</v>
      </c>
      <c r="E4" s="470">
        <f>B5/D4</f>
        <v>0.58552631578947367</v>
      </c>
      <c r="F4" s="470">
        <f>C5/D4</f>
        <v>0.375</v>
      </c>
      <c r="G4" s="22"/>
    </row>
    <row r="5" spans="1:13" s="128" customFormat="1" ht="15.75">
      <c r="A5" s="1017" t="s">
        <v>360</v>
      </c>
      <c r="B5" s="391">
        <v>89</v>
      </c>
      <c r="C5" s="170">
        <v>57</v>
      </c>
      <c r="D5" s="469">
        <f t="shared" si="0"/>
        <v>146</v>
      </c>
      <c r="E5" s="470">
        <f t="shared" ref="E5:E10" si="1">B5/D5</f>
        <v>0.6095890410958904</v>
      </c>
      <c r="F5" s="470">
        <f t="shared" ref="F5:F10" si="2">C5/D5</f>
        <v>0.3904109589041096</v>
      </c>
      <c r="G5" s="22"/>
      <c r="M5" s="59"/>
    </row>
    <row r="6" spans="1:13" s="128" customFormat="1" ht="15.75">
      <c r="A6" s="1017" t="s">
        <v>469</v>
      </c>
      <c r="B6" s="391">
        <v>86</v>
      </c>
      <c r="C6" s="170">
        <v>86</v>
      </c>
      <c r="D6" s="469">
        <f t="shared" si="0"/>
        <v>172</v>
      </c>
      <c r="E6" s="470">
        <f t="shared" si="1"/>
        <v>0.5</v>
      </c>
      <c r="F6" s="470">
        <f t="shared" si="2"/>
        <v>0.5</v>
      </c>
      <c r="G6" s="22"/>
      <c r="M6" s="59"/>
    </row>
    <row r="7" spans="1:13" s="128" customFormat="1" ht="15.75">
      <c r="A7" s="1017" t="s">
        <v>1058</v>
      </c>
      <c r="B7" s="391">
        <v>43</v>
      </c>
      <c r="C7" s="170">
        <v>78</v>
      </c>
      <c r="D7" s="469">
        <f t="shared" si="0"/>
        <v>121</v>
      </c>
      <c r="E7" s="470">
        <f t="shared" si="1"/>
        <v>0.35537190082644626</v>
      </c>
      <c r="F7" s="470">
        <f t="shared" si="2"/>
        <v>0.64462809917355368</v>
      </c>
      <c r="G7" s="22"/>
      <c r="M7" s="59"/>
    </row>
    <row r="8" spans="1:13" s="128" customFormat="1" ht="15.75">
      <c r="A8" s="1017" t="s">
        <v>1643</v>
      </c>
      <c r="B8" s="1596">
        <v>78</v>
      </c>
      <c r="C8" s="885">
        <v>134</v>
      </c>
      <c r="D8" s="1585">
        <f t="shared" si="0"/>
        <v>212</v>
      </c>
      <c r="E8" s="470">
        <f t="shared" si="1"/>
        <v>0.36792452830188677</v>
      </c>
      <c r="F8" s="470">
        <f t="shared" si="2"/>
        <v>0.63207547169811318</v>
      </c>
      <c r="G8" s="22"/>
      <c r="M8" s="59"/>
    </row>
    <row r="9" spans="1:13" s="128" customFormat="1" ht="15.75">
      <c r="A9" s="1017" t="s">
        <v>1907</v>
      </c>
      <c r="B9" s="1596">
        <v>66</v>
      </c>
      <c r="C9" s="885">
        <v>115</v>
      </c>
      <c r="D9" s="1585">
        <f t="shared" si="0"/>
        <v>181</v>
      </c>
      <c r="E9" s="470">
        <f t="shared" si="1"/>
        <v>0.36464088397790057</v>
      </c>
      <c r="F9" s="470">
        <f t="shared" si="2"/>
        <v>0.63535911602209949</v>
      </c>
      <c r="G9" s="22"/>
      <c r="M9" s="59"/>
    </row>
    <row r="10" spans="1:13" s="128" customFormat="1" ht="15.75">
      <c r="A10" s="1013" t="s">
        <v>23</v>
      </c>
      <c r="B10" s="1014">
        <f>SUM(B4:B9)</f>
        <v>428</v>
      </c>
      <c r="C10" s="1014">
        <f>SUM(C4:C9)</f>
        <v>556</v>
      </c>
      <c r="D10" s="1014">
        <f>SUM(D4:D9)</f>
        <v>984</v>
      </c>
      <c r="E10" s="1015">
        <f t="shared" si="1"/>
        <v>0.43495934959349591</v>
      </c>
      <c r="F10" s="1015">
        <f t="shared" si="2"/>
        <v>0.56504065040650409</v>
      </c>
      <c r="G10" s="22"/>
      <c r="L10" s="59"/>
      <c r="M10" s="59"/>
    </row>
    <row r="11" spans="1:13" s="128" customFormat="1">
      <c r="A11" s="379"/>
      <c r="B11" s="378"/>
      <c r="C11" s="378"/>
      <c r="L11" s="59"/>
      <c r="M11" s="59"/>
    </row>
    <row r="12" spans="1:13" s="128" customFormat="1">
      <c r="A12" s="379"/>
      <c r="B12" s="378"/>
      <c r="C12" s="378"/>
    </row>
    <row r="13" spans="1:13" s="128" customFormat="1">
      <c r="A13" s="379"/>
      <c r="B13" s="378"/>
      <c r="C13" s="378"/>
    </row>
    <row r="14" spans="1:13" s="128" customFormat="1">
      <c r="A14" s="379"/>
      <c r="B14" s="378"/>
      <c r="C14" s="378"/>
    </row>
    <row r="15" spans="1:13" s="128" customFormat="1"/>
    <row r="16" spans="1:13" s="128" customFormat="1"/>
    <row r="17" spans="1:12" s="128" customFormat="1"/>
    <row r="18" spans="1:12" s="128" customFormat="1"/>
    <row r="19" spans="1:12" s="128" customFormat="1"/>
    <row r="20" spans="1:12">
      <c r="A20" s="128"/>
      <c r="B20" s="128"/>
      <c r="C20" s="128"/>
      <c r="D20" s="128"/>
      <c r="E20" s="128"/>
      <c r="F20" s="128"/>
      <c r="G20" s="128"/>
      <c r="H20" s="128"/>
    </row>
    <row r="21" spans="1:12">
      <c r="A21" s="128"/>
      <c r="B21" s="128"/>
      <c r="C21" s="128"/>
      <c r="D21" s="128"/>
      <c r="E21" s="128"/>
      <c r="F21" s="128"/>
      <c r="G21" s="128"/>
      <c r="H21" s="128"/>
      <c r="L21" s="377"/>
    </row>
  </sheetData>
  <mergeCells count="1">
    <mergeCell ref="A1:L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O22"/>
  <sheetViews>
    <sheetView showGridLines="0" view="pageBreakPreview" zoomScale="85" zoomScaleNormal="100" zoomScaleSheetLayoutView="85" workbookViewId="0">
      <selection activeCell="M7" sqref="M7"/>
    </sheetView>
  </sheetViews>
  <sheetFormatPr baseColWidth="10" defaultColWidth="11.42578125" defaultRowHeight="15"/>
  <cols>
    <col min="1" max="1" width="12.42578125" style="59" customWidth="1"/>
    <col min="2" max="4" width="12.28515625" style="59" customWidth="1"/>
    <col min="5" max="5" width="14.85546875" style="59" hidden="1" customWidth="1"/>
    <col min="6" max="6" width="14.42578125" style="59" customWidth="1"/>
    <col min="7" max="8" width="13.28515625" style="59" customWidth="1"/>
    <col min="9" max="9" width="13.42578125" style="59" customWidth="1"/>
    <col min="10" max="10" width="15.28515625" style="59" customWidth="1"/>
    <col min="11" max="11" width="13.42578125" style="59" customWidth="1"/>
    <col min="12" max="13" width="11.42578125" style="59"/>
    <col min="14" max="14" width="16.28515625" style="59" customWidth="1"/>
    <col min="15" max="15" width="11.42578125" style="59" customWidth="1"/>
    <col min="16" max="16384" width="11.42578125" style="59"/>
  </cols>
  <sheetData>
    <row r="1" spans="1:15" s="128" customFormat="1" ht="78.75" customHeight="1">
      <c r="A1" s="2563" t="s">
        <v>2013</v>
      </c>
      <c r="B1" s="2563"/>
      <c r="C1" s="2563"/>
      <c r="D1" s="2563"/>
      <c r="E1" s="2563"/>
      <c r="F1" s="2563"/>
      <c r="G1" s="2563"/>
      <c r="H1" s="2563"/>
      <c r="I1" s="2563"/>
      <c r="J1" s="2563"/>
      <c r="K1" s="2563"/>
      <c r="L1" s="2563"/>
      <c r="M1" s="2563"/>
      <c r="N1" s="2563"/>
      <c r="O1" s="380"/>
    </row>
    <row r="2" spans="1:15" ht="6.75" customHeight="1">
      <c r="A2" s="572"/>
      <c r="B2" s="572"/>
      <c r="C2" s="572"/>
      <c r="D2" s="572"/>
      <c r="E2" s="572"/>
      <c r="F2" s="572"/>
      <c r="G2" s="572"/>
      <c r="H2" s="572"/>
      <c r="I2" s="572"/>
      <c r="J2" s="572"/>
      <c r="K2" s="572"/>
      <c r="L2" s="572"/>
      <c r="M2" s="582"/>
      <c r="N2" s="582"/>
      <c r="O2" s="582"/>
    </row>
    <row r="3" spans="1:15" s="128" customFormat="1" ht="31.5">
      <c r="A3" s="1011" t="s">
        <v>0</v>
      </c>
      <c r="B3" s="934" t="s">
        <v>517</v>
      </c>
      <c r="C3" s="934" t="s">
        <v>516</v>
      </c>
      <c r="D3" s="934" t="s">
        <v>515</v>
      </c>
      <c r="E3" s="934" t="s">
        <v>514</v>
      </c>
      <c r="F3" s="934" t="s">
        <v>167</v>
      </c>
      <c r="G3" s="934" t="s">
        <v>513</v>
      </c>
      <c r="H3" s="934" t="s">
        <v>512</v>
      </c>
      <c r="I3" s="934" t="s">
        <v>511</v>
      </c>
      <c r="J3" s="934" t="s">
        <v>510</v>
      </c>
    </row>
    <row r="4" spans="1:15" s="128" customFormat="1" ht="15.75">
      <c r="A4" s="1011" t="s">
        <v>468</v>
      </c>
      <c r="B4" s="452">
        <v>34</v>
      </c>
      <c r="C4" s="452">
        <v>29</v>
      </c>
      <c r="D4" s="452">
        <v>2</v>
      </c>
      <c r="E4" s="452">
        <v>1</v>
      </c>
      <c r="F4" s="720">
        <f t="shared" ref="F4:F9" si="0">SUM(B4:E4)</f>
        <v>66</v>
      </c>
      <c r="G4" s="1726">
        <f t="shared" ref="G4:G10" si="1">B4/F4</f>
        <v>0.51515151515151514</v>
      </c>
      <c r="H4" s="1726">
        <f t="shared" ref="H4:H10" si="2">C4/F4</f>
        <v>0.43939393939393939</v>
      </c>
      <c r="I4" s="1726">
        <f t="shared" ref="I4:I10" si="3">D4/F4</f>
        <v>3.0303030303030304E-2</v>
      </c>
      <c r="J4" s="471">
        <f t="shared" ref="J4:J10" si="4">E4/F4</f>
        <v>1.5151515151515152E-2</v>
      </c>
    </row>
    <row r="5" spans="1:15" s="128" customFormat="1" ht="15.75">
      <c r="A5" s="1011" t="s">
        <v>360</v>
      </c>
      <c r="B5" s="460">
        <v>20</v>
      </c>
      <c r="C5" s="460">
        <v>64</v>
      </c>
      <c r="D5" s="460">
        <v>5</v>
      </c>
      <c r="E5" s="460">
        <v>0</v>
      </c>
      <c r="F5" s="721">
        <f t="shared" si="0"/>
        <v>89</v>
      </c>
      <c r="G5" s="1727">
        <f t="shared" si="1"/>
        <v>0.2247191011235955</v>
      </c>
      <c r="H5" s="1727">
        <f t="shared" si="2"/>
        <v>0.7191011235955056</v>
      </c>
      <c r="I5" s="1726">
        <f t="shared" si="3"/>
        <v>5.6179775280898875E-2</v>
      </c>
      <c r="J5" s="471">
        <f t="shared" si="4"/>
        <v>0</v>
      </c>
      <c r="O5" s="59"/>
    </row>
    <row r="6" spans="1:15" s="128" customFormat="1" ht="15.75">
      <c r="A6" s="1011" t="s">
        <v>469</v>
      </c>
      <c r="B6" s="688">
        <v>29</v>
      </c>
      <c r="C6" s="688">
        <v>54</v>
      </c>
      <c r="D6" s="688">
        <v>3</v>
      </c>
      <c r="E6" s="688">
        <v>0</v>
      </c>
      <c r="F6" s="747">
        <f t="shared" si="0"/>
        <v>86</v>
      </c>
      <c r="G6" s="1726">
        <f t="shared" si="1"/>
        <v>0.33720930232558138</v>
      </c>
      <c r="H6" s="1726">
        <f t="shared" si="2"/>
        <v>0.62790697674418605</v>
      </c>
      <c r="I6" s="1726">
        <f t="shared" si="3"/>
        <v>3.4883720930232558E-2</v>
      </c>
      <c r="J6" s="471">
        <f t="shared" si="4"/>
        <v>0</v>
      </c>
    </row>
    <row r="7" spans="1:15" s="128" customFormat="1" ht="15.75">
      <c r="A7" s="1011" t="s">
        <v>1058</v>
      </c>
      <c r="B7" s="1587">
        <v>14</v>
      </c>
      <c r="C7" s="1587">
        <v>25</v>
      </c>
      <c r="D7" s="1587">
        <v>4</v>
      </c>
      <c r="E7" s="1587"/>
      <c r="F7" s="1588">
        <f t="shared" si="0"/>
        <v>43</v>
      </c>
      <c r="G7" s="1726">
        <f t="shared" si="1"/>
        <v>0.32558139534883723</v>
      </c>
      <c r="H7" s="1726">
        <f t="shared" si="2"/>
        <v>0.58139534883720934</v>
      </c>
      <c r="I7" s="1726">
        <f t="shared" si="3"/>
        <v>9.3023255813953487E-2</v>
      </c>
      <c r="J7" s="471">
        <f t="shared" si="4"/>
        <v>0</v>
      </c>
    </row>
    <row r="8" spans="1:15" s="128" customFormat="1" ht="15.75">
      <c r="A8" s="1011" t="s">
        <v>1643</v>
      </c>
      <c r="B8" s="1587">
        <v>39</v>
      </c>
      <c r="C8" s="1587">
        <v>38</v>
      </c>
      <c r="D8" s="1587">
        <v>1</v>
      </c>
      <c r="E8" s="1587"/>
      <c r="F8" s="1588">
        <f t="shared" si="0"/>
        <v>78</v>
      </c>
      <c r="G8" s="1726">
        <f t="shared" si="1"/>
        <v>0.5</v>
      </c>
      <c r="H8" s="1726">
        <f t="shared" si="2"/>
        <v>0.48717948717948717</v>
      </c>
      <c r="I8" s="1726">
        <f t="shared" si="3"/>
        <v>1.282051282051282E-2</v>
      </c>
      <c r="J8" s="471">
        <f t="shared" si="4"/>
        <v>0</v>
      </c>
    </row>
    <row r="9" spans="1:15" s="128" customFormat="1" ht="15.75">
      <c r="A9" s="1011" t="s">
        <v>1907</v>
      </c>
      <c r="B9" s="1587">
        <v>31</v>
      </c>
      <c r="C9" s="1587">
        <v>32</v>
      </c>
      <c r="D9" s="1587">
        <v>3</v>
      </c>
      <c r="E9" s="1587"/>
      <c r="F9" s="1588">
        <f t="shared" si="0"/>
        <v>66</v>
      </c>
      <c r="G9" s="1726">
        <f>B9/F9</f>
        <v>0.46969696969696972</v>
      </c>
      <c r="H9" s="1726">
        <f>C9/F9</f>
        <v>0.48484848484848486</v>
      </c>
      <c r="I9" s="1726">
        <f>D9/F9</f>
        <v>4.5454545454545456E-2</v>
      </c>
      <c r="J9" s="471">
        <f>E9/F9</f>
        <v>0</v>
      </c>
    </row>
    <row r="10" spans="1:15" s="128" customFormat="1" ht="18" customHeight="1">
      <c r="A10" s="934" t="s">
        <v>23</v>
      </c>
      <c r="B10" s="1170">
        <f>SUM(B4:B9)</f>
        <v>167</v>
      </c>
      <c r="C10" s="1170">
        <f>SUM(C4:C9)</f>
        <v>242</v>
      </c>
      <c r="D10" s="1170">
        <f>SUM(D4:D9)</f>
        <v>18</v>
      </c>
      <c r="E10" s="1170">
        <f>SUM(E4:E9)</f>
        <v>1</v>
      </c>
      <c r="F10" s="1170">
        <f>SUM(F4:F9)</f>
        <v>428</v>
      </c>
      <c r="G10" s="1140">
        <f t="shared" si="1"/>
        <v>0.39018691588785048</v>
      </c>
      <c r="H10" s="1140">
        <f t="shared" si="2"/>
        <v>0.56542056074766356</v>
      </c>
      <c r="I10" s="1140">
        <f t="shared" si="3"/>
        <v>4.2056074766355138E-2</v>
      </c>
      <c r="J10" s="1140">
        <f t="shared" si="4"/>
        <v>2.3364485981308409E-3</v>
      </c>
      <c r="O10" s="722"/>
    </row>
    <row r="11" spans="1:15" s="128" customFormat="1" ht="21.75" customHeight="1">
      <c r="A11" s="2582" t="s">
        <v>2028</v>
      </c>
      <c r="B11" s="2582"/>
      <c r="C11" s="2582"/>
      <c r="D11" s="2582"/>
      <c r="E11" s="2582"/>
      <c r="F11" s="2582"/>
      <c r="G11" s="2582"/>
      <c r="H11" s="2582"/>
      <c r="I11" s="2582"/>
      <c r="J11" s="2582"/>
      <c r="K11" s="2582"/>
      <c r="L11" s="2582"/>
      <c r="N11" s="59"/>
      <c r="O11" s="722"/>
    </row>
    <row r="12" spans="1:15" s="128" customFormat="1">
      <c r="A12" s="379"/>
      <c r="B12" s="378"/>
      <c r="C12" s="378"/>
      <c r="D12" s="378"/>
      <c r="E12" s="378"/>
      <c r="N12" s="59"/>
      <c r="O12" s="722"/>
    </row>
    <row r="13" spans="1:15" s="128" customFormat="1">
      <c r="A13" s="379"/>
      <c r="B13" s="378"/>
      <c r="C13" s="378"/>
      <c r="D13" s="378"/>
      <c r="E13" s="378"/>
      <c r="O13" s="722"/>
    </row>
    <row r="14" spans="1:15" s="128" customFormat="1">
      <c r="A14" s="379"/>
      <c r="B14" s="378"/>
      <c r="C14" s="378"/>
      <c r="D14" s="378"/>
      <c r="E14" s="378"/>
    </row>
    <row r="15" spans="1:15" s="128" customFormat="1"/>
    <row r="16" spans="1:15" s="128" customFormat="1"/>
    <row r="17" spans="1:14" s="128" customFormat="1"/>
    <row r="18" spans="1:14" s="128" customFormat="1"/>
    <row r="19" spans="1:14" s="128" customFormat="1"/>
    <row r="20" spans="1:14" s="128" customFormat="1"/>
    <row r="21" spans="1:14">
      <c r="A21" s="128"/>
      <c r="B21" s="128"/>
      <c r="C21" s="128"/>
      <c r="D21" s="128"/>
      <c r="E21" s="128"/>
      <c r="F21" s="128"/>
      <c r="G21" s="128"/>
      <c r="H21" s="128"/>
      <c r="I21" s="128"/>
      <c r="J21" s="128"/>
    </row>
    <row r="22" spans="1:14">
      <c r="N22" s="377"/>
    </row>
  </sheetData>
  <mergeCells count="2">
    <mergeCell ref="A1:N1"/>
    <mergeCell ref="A11:L1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21"/>
  <sheetViews>
    <sheetView showGridLines="0" view="pageBreakPreview" zoomScale="70" zoomScaleNormal="100" zoomScaleSheetLayoutView="70" workbookViewId="0">
      <selection activeCell="P27" sqref="P27"/>
    </sheetView>
  </sheetViews>
  <sheetFormatPr baseColWidth="10" defaultColWidth="11.42578125" defaultRowHeight="15"/>
  <cols>
    <col min="1" max="1" width="17.7109375" style="59" customWidth="1"/>
    <col min="2" max="3" width="12.28515625" style="59" customWidth="1"/>
    <col min="4" max="4" width="9.5703125" style="59" customWidth="1"/>
    <col min="5" max="5" width="11.28515625" style="59" customWidth="1"/>
    <col min="6" max="6" width="11.140625" style="59" customWidth="1"/>
    <col min="7" max="7" width="14.140625" style="59" customWidth="1"/>
    <col min="8" max="8" width="13.28515625" style="59" customWidth="1"/>
    <col min="9" max="10" width="14.85546875" style="59" customWidth="1"/>
    <col min="11" max="11" width="19.140625" style="59" customWidth="1"/>
    <col min="12" max="12" width="17.140625" style="59" customWidth="1"/>
    <col min="13" max="16384" width="11.42578125" style="59"/>
  </cols>
  <sheetData>
    <row r="1" spans="1:13" s="128" customFormat="1" ht="69.75" customHeight="1">
      <c r="A1" s="2574" t="s">
        <v>2014</v>
      </c>
      <c r="B1" s="2574"/>
      <c r="C1" s="2574"/>
      <c r="D1" s="2574"/>
      <c r="E1" s="2574"/>
      <c r="F1" s="2574"/>
      <c r="G1" s="2574"/>
      <c r="H1" s="2574"/>
      <c r="I1" s="2574"/>
      <c r="J1" s="2574"/>
      <c r="K1" s="2574"/>
      <c r="L1" s="2574"/>
      <c r="M1" s="380"/>
    </row>
    <row r="2" spans="1:13" ht="3" customHeight="1">
      <c r="A2" s="701"/>
      <c r="B2" s="701"/>
      <c r="C2" s="701"/>
      <c r="D2" s="701"/>
      <c r="E2" s="701"/>
      <c r="F2" s="701"/>
      <c r="G2" s="701"/>
      <c r="H2" s="701"/>
      <c r="I2" s="701"/>
      <c r="J2" s="701"/>
      <c r="K2" s="701"/>
      <c r="L2" s="701"/>
      <c r="M2" s="380"/>
    </row>
    <row r="3" spans="1:13" s="128" customFormat="1" ht="31.5">
      <c r="A3" s="1011" t="s">
        <v>0</v>
      </c>
      <c r="B3" s="934" t="s">
        <v>666</v>
      </c>
      <c r="C3" s="934" t="s">
        <v>665</v>
      </c>
      <c r="D3" s="934" t="s">
        <v>664</v>
      </c>
      <c r="E3" s="934" t="s">
        <v>663</v>
      </c>
      <c r="F3" s="934" t="s">
        <v>167</v>
      </c>
      <c r="G3" s="934" t="s">
        <v>721</v>
      </c>
      <c r="H3" s="934" t="s">
        <v>659</v>
      </c>
      <c r="I3" s="934" t="s">
        <v>658</v>
      </c>
      <c r="J3" s="934" t="s">
        <v>657</v>
      </c>
      <c r="M3" s="380"/>
    </row>
    <row r="4" spans="1:13" s="128" customFormat="1" ht="15.75">
      <c r="A4" s="1011" t="s">
        <v>468</v>
      </c>
      <c r="B4" s="452">
        <v>11</v>
      </c>
      <c r="C4" s="452">
        <v>51</v>
      </c>
      <c r="D4" s="452">
        <v>2</v>
      </c>
      <c r="E4" s="452">
        <v>2</v>
      </c>
      <c r="F4" s="720">
        <f t="shared" ref="F4:F9" si="0">SUM(B4:E4)</f>
        <v>66</v>
      </c>
      <c r="G4" s="841">
        <f t="shared" ref="G4:G10" si="1">B4/F4</f>
        <v>0.16666666666666666</v>
      </c>
      <c r="H4" s="841">
        <f t="shared" ref="H4:H10" si="2">C4/F4</f>
        <v>0.77272727272727271</v>
      </c>
      <c r="I4" s="841">
        <f t="shared" ref="I4:I10" si="3">D4/F4</f>
        <v>3.0303030303030304E-2</v>
      </c>
      <c r="J4" s="841">
        <f t="shared" ref="J4:J10" si="4">E4/F4</f>
        <v>3.0303030303030304E-2</v>
      </c>
      <c r="M4" s="380"/>
    </row>
    <row r="5" spans="1:13" s="128" customFormat="1" ht="15.75">
      <c r="A5" s="1011" t="s">
        <v>360</v>
      </c>
      <c r="B5" s="460">
        <v>7</v>
      </c>
      <c r="C5" s="460">
        <v>60</v>
      </c>
      <c r="D5" s="460">
        <v>14</v>
      </c>
      <c r="E5" s="460">
        <v>8</v>
      </c>
      <c r="F5" s="720">
        <f t="shared" si="0"/>
        <v>89</v>
      </c>
      <c r="G5" s="842">
        <f t="shared" si="1"/>
        <v>7.8651685393258425E-2</v>
      </c>
      <c r="H5" s="842">
        <f t="shared" si="2"/>
        <v>0.6741573033707865</v>
      </c>
      <c r="I5" s="841">
        <f t="shared" si="3"/>
        <v>0.15730337078651685</v>
      </c>
      <c r="J5" s="841">
        <f t="shared" si="4"/>
        <v>8.98876404494382E-2</v>
      </c>
      <c r="M5" s="380"/>
    </row>
    <row r="6" spans="1:13" s="128" customFormat="1" ht="15.75">
      <c r="A6" s="1011" t="s">
        <v>469</v>
      </c>
      <c r="B6" s="688">
        <v>6</v>
      </c>
      <c r="C6" s="688">
        <v>64</v>
      </c>
      <c r="D6" s="688">
        <v>10</v>
      </c>
      <c r="E6" s="688">
        <v>6</v>
      </c>
      <c r="F6" s="720">
        <f t="shared" si="0"/>
        <v>86</v>
      </c>
      <c r="G6" s="841">
        <f t="shared" si="1"/>
        <v>6.9767441860465115E-2</v>
      </c>
      <c r="H6" s="841">
        <f t="shared" si="2"/>
        <v>0.7441860465116279</v>
      </c>
      <c r="I6" s="841">
        <f t="shared" si="3"/>
        <v>0.11627906976744186</v>
      </c>
      <c r="J6" s="841">
        <f t="shared" si="4"/>
        <v>6.9767441860465115E-2</v>
      </c>
      <c r="M6" s="380"/>
    </row>
    <row r="7" spans="1:13" s="128" customFormat="1" ht="15.75">
      <c r="A7" s="1011" t="s">
        <v>1058</v>
      </c>
      <c r="B7" s="1587">
        <v>6</v>
      </c>
      <c r="C7" s="1587">
        <v>26</v>
      </c>
      <c r="D7" s="1587">
        <v>8</v>
      </c>
      <c r="E7" s="1587">
        <v>3</v>
      </c>
      <c r="F7" s="720">
        <f t="shared" si="0"/>
        <v>43</v>
      </c>
      <c r="G7" s="1597">
        <f t="shared" si="1"/>
        <v>0.13953488372093023</v>
      </c>
      <c r="H7" s="1597">
        <f t="shared" si="2"/>
        <v>0.60465116279069764</v>
      </c>
      <c r="I7" s="1597">
        <f t="shared" si="3"/>
        <v>0.18604651162790697</v>
      </c>
      <c r="J7" s="1597">
        <f t="shared" si="4"/>
        <v>6.9767441860465115E-2</v>
      </c>
      <c r="M7" s="380"/>
    </row>
    <row r="8" spans="1:13" s="128" customFormat="1" ht="15.75">
      <c r="A8" s="1011" t="s">
        <v>1643</v>
      </c>
      <c r="B8" s="1587">
        <v>8</v>
      </c>
      <c r="C8" s="1587">
        <v>58</v>
      </c>
      <c r="D8" s="1587">
        <v>7</v>
      </c>
      <c r="E8" s="1587">
        <v>5</v>
      </c>
      <c r="F8" s="720">
        <f t="shared" si="0"/>
        <v>78</v>
      </c>
      <c r="G8" s="1597">
        <f t="shared" si="1"/>
        <v>0.10256410256410256</v>
      </c>
      <c r="H8" s="1597">
        <f t="shared" si="2"/>
        <v>0.74358974358974361</v>
      </c>
      <c r="I8" s="1597">
        <f t="shared" si="3"/>
        <v>8.9743589743589744E-2</v>
      </c>
      <c r="J8" s="1597">
        <f t="shared" si="4"/>
        <v>6.4102564102564097E-2</v>
      </c>
      <c r="M8" s="380"/>
    </row>
    <row r="9" spans="1:13" s="128" customFormat="1" ht="15.75">
      <c r="A9" s="1011" t="s">
        <v>1907</v>
      </c>
      <c r="B9" s="1587">
        <v>7</v>
      </c>
      <c r="C9" s="1587">
        <v>49</v>
      </c>
      <c r="D9" s="1587">
        <v>8</v>
      </c>
      <c r="E9" s="1587">
        <v>2</v>
      </c>
      <c r="F9" s="720">
        <f t="shared" si="0"/>
        <v>66</v>
      </c>
      <c r="G9" s="1597">
        <f>B9/F9</f>
        <v>0.10606060606060606</v>
      </c>
      <c r="H9" s="1597">
        <f>C9/F9</f>
        <v>0.74242424242424243</v>
      </c>
      <c r="I9" s="1597">
        <f>D9/F9</f>
        <v>0.12121212121212122</v>
      </c>
      <c r="J9" s="1597">
        <f>E9/F9</f>
        <v>3.0303030303030304E-2</v>
      </c>
      <c r="M9" s="380"/>
    </row>
    <row r="10" spans="1:13" s="128" customFormat="1" ht="15.75">
      <c r="A10" s="934" t="s">
        <v>23</v>
      </c>
      <c r="B10" s="1170">
        <f>SUM(B4:B9)</f>
        <v>45</v>
      </c>
      <c r="C10" s="1170">
        <f>SUM(C4:C9)</f>
        <v>308</v>
      </c>
      <c r="D10" s="1170">
        <f>SUM(D4:D9)</f>
        <v>49</v>
      </c>
      <c r="E10" s="1170">
        <f>SUM(E4:E9)</f>
        <v>26</v>
      </c>
      <c r="F10" s="1170">
        <f>SUM(F4:F9)</f>
        <v>428</v>
      </c>
      <c r="G10" s="1140">
        <f t="shared" si="1"/>
        <v>0.10514018691588785</v>
      </c>
      <c r="H10" s="1140">
        <f t="shared" si="2"/>
        <v>0.71962616822429903</v>
      </c>
      <c r="I10" s="1140">
        <f t="shared" si="3"/>
        <v>0.11448598130841121</v>
      </c>
      <c r="J10" s="1140">
        <f t="shared" si="4"/>
        <v>6.0747663551401869E-2</v>
      </c>
      <c r="M10" s="380"/>
    </row>
    <row r="11" spans="1:13" s="128" customFormat="1">
      <c r="A11" s="379"/>
      <c r="B11" s="378"/>
      <c r="C11" s="378"/>
      <c r="D11" s="378"/>
      <c r="E11" s="378"/>
    </row>
    <row r="12" spans="1:13" s="128" customFormat="1">
      <c r="A12" s="379"/>
      <c r="B12" s="378"/>
      <c r="C12" s="378"/>
      <c r="D12" s="378"/>
      <c r="E12" s="378"/>
    </row>
    <row r="13" spans="1:13" s="128" customFormat="1">
      <c r="A13" s="379"/>
      <c r="B13" s="378"/>
      <c r="C13" s="378"/>
      <c r="D13" s="378"/>
      <c r="E13" s="378"/>
    </row>
    <row r="14" spans="1:13" s="128" customFormat="1">
      <c r="A14" s="379"/>
      <c r="B14" s="378"/>
      <c r="C14" s="378"/>
      <c r="D14" s="378"/>
      <c r="E14" s="378"/>
    </row>
    <row r="15" spans="1:13" s="128" customFormat="1"/>
    <row r="16" spans="1:13" s="128" customFormat="1"/>
    <row r="17" spans="1:10" s="128" customFormat="1"/>
    <row r="18" spans="1:10" s="128" customFormat="1"/>
    <row r="19" spans="1:10" s="128" customFormat="1"/>
    <row r="20" spans="1:10" s="128" customFormat="1"/>
    <row r="21" spans="1:10">
      <c r="A21" s="128"/>
      <c r="B21" s="128"/>
      <c r="C21" s="128"/>
      <c r="D21" s="128"/>
      <c r="E21" s="128"/>
      <c r="F21" s="128"/>
      <c r="G21" s="128"/>
      <c r="H21" s="128"/>
      <c r="I21" s="128"/>
      <c r="J21" s="12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21"/>
  <sheetViews>
    <sheetView showGridLines="0" view="pageBreakPreview" zoomScale="70" zoomScaleNormal="100" zoomScaleSheetLayoutView="70" workbookViewId="0">
      <selection activeCell="O40" sqref="O40"/>
    </sheetView>
  </sheetViews>
  <sheetFormatPr baseColWidth="10" defaultColWidth="11.42578125" defaultRowHeight="15"/>
  <cols>
    <col min="1" max="1" width="14.85546875" style="59" customWidth="1"/>
    <col min="2" max="3" width="12.28515625" style="59" customWidth="1"/>
    <col min="4" max="4" width="14.140625" style="59" customWidth="1"/>
    <col min="5" max="5" width="10.5703125" style="59" customWidth="1"/>
    <col min="6" max="6" width="9.7109375" style="59" customWidth="1"/>
    <col min="7" max="7" width="15.28515625" style="59" customWidth="1"/>
    <col min="8" max="8" width="10.7109375" style="59" bestFit="1" customWidth="1"/>
    <col min="9" max="11" width="16.42578125" style="59" customWidth="1"/>
    <col min="12" max="13" width="13" style="59" customWidth="1"/>
    <col min="14" max="14" width="16.42578125" style="59" customWidth="1"/>
    <col min="15" max="16384" width="11.42578125" style="59"/>
  </cols>
  <sheetData>
    <row r="1" spans="1:15" s="128" customFormat="1" ht="81.75" customHeight="1">
      <c r="A1" s="2560" t="s">
        <v>2015</v>
      </c>
      <c r="B1" s="2561"/>
      <c r="C1" s="2561"/>
      <c r="D1" s="2561"/>
      <c r="E1" s="2561"/>
      <c r="F1" s="2561"/>
      <c r="G1" s="2561"/>
      <c r="H1" s="2561"/>
      <c r="I1" s="2561"/>
      <c r="J1" s="2561"/>
      <c r="K1" s="2561"/>
      <c r="L1" s="2561"/>
      <c r="M1" s="2561"/>
      <c r="N1" s="2561"/>
      <c r="O1" s="380"/>
    </row>
    <row r="2" spans="1:15" s="128" customFormat="1" ht="4.5" customHeight="1">
      <c r="A2" s="573"/>
      <c r="B2" s="574"/>
      <c r="C2" s="574"/>
      <c r="D2" s="574"/>
      <c r="E2" s="574"/>
      <c r="F2" s="574"/>
      <c r="G2" s="574"/>
      <c r="H2" s="574"/>
      <c r="I2" s="574"/>
      <c r="J2" s="574"/>
      <c r="K2" s="574"/>
      <c r="L2" s="574"/>
      <c r="M2" s="574"/>
      <c r="N2" s="574"/>
      <c r="O2" s="380"/>
    </row>
    <row r="3" spans="1:15" s="128" customFormat="1" ht="44.25" customHeight="1">
      <c r="A3" s="1011" t="s">
        <v>0</v>
      </c>
      <c r="B3" s="934" t="s">
        <v>676</v>
      </c>
      <c r="C3" s="934" t="s">
        <v>675</v>
      </c>
      <c r="D3" s="934" t="s">
        <v>674</v>
      </c>
      <c r="E3" s="934" t="s">
        <v>673</v>
      </c>
      <c r="F3" s="934" t="s">
        <v>672</v>
      </c>
      <c r="G3" s="934" t="s">
        <v>661</v>
      </c>
      <c r="H3" s="934" t="s">
        <v>167</v>
      </c>
      <c r="I3" s="1013" t="s">
        <v>671</v>
      </c>
      <c r="J3" s="1013" t="s">
        <v>670</v>
      </c>
      <c r="K3" s="934" t="s">
        <v>669</v>
      </c>
      <c r="L3" s="934" t="s">
        <v>668</v>
      </c>
      <c r="M3" s="934" t="s">
        <v>667</v>
      </c>
      <c r="N3" s="934" t="s">
        <v>510</v>
      </c>
    </row>
    <row r="4" spans="1:15" s="128" customFormat="1" ht="15.75">
      <c r="A4" s="1017" t="s">
        <v>468</v>
      </c>
      <c r="B4" s="170">
        <v>13</v>
      </c>
      <c r="C4" s="170">
        <v>4</v>
      </c>
      <c r="D4" s="170">
        <v>6</v>
      </c>
      <c r="E4" s="170">
        <v>29</v>
      </c>
      <c r="F4" s="170">
        <v>14</v>
      </c>
      <c r="G4" s="170">
        <v>0</v>
      </c>
      <c r="H4" s="1728">
        <f t="shared" ref="H4:H9" si="0">SUM(B4:G4)</f>
        <v>66</v>
      </c>
      <c r="I4" s="1358">
        <f t="shared" ref="I4:I10" si="1">B4/H4</f>
        <v>0.19696969696969696</v>
      </c>
      <c r="J4" s="1358">
        <f t="shared" ref="J4:J10" si="2">C4/H4</f>
        <v>6.0606060606060608E-2</v>
      </c>
      <c r="K4" s="1358">
        <f t="shared" ref="K4:K10" si="3">D4/H4</f>
        <v>9.0909090909090912E-2</v>
      </c>
      <c r="L4" s="1358">
        <f t="shared" ref="L4:L10" si="4">E4/H4</f>
        <v>0.43939393939393939</v>
      </c>
      <c r="M4" s="1358">
        <f t="shared" ref="M4:M10" si="5">F4/H4</f>
        <v>0.21212121212121213</v>
      </c>
      <c r="N4" s="1358">
        <f t="shared" ref="N4:N10" si="6">G4/H4</f>
        <v>0</v>
      </c>
    </row>
    <row r="5" spans="1:15" s="128" customFormat="1" ht="15.75">
      <c r="A5" s="1017" t="s">
        <v>360</v>
      </c>
      <c r="B5" s="392">
        <v>7</v>
      </c>
      <c r="C5" s="392">
        <v>8</v>
      </c>
      <c r="D5" s="392">
        <v>0</v>
      </c>
      <c r="E5" s="392">
        <v>55</v>
      </c>
      <c r="F5" s="392">
        <v>17</v>
      </c>
      <c r="G5" s="392">
        <v>2</v>
      </c>
      <c r="H5" s="1728">
        <f t="shared" si="0"/>
        <v>89</v>
      </c>
      <c r="I5" s="1358">
        <f t="shared" si="1"/>
        <v>7.8651685393258425E-2</v>
      </c>
      <c r="J5" s="1358">
        <f t="shared" si="2"/>
        <v>8.98876404494382E-2</v>
      </c>
      <c r="K5" s="1358">
        <f t="shared" si="3"/>
        <v>0</v>
      </c>
      <c r="L5" s="1358">
        <f t="shared" si="4"/>
        <v>0.6179775280898876</v>
      </c>
      <c r="M5" s="1358">
        <f t="shared" si="5"/>
        <v>0.19101123595505617</v>
      </c>
      <c r="N5" s="1358">
        <f t="shared" si="6"/>
        <v>2.247191011235955E-2</v>
      </c>
    </row>
    <row r="6" spans="1:15" s="128" customFormat="1" ht="15.75">
      <c r="A6" s="1017" t="s">
        <v>469</v>
      </c>
      <c r="B6" s="170">
        <v>14</v>
      </c>
      <c r="C6" s="170">
        <v>6</v>
      </c>
      <c r="D6" s="170">
        <v>1</v>
      </c>
      <c r="E6" s="170">
        <v>55</v>
      </c>
      <c r="F6" s="170">
        <v>4</v>
      </c>
      <c r="G6" s="170">
        <v>6</v>
      </c>
      <c r="H6" s="1728">
        <f t="shared" si="0"/>
        <v>86</v>
      </c>
      <c r="I6" s="1358">
        <f t="shared" si="1"/>
        <v>0.16279069767441862</v>
      </c>
      <c r="J6" s="1358">
        <f t="shared" si="2"/>
        <v>6.9767441860465115E-2</v>
      </c>
      <c r="K6" s="1358">
        <f t="shared" si="3"/>
        <v>1.1627906976744186E-2</v>
      </c>
      <c r="L6" s="1358">
        <f t="shared" si="4"/>
        <v>0.63953488372093026</v>
      </c>
      <c r="M6" s="1358">
        <f t="shared" si="5"/>
        <v>4.6511627906976744E-2</v>
      </c>
      <c r="N6" s="1358">
        <f t="shared" si="6"/>
        <v>6.9767441860465115E-2</v>
      </c>
    </row>
    <row r="7" spans="1:15" s="128" customFormat="1" ht="15.75">
      <c r="A7" s="1017" t="s">
        <v>1058</v>
      </c>
      <c r="B7" s="538">
        <v>1</v>
      </c>
      <c r="C7" s="538">
        <v>0</v>
      </c>
      <c r="D7" s="538">
        <v>0</v>
      </c>
      <c r="E7" s="538">
        <v>36</v>
      </c>
      <c r="F7" s="538">
        <v>1</v>
      </c>
      <c r="G7" s="538">
        <v>5</v>
      </c>
      <c r="H7" s="1728">
        <f t="shared" si="0"/>
        <v>43</v>
      </c>
      <c r="I7" s="1358">
        <f t="shared" si="1"/>
        <v>2.3255813953488372E-2</v>
      </c>
      <c r="J7" s="1358">
        <f t="shared" si="2"/>
        <v>0</v>
      </c>
      <c r="K7" s="1358">
        <f t="shared" si="3"/>
        <v>0</v>
      </c>
      <c r="L7" s="1358">
        <f t="shared" si="4"/>
        <v>0.83720930232558144</v>
      </c>
      <c r="M7" s="1358">
        <f t="shared" si="5"/>
        <v>2.3255813953488372E-2</v>
      </c>
      <c r="N7" s="1358">
        <f t="shared" si="6"/>
        <v>0.11627906976744186</v>
      </c>
    </row>
    <row r="8" spans="1:15" s="128" customFormat="1" ht="15.75">
      <c r="A8" s="1017" t="s">
        <v>1643</v>
      </c>
      <c r="B8" s="888">
        <v>2</v>
      </c>
      <c r="C8" s="888">
        <v>2</v>
      </c>
      <c r="D8" s="888">
        <v>1</v>
      </c>
      <c r="E8" s="888">
        <v>64</v>
      </c>
      <c r="F8" s="888">
        <v>6</v>
      </c>
      <c r="G8" s="888">
        <v>3</v>
      </c>
      <c r="H8" s="1728">
        <f t="shared" si="0"/>
        <v>78</v>
      </c>
      <c r="I8" s="1358">
        <f t="shared" si="1"/>
        <v>2.564102564102564E-2</v>
      </c>
      <c r="J8" s="1358">
        <f t="shared" si="2"/>
        <v>2.564102564102564E-2</v>
      </c>
      <c r="K8" s="1358">
        <f t="shared" si="3"/>
        <v>1.282051282051282E-2</v>
      </c>
      <c r="L8" s="1358">
        <f t="shared" si="4"/>
        <v>0.82051282051282048</v>
      </c>
      <c r="M8" s="1358">
        <f t="shared" si="5"/>
        <v>7.6923076923076927E-2</v>
      </c>
      <c r="N8" s="1358">
        <f t="shared" si="6"/>
        <v>3.8461538461538464E-2</v>
      </c>
    </row>
    <row r="9" spans="1:15" s="128" customFormat="1" ht="15.75">
      <c r="A9" s="1017" t="s">
        <v>1907</v>
      </c>
      <c r="B9" s="888">
        <v>2</v>
      </c>
      <c r="C9" s="888">
        <v>12</v>
      </c>
      <c r="D9" s="888">
        <v>1</v>
      </c>
      <c r="E9" s="888">
        <v>46</v>
      </c>
      <c r="F9" s="888">
        <v>5</v>
      </c>
      <c r="G9" s="888">
        <v>0</v>
      </c>
      <c r="H9" s="1728">
        <f t="shared" si="0"/>
        <v>66</v>
      </c>
      <c r="I9" s="1358">
        <f>B9/H9</f>
        <v>3.0303030303030304E-2</v>
      </c>
      <c r="J9" s="1358">
        <f>C9/H9</f>
        <v>0.18181818181818182</v>
      </c>
      <c r="K9" s="1358">
        <f>D9/H9</f>
        <v>1.5151515151515152E-2</v>
      </c>
      <c r="L9" s="1358">
        <f>E9/H9</f>
        <v>0.69696969696969702</v>
      </c>
      <c r="M9" s="1358">
        <f>F9/H9</f>
        <v>7.575757575757576E-2</v>
      </c>
      <c r="N9" s="1358">
        <f>G9/H9</f>
        <v>0</v>
      </c>
    </row>
    <row r="10" spans="1:15" s="128" customFormat="1" ht="15.75">
      <c r="A10" s="1013" t="s">
        <v>23</v>
      </c>
      <c r="B10" s="1014">
        <f>SUM(B4:B9)</f>
        <v>39</v>
      </c>
      <c r="C10" s="1014">
        <f t="shared" ref="C10:H10" si="7">SUM(C4:C9)</f>
        <v>32</v>
      </c>
      <c r="D10" s="1014">
        <f t="shared" si="7"/>
        <v>9</v>
      </c>
      <c r="E10" s="1014">
        <f t="shared" si="7"/>
        <v>285</v>
      </c>
      <c r="F10" s="1014">
        <f t="shared" si="7"/>
        <v>47</v>
      </c>
      <c r="G10" s="1014">
        <f t="shared" si="7"/>
        <v>16</v>
      </c>
      <c r="H10" s="1014">
        <f t="shared" si="7"/>
        <v>428</v>
      </c>
      <c r="I10" s="1137">
        <f t="shared" si="1"/>
        <v>9.11214953271028E-2</v>
      </c>
      <c r="J10" s="1137">
        <f t="shared" si="2"/>
        <v>7.476635514018691E-2</v>
      </c>
      <c r="K10" s="1137">
        <f t="shared" si="3"/>
        <v>2.1028037383177569E-2</v>
      </c>
      <c r="L10" s="1137">
        <f t="shared" si="4"/>
        <v>0.66588785046728971</v>
      </c>
      <c r="M10" s="1137">
        <f t="shared" si="5"/>
        <v>0.10981308411214953</v>
      </c>
      <c r="N10" s="1137">
        <f t="shared" si="6"/>
        <v>3.7383177570093455E-2</v>
      </c>
    </row>
    <row r="11" spans="1:15" s="128" customFormat="1">
      <c r="A11" s="379"/>
      <c r="B11" s="378"/>
      <c r="C11" s="378"/>
      <c r="D11" s="378"/>
      <c r="E11" s="378"/>
      <c r="F11" s="378"/>
      <c r="G11" s="378"/>
    </row>
    <row r="12" spans="1:15" s="128" customFormat="1">
      <c r="A12" s="379"/>
      <c r="B12" s="378"/>
      <c r="C12" s="378"/>
      <c r="D12" s="378"/>
      <c r="E12" s="378"/>
      <c r="F12" s="378"/>
      <c r="G12" s="378"/>
    </row>
    <row r="13" spans="1:15" s="128" customFormat="1">
      <c r="A13" s="379"/>
      <c r="B13" s="378"/>
      <c r="C13" s="378"/>
      <c r="D13" s="378"/>
      <c r="E13" s="378"/>
      <c r="F13" s="378"/>
      <c r="G13" s="378"/>
    </row>
    <row r="14" spans="1:15" s="128" customFormat="1">
      <c r="A14" s="379"/>
      <c r="B14" s="378"/>
      <c r="C14" s="378"/>
      <c r="D14" s="378"/>
      <c r="E14" s="378"/>
      <c r="F14" s="378"/>
      <c r="G14" s="378"/>
    </row>
    <row r="15" spans="1:15" s="128" customFormat="1"/>
    <row r="16" spans="1:15" s="128" customFormat="1"/>
    <row r="17" spans="1:14" s="128" customFormat="1"/>
    <row r="18" spans="1:14" s="128" customFormat="1"/>
    <row r="19" spans="1:14" s="128" customFormat="1"/>
    <row r="20" spans="1:14" s="128" customFormat="1"/>
    <row r="21" spans="1:14">
      <c r="A21" s="128"/>
      <c r="B21" s="128"/>
      <c r="C21" s="128"/>
      <c r="D21" s="128"/>
      <c r="E21" s="128"/>
      <c r="F21" s="128"/>
      <c r="G21" s="128"/>
      <c r="H21" s="128"/>
      <c r="I21" s="128"/>
      <c r="J21" s="128"/>
      <c r="K21" s="128"/>
      <c r="L21" s="128"/>
      <c r="M21" s="128"/>
      <c r="N21" s="12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0" tint="-0.14999847407452621"/>
  </sheetPr>
  <dimension ref="A1:G9"/>
  <sheetViews>
    <sheetView showGridLines="0" view="pageBreakPreview" zoomScale="89" zoomScaleNormal="100" zoomScaleSheetLayoutView="89" workbookViewId="0">
      <selection activeCell="H8" sqref="H8"/>
    </sheetView>
  </sheetViews>
  <sheetFormatPr baseColWidth="10" defaultColWidth="11.42578125" defaultRowHeight="15"/>
  <cols>
    <col min="1" max="1" width="14.42578125" style="125" customWidth="1"/>
    <col min="2" max="2" width="21" style="125" customWidth="1"/>
    <col min="3" max="3" width="21.28515625" style="125" customWidth="1"/>
    <col min="4" max="4" width="24" style="125" customWidth="1"/>
    <col min="5" max="7" width="15.140625" style="125" bestFit="1" customWidth="1"/>
    <col min="8" max="16384" width="11.42578125" style="125"/>
  </cols>
  <sheetData>
    <row r="1" spans="1:7" s="126" customFormat="1" ht="55.5" customHeight="1">
      <c r="A1" s="2419" t="s">
        <v>1875</v>
      </c>
      <c r="B1" s="2419"/>
      <c r="C1" s="2419"/>
      <c r="D1" s="2419"/>
      <c r="E1" s="2419"/>
      <c r="F1" s="2419"/>
      <c r="G1" s="2419"/>
    </row>
    <row r="2" spans="1:7" s="126" customFormat="1" ht="4.5" customHeight="1">
      <c r="A2" s="127"/>
      <c r="B2" s="127"/>
      <c r="C2" s="127"/>
      <c r="D2" s="127"/>
      <c r="E2" s="127"/>
      <c r="F2" s="127"/>
      <c r="G2" s="127"/>
    </row>
    <row r="3" spans="1:7" ht="34.5" customHeight="1">
      <c r="A3" s="1233" t="s">
        <v>0</v>
      </c>
      <c r="B3" s="1235" t="s">
        <v>240</v>
      </c>
      <c r="C3" s="1235" t="s">
        <v>215</v>
      </c>
      <c r="D3" s="1235" t="s">
        <v>242</v>
      </c>
      <c r="E3" s="127"/>
      <c r="F3" s="127"/>
      <c r="G3" s="127"/>
    </row>
    <row r="4" spans="1:7" ht="15.75">
      <c r="A4" s="1234">
        <v>2004</v>
      </c>
      <c r="B4" s="197">
        <v>37781164.280000001</v>
      </c>
      <c r="C4" s="197">
        <v>1699109.42</v>
      </c>
      <c r="D4" s="197">
        <v>6004865.8300000001</v>
      </c>
      <c r="E4" s="127"/>
      <c r="F4" s="127"/>
      <c r="G4" s="127"/>
    </row>
    <row r="5" spans="1:7" ht="15.75">
      <c r="A5" s="1234">
        <v>2005</v>
      </c>
      <c r="B5" s="197">
        <v>86299655</v>
      </c>
      <c r="C5" s="197">
        <v>5468463.0499999998</v>
      </c>
      <c r="D5" s="197">
        <v>19261550.260000002</v>
      </c>
      <c r="E5" s="127"/>
      <c r="F5" s="127"/>
      <c r="G5" s="127"/>
    </row>
    <row r="6" spans="1:7" ht="15.75">
      <c r="A6" s="1234">
        <v>2006</v>
      </c>
      <c r="B6" s="197">
        <v>117709441</v>
      </c>
      <c r="C6" s="197">
        <v>24841392</v>
      </c>
      <c r="D6" s="197">
        <v>36830287.409999996</v>
      </c>
      <c r="E6" s="127"/>
      <c r="F6" s="127"/>
      <c r="G6" s="127"/>
    </row>
    <row r="7" spans="1:7" ht="15.75">
      <c r="A7" s="1234">
        <v>2007</v>
      </c>
      <c r="B7" s="197">
        <v>133322996</v>
      </c>
      <c r="C7" s="197">
        <v>63910755.219999999</v>
      </c>
      <c r="D7" s="197">
        <v>67563892.930000007</v>
      </c>
      <c r="E7" s="127"/>
      <c r="F7" s="127"/>
      <c r="G7" s="127"/>
    </row>
    <row r="8" spans="1:7" ht="15.75">
      <c r="A8" s="1234">
        <v>2008</v>
      </c>
      <c r="B8" s="197">
        <v>188485522</v>
      </c>
      <c r="C8" s="197">
        <v>113080268.63</v>
      </c>
      <c r="D8" s="197">
        <v>109121263.67</v>
      </c>
      <c r="E8" s="127"/>
      <c r="F8" s="127"/>
      <c r="G8" s="127"/>
    </row>
    <row r="9" spans="1:7" ht="15.75">
      <c r="A9" s="1234">
        <v>2009</v>
      </c>
      <c r="B9" s="197">
        <v>221538962</v>
      </c>
      <c r="C9" s="197">
        <v>139932946.46000001</v>
      </c>
      <c r="D9" s="197">
        <v>145409227.71000001</v>
      </c>
      <c r="E9" s="127"/>
      <c r="F9" s="127"/>
      <c r="G9" s="127"/>
    </row>
  </sheetData>
  <mergeCells count="1">
    <mergeCell ref="A1:G1"/>
  </mergeCells>
  <printOptions horizontalCentered="1" verticalCentered="1"/>
  <pageMargins left="0.39370078740157483" right="0.39370078740157483" top="0.23622047244094491" bottom="0.23622047244094491" header="0.31496062992125984" footer="0.31496062992125984"/>
  <pageSetup scale="9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U35"/>
  <sheetViews>
    <sheetView showGridLines="0" view="pageBreakPreview" zoomScale="87" zoomScaleNormal="100" zoomScaleSheetLayoutView="87" workbookViewId="0">
      <pane ySplit="1" topLeftCell="A2" activePane="bottomLeft" state="frozen"/>
      <selection activeCell="P10" sqref="P10"/>
      <selection pane="bottomLeft" activeCell="M6" sqref="M6"/>
    </sheetView>
  </sheetViews>
  <sheetFormatPr baseColWidth="10" defaultColWidth="11.42578125" defaultRowHeight="15"/>
  <cols>
    <col min="1" max="1" width="13.5703125" style="128" bestFit="1" customWidth="1"/>
    <col min="2" max="2" width="11.7109375" style="128" customWidth="1"/>
    <col min="3" max="3" width="9.85546875" style="128" customWidth="1"/>
    <col min="4" max="4" width="11.5703125" style="128" customWidth="1"/>
    <col min="5" max="5" width="9.28515625" style="128" bestFit="1" customWidth="1"/>
    <col min="6" max="6" width="11.42578125" style="128" customWidth="1"/>
    <col min="7" max="7" width="9.28515625" style="128" customWidth="1"/>
    <col min="8" max="8" width="11.85546875" style="128" customWidth="1"/>
    <col min="9" max="9" width="10.5703125" style="128" customWidth="1"/>
    <col min="10" max="11" width="9.5703125" style="128" customWidth="1"/>
    <col min="12" max="12" width="11.28515625" style="128" customWidth="1"/>
    <col min="13" max="13" width="9.140625" style="128" customWidth="1"/>
    <col min="14" max="15" width="11.5703125" style="128" customWidth="1"/>
    <col min="16" max="16" width="14.85546875" style="128" customWidth="1"/>
    <col min="17" max="17" width="15.85546875" style="128" customWidth="1"/>
    <col min="18" max="18" width="14.140625" style="128" customWidth="1"/>
    <col min="19" max="19" width="13.7109375" style="128" customWidth="1"/>
    <col min="20" max="20" width="12.85546875" style="128" customWidth="1"/>
    <col min="21" max="21" width="14.140625" style="128" customWidth="1"/>
    <col min="22" max="22" width="11.42578125" style="128"/>
    <col min="23" max="23" width="14.85546875" style="128" bestFit="1" customWidth="1"/>
    <col min="24" max="16384" width="11.42578125" style="128"/>
  </cols>
  <sheetData>
    <row r="1" spans="1:21" ht="48.75" customHeight="1" thickBot="1">
      <c r="A1" s="2232" t="s">
        <v>456</v>
      </c>
      <c r="B1" s="2233"/>
      <c r="C1" s="2233"/>
      <c r="D1" s="2233"/>
      <c r="E1" s="2233"/>
      <c r="F1" s="2233"/>
      <c r="G1" s="2233"/>
      <c r="H1" s="2233"/>
      <c r="I1" s="2233"/>
      <c r="J1" s="2233"/>
      <c r="K1" s="2233"/>
      <c r="L1" s="2233"/>
      <c r="M1" s="2233"/>
      <c r="N1" s="2233"/>
      <c r="O1" s="2233"/>
      <c r="P1" s="264"/>
      <c r="Q1" s="264"/>
      <c r="R1" s="264"/>
      <c r="S1" s="264"/>
      <c r="T1" s="264"/>
    </row>
    <row r="2" spans="1:21" ht="81" customHeight="1">
      <c r="A2" s="262" t="s">
        <v>438</v>
      </c>
      <c r="B2" s="166" t="s">
        <v>444</v>
      </c>
      <c r="C2" s="166" t="s">
        <v>445</v>
      </c>
      <c r="D2" s="166" t="s">
        <v>447</v>
      </c>
      <c r="E2" s="166" t="s">
        <v>442</v>
      </c>
      <c r="F2" s="334" t="s">
        <v>439</v>
      </c>
      <c r="G2" s="334" t="s">
        <v>441</v>
      </c>
      <c r="H2" s="334" t="s">
        <v>457</v>
      </c>
      <c r="I2" s="334" t="s">
        <v>442</v>
      </c>
      <c r="J2" s="333" t="s">
        <v>440</v>
      </c>
      <c r="K2" s="333" t="s">
        <v>441</v>
      </c>
      <c r="L2" s="333" t="s">
        <v>449</v>
      </c>
      <c r="M2" s="333" t="s">
        <v>442</v>
      </c>
      <c r="N2" s="166" t="s">
        <v>446</v>
      </c>
      <c r="O2" s="166" t="s">
        <v>443</v>
      </c>
      <c r="P2" s="150"/>
      <c r="Q2" s="21"/>
      <c r="R2" s="21"/>
      <c r="S2" s="21"/>
      <c r="T2" s="21"/>
      <c r="U2" s="21"/>
    </row>
    <row r="3" spans="1:21" ht="15.75">
      <c r="A3" s="202">
        <v>40544</v>
      </c>
      <c r="B3" s="215">
        <f>1852079+1526173</f>
        <v>3378252</v>
      </c>
      <c r="C3" s="263">
        <f t="shared" ref="C3:C9" si="0">B3/N3</f>
        <v>0.62292077898011244</v>
      </c>
      <c r="D3" s="215">
        <v>2407712</v>
      </c>
      <c r="E3" s="263">
        <f t="shared" ref="E3:E9" si="1">D3/O3</f>
        <v>0.54119885840135284</v>
      </c>
      <c r="F3" s="215">
        <f>900737+1117151</f>
        <v>2017888</v>
      </c>
      <c r="G3" s="263">
        <f>F3/N3</f>
        <v>0.37208129081389463</v>
      </c>
      <c r="H3" s="215">
        <v>2013786</v>
      </c>
      <c r="I3" s="263">
        <f t="shared" ref="I3:I9" si="2">H3/O3</f>
        <v>0.45265325930369854</v>
      </c>
      <c r="J3" s="215">
        <v>27105</v>
      </c>
      <c r="K3" s="263">
        <f t="shared" ref="K3:K9" si="3">J3/N3</f>
        <v>4.9979302059929061E-3</v>
      </c>
      <c r="L3" s="215">
        <v>27351</v>
      </c>
      <c r="M3" s="263">
        <f t="shared" ref="M3:M9" si="4">L3/O3</f>
        <v>6.1478822949486483E-3</v>
      </c>
      <c r="N3" s="215">
        <f t="shared" ref="N3:N9" si="5">B3+F3+J3</f>
        <v>5423245</v>
      </c>
      <c r="O3" s="215">
        <f t="shared" ref="O3:O9" si="6">D3+H3+L3</f>
        <v>4448849</v>
      </c>
      <c r="P3" s="56"/>
      <c r="Q3" s="56"/>
      <c r="R3" s="56"/>
      <c r="S3" s="56"/>
      <c r="T3" s="56"/>
      <c r="U3" s="56"/>
    </row>
    <row r="4" spans="1:21" ht="15.75">
      <c r="A4" s="202">
        <v>40575</v>
      </c>
      <c r="B4" s="215">
        <f>1868203+1547861</f>
        <v>3416064</v>
      </c>
      <c r="C4" s="263">
        <f t="shared" si="0"/>
        <v>0.62586698633653171</v>
      </c>
      <c r="D4" s="215">
        <v>2486189</v>
      </c>
      <c r="E4" s="263">
        <f t="shared" si="1"/>
        <v>0.54935002205187622</v>
      </c>
      <c r="F4" s="215">
        <f>897402+1117372</f>
        <v>2014774</v>
      </c>
      <c r="G4" s="263">
        <f t="shared" ref="G4:G9" si="7">F4/N4</f>
        <v>0.36913258402922172</v>
      </c>
      <c r="H4" s="215">
        <v>2012210</v>
      </c>
      <c r="I4" s="263">
        <f t="shared" si="2"/>
        <v>0.44461929799906841</v>
      </c>
      <c r="J4" s="215">
        <v>27293</v>
      </c>
      <c r="K4" s="263">
        <f t="shared" si="3"/>
        <v>5.0004296342465943E-3</v>
      </c>
      <c r="L4" s="215">
        <v>27293</v>
      </c>
      <c r="M4" s="263">
        <f t="shared" si="4"/>
        <v>6.0306799490553046E-3</v>
      </c>
      <c r="N4" s="215">
        <f t="shared" si="5"/>
        <v>5458131</v>
      </c>
      <c r="O4" s="215">
        <f t="shared" si="6"/>
        <v>4525692</v>
      </c>
      <c r="P4" s="56"/>
      <c r="Q4" s="56"/>
      <c r="R4" s="56"/>
      <c r="S4" s="56"/>
      <c r="T4" s="56"/>
      <c r="U4" s="56"/>
    </row>
    <row r="5" spans="1:21" ht="15.75">
      <c r="A5" s="202">
        <v>40603</v>
      </c>
      <c r="B5" s="215">
        <f>1886107+1563667</f>
        <v>3449774</v>
      </c>
      <c r="C5" s="263">
        <f t="shared" si="0"/>
        <v>0.62891828084408186</v>
      </c>
      <c r="D5" s="215">
        <v>2508215</v>
      </c>
      <c r="E5" s="263">
        <f t="shared" si="1"/>
        <v>0.55196158430204412</v>
      </c>
      <c r="F5" s="215">
        <f>893695+1114032</f>
        <v>2007727</v>
      </c>
      <c r="G5" s="263">
        <f t="shared" si="7"/>
        <v>0.3660228795405861</v>
      </c>
      <c r="H5" s="215">
        <v>2008220</v>
      </c>
      <c r="I5" s="263">
        <f t="shared" si="2"/>
        <v>0.44193192881274174</v>
      </c>
      <c r="J5" s="215">
        <v>27749</v>
      </c>
      <c r="K5" s="263">
        <f t="shared" si="3"/>
        <v>5.0588396153320265E-3</v>
      </c>
      <c r="L5" s="215">
        <v>27749</v>
      </c>
      <c r="M5" s="263">
        <f t="shared" si="4"/>
        <v>6.106486885214155E-3</v>
      </c>
      <c r="N5" s="215">
        <f t="shared" si="5"/>
        <v>5485250</v>
      </c>
      <c r="O5" s="215">
        <f t="shared" si="6"/>
        <v>4544184</v>
      </c>
      <c r="P5" s="56"/>
      <c r="Q5" s="56"/>
      <c r="R5" s="56"/>
      <c r="S5" s="56"/>
      <c r="T5" s="56"/>
      <c r="U5" s="56"/>
    </row>
    <row r="6" spans="1:21" ht="15.75">
      <c r="A6" s="202">
        <v>40634</v>
      </c>
      <c r="B6" s="215">
        <f>1905426+1595237</f>
        <v>3500663</v>
      </c>
      <c r="C6" s="263">
        <f t="shared" si="0"/>
        <v>0.63296455364651427</v>
      </c>
      <c r="D6" s="215">
        <v>2499439</v>
      </c>
      <c r="E6" s="263">
        <f t="shared" si="1"/>
        <v>0.55184000466299077</v>
      </c>
      <c r="F6" s="215">
        <f>889670+1111955</f>
        <v>2001625</v>
      </c>
      <c r="G6" s="263">
        <f t="shared" si="7"/>
        <v>0.36191934918976898</v>
      </c>
      <c r="H6" s="215">
        <v>2001160</v>
      </c>
      <c r="I6" s="263">
        <f t="shared" si="2"/>
        <v>0.44182720351702542</v>
      </c>
      <c r="J6" s="215">
        <v>28295</v>
      </c>
      <c r="K6" s="263">
        <f t="shared" si="3"/>
        <v>5.1160971637167364E-3</v>
      </c>
      <c r="L6" s="215">
        <v>28683</v>
      </c>
      <c r="M6" s="263">
        <f t="shared" si="4"/>
        <v>6.3327918199838299E-3</v>
      </c>
      <c r="N6" s="215">
        <f t="shared" si="5"/>
        <v>5530583</v>
      </c>
      <c r="O6" s="215">
        <f t="shared" si="6"/>
        <v>4529282</v>
      </c>
      <c r="P6" s="56"/>
      <c r="Q6" s="56"/>
      <c r="R6" s="56"/>
      <c r="S6" s="56"/>
      <c r="T6" s="56"/>
      <c r="U6" s="56"/>
    </row>
    <row r="7" spans="1:21" ht="15.75">
      <c r="A7" s="202">
        <v>40664</v>
      </c>
      <c r="B7" s="215">
        <f>1918561+1611570</f>
        <v>3530131</v>
      </c>
      <c r="C7" s="263">
        <f t="shared" si="0"/>
        <v>0.63396743288276025</v>
      </c>
      <c r="D7" s="215">
        <v>2462232</v>
      </c>
      <c r="E7" s="263">
        <f t="shared" si="1"/>
        <v>0.54861185536103929</v>
      </c>
      <c r="F7" s="215">
        <f>894003+1115399</f>
        <v>2009402</v>
      </c>
      <c r="G7" s="263">
        <f t="shared" si="7"/>
        <v>0.36086349984447724</v>
      </c>
      <c r="H7" s="215">
        <v>1997098</v>
      </c>
      <c r="I7" s="263">
        <f t="shared" si="2"/>
        <v>0.44497498169052341</v>
      </c>
      <c r="J7" s="215">
        <v>28783</v>
      </c>
      <c r="K7" s="263">
        <f t="shared" si="3"/>
        <v>5.1690672727625368E-3</v>
      </c>
      <c r="L7" s="215">
        <v>28783</v>
      </c>
      <c r="M7" s="263">
        <f t="shared" si="4"/>
        <v>6.4131629484373495E-3</v>
      </c>
      <c r="N7" s="215">
        <f t="shared" si="5"/>
        <v>5568316</v>
      </c>
      <c r="O7" s="215">
        <f t="shared" si="6"/>
        <v>4488113</v>
      </c>
    </row>
    <row r="8" spans="1:21" ht="15.75">
      <c r="A8" s="202">
        <v>40695</v>
      </c>
      <c r="B8" s="215">
        <f>1933205+1633967</f>
        <v>3567172</v>
      </c>
      <c r="C8" s="263">
        <f t="shared" si="0"/>
        <v>0.63639780884188146</v>
      </c>
      <c r="D8" s="215">
        <v>2527064</v>
      </c>
      <c r="E8" s="263">
        <f t="shared" si="1"/>
        <v>0.55377544985172034</v>
      </c>
      <c r="F8" s="215">
        <f>892113+1116792</f>
        <v>2008905</v>
      </c>
      <c r="G8" s="263">
        <f t="shared" si="7"/>
        <v>0.35839671879334661</v>
      </c>
      <c r="H8" s="215">
        <v>2006919</v>
      </c>
      <c r="I8" s="263">
        <f t="shared" si="2"/>
        <v>0.43979197679242188</v>
      </c>
      <c r="J8" s="215">
        <v>29178</v>
      </c>
      <c r="K8" s="263">
        <f t="shared" si="3"/>
        <v>5.2054723647719861E-3</v>
      </c>
      <c r="L8" s="215">
        <v>29354</v>
      </c>
      <c r="M8" s="263">
        <f t="shared" si="4"/>
        <v>6.4325733558577855E-3</v>
      </c>
      <c r="N8" s="215">
        <f t="shared" si="5"/>
        <v>5605255</v>
      </c>
      <c r="O8" s="215">
        <f t="shared" si="6"/>
        <v>4563337</v>
      </c>
    </row>
    <row r="9" spans="1:21" ht="15.75">
      <c r="A9" s="202">
        <v>40725</v>
      </c>
      <c r="B9" s="331"/>
      <c r="C9" s="263" t="e">
        <f t="shared" si="0"/>
        <v>#DIV/0!</v>
      </c>
      <c r="D9" s="215">
        <f>+'[3]TSS Contributivo'!$DW$115</f>
        <v>2545254</v>
      </c>
      <c r="E9" s="263">
        <f t="shared" si="1"/>
        <v>0.55939316404056505</v>
      </c>
      <c r="F9" s="331"/>
      <c r="G9" s="263" t="e">
        <f t="shared" si="7"/>
        <v>#DIV/0!</v>
      </c>
      <c r="H9" s="215">
        <v>2004773</v>
      </c>
      <c r="I9" s="263">
        <f t="shared" si="2"/>
        <v>0.44060683595943495</v>
      </c>
      <c r="J9" s="331"/>
      <c r="K9" s="263" t="e">
        <f t="shared" si="3"/>
        <v>#DIV/0!</v>
      </c>
      <c r="L9" s="331"/>
      <c r="M9" s="263">
        <f t="shared" si="4"/>
        <v>0</v>
      </c>
      <c r="N9" s="215">
        <f t="shared" si="5"/>
        <v>0</v>
      </c>
      <c r="O9" s="215">
        <f t="shared" si="6"/>
        <v>4550027</v>
      </c>
    </row>
    <row r="11" spans="1:21">
      <c r="B11" s="332"/>
      <c r="C11" s="271"/>
    </row>
    <row r="12" spans="1:21">
      <c r="B12" s="332"/>
      <c r="C12" s="271"/>
    </row>
    <row r="13" spans="1:21">
      <c r="B13" s="148"/>
      <c r="C13" s="148"/>
    </row>
    <row r="14" spans="1:21">
      <c r="B14" s="148"/>
      <c r="C14" s="148"/>
    </row>
    <row r="15" spans="1:21">
      <c r="B15" s="148"/>
      <c r="C15" s="148"/>
    </row>
    <row r="16" spans="1:21">
      <c r="B16" s="148"/>
      <c r="C16" s="148"/>
    </row>
    <row r="35" spans="5:5">
      <c r="E35" s="265"/>
    </row>
  </sheetData>
  <mergeCells count="1">
    <mergeCell ref="A1:O1"/>
  </mergeCells>
  <printOptions horizontalCentered="1"/>
  <pageMargins left="0.4" right="0.4" top="0.25" bottom="0.25" header="0.31496062992126" footer="0.31496062992126"/>
  <pageSetup scale="80"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theme="9" tint="-0.499984740745262"/>
    <pageSetUpPr fitToPage="1"/>
  </sheetPr>
  <dimension ref="A1:M52"/>
  <sheetViews>
    <sheetView showGridLines="0" view="pageBreakPreview" zoomScale="75" zoomScaleNormal="85" zoomScaleSheetLayoutView="75" workbookViewId="0">
      <selection activeCell="M18" sqref="M18"/>
    </sheetView>
  </sheetViews>
  <sheetFormatPr baseColWidth="10" defaultColWidth="11.42578125" defaultRowHeight="15"/>
  <cols>
    <col min="1" max="1" width="10.28515625" style="87" customWidth="1"/>
    <col min="2" max="2" width="16.28515625" style="87" customWidth="1"/>
    <col min="3" max="3" width="12.85546875" style="87" customWidth="1"/>
    <col min="4" max="4" width="18.42578125" style="87" bestFit="1" customWidth="1"/>
    <col min="5" max="5" width="12.7109375" style="87" customWidth="1"/>
    <col min="6" max="6" width="16.5703125" style="87" customWidth="1"/>
    <col min="7" max="7" width="12.85546875" style="87" customWidth="1"/>
    <col min="8" max="8" width="17.85546875" style="87" customWidth="1"/>
    <col min="9" max="9" width="13.5703125" style="87" customWidth="1"/>
    <col min="10" max="10" width="15.140625" style="87" bestFit="1" customWidth="1"/>
    <col min="11" max="11" width="13.140625" style="87" customWidth="1"/>
    <col min="12" max="12" width="18" style="87" customWidth="1"/>
    <col min="13" max="13" width="11.42578125" style="87"/>
    <col min="14" max="14" width="17.28515625" style="87" bestFit="1" customWidth="1"/>
    <col min="15" max="16384" width="11.42578125" style="87"/>
  </cols>
  <sheetData>
    <row r="1" spans="1:13" customFormat="1" ht="56.25" customHeight="1">
      <c r="A1" s="2389" t="s">
        <v>983</v>
      </c>
      <c r="B1" s="2389"/>
      <c r="C1" s="2389"/>
      <c r="D1" s="2389"/>
      <c r="E1" s="2389"/>
      <c r="F1" s="2389"/>
      <c r="G1" s="2389"/>
      <c r="H1" s="2389"/>
      <c r="I1" s="2389"/>
      <c r="J1" s="2389"/>
      <c r="K1" s="2389"/>
      <c r="L1" s="2389"/>
    </row>
    <row r="2" spans="1:13" customFormat="1" ht="52.5" customHeight="1">
      <c r="A2" s="2583" t="s">
        <v>1745</v>
      </c>
      <c r="B2" s="2583"/>
      <c r="C2" s="2583"/>
      <c r="D2" s="2583"/>
      <c r="E2" s="2583"/>
      <c r="F2" s="2583"/>
      <c r="G2" s="2583"/>
      <c r="H2" s="2583"/>
      <c r="I2" s="2583"/>
      <c r="J2" s="2583"/>
      <c r="K2" s="2583"/>
      <c r="L2" s="2583"/>
    </row>
    <row r="3" spans="1:13" customFormat="1" ht="48.75" customHeight="1">
      <c r="A3" s="1718" t="s">
        <v>52</v>
      </c>
      <c r="B3" s="1716" t="s">
        <v>211</v>
      </c>
      <c r="C3" s="1716" t="s">
        <v>219</v>
      </c>
      <c r="D3" s="1716" t="s">
        <v>212</v>
      </c>
      <c r="E3" s="1716" t="s">
        <v>219</v>
      </c>
      <c r="F3" s="1716" t="s">
        <v>213</v>
      </c>
      <c r="G3" s="1716" t="s">
        <v>219</v>
      </c>
      <c r="H3" s="1716" t="s">
        <v>215</v>
      </c>
      <c r="I3" s="1716" t="s">
        <v>219</v>
      </c>
      <c r="J3" s="1716" t="s">
        <v>214</v>
      </c>
      <c r="K3" s="1716" t="s">
        <v>219</v>
      </c>
      <c r="L3" s="1716" t="s">
        <v>157</v>
      </c>
    </row>
    <row r="4" spans="1:13" customFormat="1" ht="20.25" customHeight="1">
      <c r="A4" s="1719" t="s">
        <v>1382</v>
      </c>
      <c r="B4" s="1219">
        <v>877695.23</v>
      </c>
      <c r="C4" s="224">
        <f>B4/L4</f>
        <v>5.534370179922489E-2</v>
      </c>
      <c r="D4" s="1219">
        <v>808326.34</v>
      </c>
      <c r="E4" s="224">
        <f>D4/L4</f>
        <v>5.0969596721425578E-2</v>
      </c>
      <c r="F4" s="1219">
        <v>1223094.78</v>
      </c>
      <c r="G4" s="225">
        <f>F4/L4</f>
        <v>7.7123117983116496E-2</v>
      </c>
      <c r="H4" s="1732">
        <v>9075743.9499999993</v>
      </c>
      <c r="I4" s="224">
        <f>H4/L4</f>
        <v>0.57227753963630335</v>
      </c>
      <c r="J4" s="509">
        <v>3874130</v>
      </c>
      <c r="K4" s="224">
        <f>J4/L4</f>
        <v>0.24428604385992975</v>
      </c>
      <c r="L4" s="1732">
        <v>15858990.299999999</v>
      </c>
      <c r="M4" s="22"/>
    </row>
    <row r="5" spans="1:13" customFormat="1" ht="20.25" customHeight="1">
      <c r="A5" s="1719" t="s">
        <v>1383</v>
      </c>
      <c r="B5" s="1219">
        <v>992627.75</v>
      </c>
      <c r="C5" s="224">
        <f t="shared" ref="C5:C15" si="0">B5/L5</f>
        <v>5.2382978648378153E-2</v>
      </c>
      <c r="D5" s="1219">
        <v>495297.79</v>
      </c>
      <c r="E5" s="224">
        <f t="shared" ref="E5:E15" si="1">D5/L5</f>
        <v>2.6137868458905048E-2</v>
      </c>
      <c r="F5" s="1219">
        <v>614996</v>
      </c>
      <c r="G5" s="225">
        <f t="shared" ref="G5:G15" si="2">F5/L5</f>
        <v>3.2454585655939977E-2</v>
      </c>
      <c r="H5" s="1732">
        <v>10368156.57</v>
      </c>
      <c r="I5" s="224">
        <f t="shared" ref="I5:I15" si="3">H5/L5</f>
        <v>0.54714864079646341</v>
      </c>
      <c r="J5" s="509">
        <v>6478355</v>
      </c>
      <c r="K5" s="224">
        <f t="shared" ref="K5:K15" si="4">J5/L5</f>
        <v>0.34187592644031345</v>
      </c>
      <c r="L5" s="1732">
        <v>18949433.109999999</v>
      </c>
      <c r="M5" s="22"/>
    </row>
    <row r="6" spans="1:13" customFormat="1" ht="20.25" customHeight="1">
      <c r="A6" s="1719" t="s">
        <v>1384</v>
      </c>
      <c r="B6" s="1219">
        <v>1634121.86</v>
      </c>
      <c r="C6" s="224">
        <f t="shared" si="0"/>
        <v>7.4220556473579891E-2</v>
      </c>
      <c r="D6" s="1219">
        <v>514083.71</v>
      </c>
      <c r="E6" s="224">
        <f t="shared" si="1"/>
        <v>2.3349286221654525E-2</v>
      </c>
      <c r="F6" s="1219">
        <v>206426</v>
      </c>
      <c r="G6" s="225">
        <f t="shared" si="2"/>
        <v>9.3757099550796051E-3</v>
      </c>
      <c r="H6" s="1732">
        <v>9829602.4399999995</v>
      </c>
      <c r="I6" s="224">
        <f t="shared" si="3"/>
        <v>0.44645297322615746</v>
      </c>
      <c r="J6" s="509">
        <v>9832872</v>
      </c>
      <c r="K6" s="224">
        <f t="shared" si="4"/>
        <v>0.44660147412352857</v>
      </c>
      <c r="L6" s="1732">
        <v>22017106.009999998</v>
      </c>
      <c r="M6" s="22"/>
    </row>
    <row r="7" spans="1:13" customFormat="1" ht="20.25" customHeight="1">
      <c r="A7" s="1719" t="s">
        <v>1385</v>
      </c>
      <c r="B7" s="1219">
        <v>779568.29</v>
      </c>
      <c r="C7" s="224">
        <f t="shared" si="0"/>
        <v>3.5046402443135366E-2</v>
      </c>
      <c r="D7" s="1219">
        <v>542588.81000000006</v>
      </c>
      <c r="E7" s="224">
        <f t="shared" si="1"/>
        <v>2.4392713300847461E-2</v>
      </c>
      <c r="F7" s="1219">
        <v>46875</v>
      </c>
      <c r="G7" s="225">
        <f t="shared" si="2"/>
        <v>2.1073203407516359E-3</v>
      </c>
      <c r="H7" s="1732">
        <v>12062745.02</v>
      </c>
      <c r="I7" s="224">
        <f t="shared" si="3"/>
        <v>0.54229478284685861</v>
      </c>
      <c r="J7" s="509">
        <v>8812112</v>
      </c>
      <c r="K7" s="224">
        <f t="shared" si="4"/>
        <v>0.39615878106840702</v>
      </c>
      <c r="L7" s="1732">
        <v>22243889.119999997</v>
      </c>
      <c r="M7" s="22"/>
    </row>
    <row r="8" spans="1:13" customFormat="1" ht="20.25" customHeight="1">
      <c r="A8" s="1719" t="s">
        <v>1386</v>
      </c>
      <c r="B8" s="1219">
        <v>1243211.67</v>
      </c>
      <c r="C8" s="224">
        <f t="shared" si="0"/>
        <v>5.9209639685401307E-2</v>
      </c>
      <c r="D8" s="1219">
        <v>493308.81</v>
      </c>
      <c r="E8" s="224">
        <f t="shared" si="1"/>
        <v>2.3494500251702185E-2</v>
      </c>
      <c r="F8" s="1219">
        <v>38255</v>
      </c>
      <c r="G8" s="225">
        <f t="shared" si="2"/>
        <v>1.8219461905188093E-3</v>
      </c>
      <c r="H8" s="1732">
        <v>9821353.6899999995</v>
      </c>
      <c r="I8" s="224">
        <f t="shared" si="3"/>
        <v>0.46775527228423341</v>
      </c>
      <c r="J8" s="509">
        <v>9400649</v>
      </c>
      <c r="K8" s="224">
        <f t="shared" si="4"/>
        <v>0.44771864158814417</v>
      </c>
      <c r="L8" s="1732">
        <v>20996778.170000002</v>
      </c>
      <c r="M8" s="22"/>
    </row>
    <row r="9" spans="1:13" customFormat="1" ht="20.25" customHeight="1">
      <c r="A9" s="1719" t="s">
        <v>1387</v>
      </c>
      <c r="B9" s="1219">
        <v>2522691.44</v>
      </c>
      <c r="C9" s="224">
        <f t="shared" si="0"/>
        <v>8.8165660804504289E-2</v>
      </c>
      <c r="D9" s="1219">
        <v>493308.01</v>
      </c>
      <c r="E9" s="224">
        <f t="shared" si="1"/>
        <v>1.7240644651255885E-2</v>
      </c>
      <c r="F9" s="1219">
        <v>1119310</v>
      </c>
      <c r="G9" s="225">
        <f t="shared" si="2"/>
        <v>3.911881739888478E-2</v>
      </c>
      <c r="H9" s="1732">
        <v>16160229.34</v>
      </c>
      <c r="I9" s="224">
        <f t="shared" si="3"/>
        <v>0.56478460897835303</v>
      </c>
      <c r="J9" s="509">
        <v>8317545</v>
      </c>
      <c r="K9" s="224">
        <f t="shared" si="4"/>
        <v>0.29069026816700211</v>
      </c>
      <c r="L9" s="1732">
        <v>28613083.789999999</v>
      </c>
      <c r="M9" s="22"/>
    </row>
    <row r="10" spans="1:13" customFormat="1" ht="20.25" customHeight="1">
      <c r="A10" s="1719" t="s">
        <v>1388</v>
      </c>
      <c r="B10" s="1219">
        <v>1358174.81</v>
      </c>
      <c r="C10" s="224">
        <f t="shared" si="0"/>
        <v>5.6297803714628156E-2</v>
      </c>
      <c r="D10" s="1219">
        <v>510638.23</v>
      </c>
      <c r="E10" s="224">
        <f t="shared" si="1"/>
        <v>2.1166502743284677E-2</v>
      </c>
      <c r="F10" s="1219">
        <v>1076754</v>
      </c>
      <c r="G10" s="225">
        <f t="shared" si="2"/>
        <v>4.4632609068151342E-2</v>
      </c>
      <c r="H10" s="1732">
        <v>12515747.58</v>
      </c>
      <c r="I10" s="224">
        <f t="shared" si="3"/>
        <v>0.51879117136672004</v>
      </c>
      <c r="J10" s="509">
        <v>8663513</v>
      </c>
      <c r="K10" s="224">
        <f t="shared" si="4"/>
        <v>0.3591119131072158</v>
      </c>
      <c r="L10" s="1732">
        <v>24124827.620000001</v>
      </c>
      <c r="M10" s="22"/>
    </row>
    <row r="11" spans="1:13" customFormat="1" ht="20.25" customHeight="1">
      <c r="A11" s="1719" t="s">
        <v>1389</v>
      </c>
      <c r="B11" s="1219">
        <v>1043127.25</v>
      </c>
      <c r="C11" s="224">
        <f t="shared" si="0"/>
        <v>3.7670310827527011E-2</v>
      </c>
      <c r="D11" s="1219">
        <v>910094.88</v>
      </c>
      <c r="E11" s="224">
        <f t="shared" si="1"/>
        <v>3.2866131157191891E-2</v>
      </c>
      <c r="F11" s="1219">
        <v>2571227</v>
      </c>
      <c r="G11" s="225">
        <f t="shared" si="2"/>
        <v>9.2854366807242156E-2</v>
      </c>
      <c r="H11" s="1732">
        <v>11908445.640000001</v>
      </c>
      <c r="I11" s="224">
        <f t="shared" si="3"/>
        <v>0.43004805859640693</v>
      </c>
      <c r="J11" s="509">
        <v>11258070</v>
      </c>
      <c r="K11" s="224">
        <f t="shared" si="4"/>
        <v>0.40656113261163201</v>
      </c>
      <c r="L11" s="1732">
        <v>27690964.77</v>
      </c>
      <c r="M11" s="22"/>
    </row>
    <row r="12" spans="1:13" customFormat="1" ht="20.25" customHeight="1">
      <c r="A12" s="1719" t="s">
        <v>1390</v>
      </c>
      <c r="B12" s="1219">
        <v>2284757.4700000002</v>
      </c>
      <c r="C12" s="224">
        <f t="shared" si="0"/>
        <v>9.0371599583889739E-2</v>
      </c>
      <c r="D12" s="1219">
        <v>1277902.5900000001</v>
      </c>
      <c r="E12" s="224">
        <f t="shared" si="1"/>
        <v>5.0546328302712849E-2</v>
      </c>
      <c r="F12" s="1219">
        <v>98000</v>
      </c>
      <c r="G12" s="225">
        <f t="shared" si="2"/>
        <v>3.8763049800735277E-3</v>
      </c>
      <c r="H12" s="1732">
        <v>13842692.390000001</v>
      </c>
      <c r="I12" s="224">
        <f t="shared" si="3"/>
        <v>0.54753568825492782</v>
      </c>
      <c r="J12" s="509">
        <v>7778456</v>
      </c>
      <c r="K12" s="224">
        <f t="shared" si="4"/>
        <v>0.30767007887839604</v>
      </c>
      <c r="L12" s="1732">
        <v>25281808.450000003</v>
      </c>
      <c r="M12" s="22"/>
    </row>
    <row r="13" spans="1:13" customFormat="1" ht="20.25" customHeight="1">
      <c r="A13" s="1719" t="s">
        <v>1391</v>
      </c>
      <c r="B13" s="1219">
        <v>1408841.71</v>
      </c>
      <c r="C13" s="224">
        <f t="shared" si="0"/>
        <v>6.5161378940315609E-2</v>
      </c>
      <c r="D13" s="1219">
        <v>634165.11</v>
      </c>
      <c r="E13" s="224">
        <f t="shared" si="1"/>
        <v>2.9331239095296894E-2</v>
      </c>
      <c r="F13" s="1219">
        <v>2116143.4</v>
      </c>
      <c r="G13" s="225">
        <f t="shared" si="2"/>
        <v>9.7875312038744125E-2</v>
      </c>
      <c r="H13" s="1732">
        <v>7460592.5</v>
      </c>
      <c r="I13" s="224">
        <f t="shared" si="3"/>
        <v>0.34506537644443858</v>
      </c>
      <c r="J13" s="509">
        <v>10001066</v>
      </c>
      <c r="K13" s="224">
        <f t="shared" si="4"/>
        <v>0.46256669348120483</v>
      </c>
      <c r="L13" s="1732">
        <v>21620808.719999999</v>
      </c>
      <c r="M13" s="22"/>
    </row>
    <row r="14" spans="1:13" customFormat="1" ht="20.25" customHeight="1">
      <c r="A14" s="1719" t="s">
        <v>1392</v>
      </c>
      <c r="B14" s="175">
        <v>1181305.04</v>
      </c>
      <c r="C14" s="224">
        <f t="shared" si="0"/>
        <v>5.28873019472898E-2</v>
      </c>
      <c r="D14" s="1219">
        <v>888214.91</v>
      </c>
      <c r="E14" s="224">
        <f t="shared" si="1"/>
        <v>3.9765588521703789E-2</v>
      </c>
      <c r="F14" s="1219">
        <v>1119950</v>
      </c>
      <c r="G14" s="225">
        <f t="shared" si="2"/>
        <v>5.0140422507523714E-2</v>
      </c>
      <c r="H14" s="1732">
        <v>12384344.75</v>
      </c>
      <c r="I14" s="224">
        <f t="shared" si="3"/>
        <v>0.55445000066416639</v>
      </c>
      <c r="J14" s="509">
        <v>6762455</v>
      </c>
      <c r="K14" s="224">
        <f t="shared" si="4"/>
        <v>0.3027566863593163</v>
      </c>
      <c r="L14" s="1733">
        <v>22336269.699999999</v>
      </c>
      <c r="M14" s="22"/>
    </row>
    <row r="15" spans="1:13" s="347" customFormat="1" ht="20.25" customHeight="1">
      <c r="A15" s="1718" t="s">
        <v>114</v>
      </c>
      <c r="B15" s="1141">
        <f>SUM(B4:B14)</f>
        <v>15326122.52</v>
      </c>
      <c r="C15" s="1729">
        <f t="shared" si="0"/>
        <v>6.1369797422540166E-2</v>
      </c>
      <c r="D15" s="1141">
        <f>SUM(D4:D14)</f>
        <v>7567929.1900000004</v>
      </c>
      <c r="E15" s="1729">
        <f t="shared" si="1"/>
        <v>3.0303965056546381E-2</v>
      </c>
      <c r="F15" s="1141">
        <f>SUM(F4:F14)</f>
        <v>10231031.18</v>
      </c>
      <c r="G15" s="1730">
        <f t="shared" si="2"/>
        <v>4.0967720969275673E-2</v>
      </c>
      <c r="H15" s="1141">
        <f>SUM(H4:H14)</f>
        <v>125429653.87</v>
      </c>
      <c r="I15" s="1729">
        <f t="shared" si="3"/>
        <v>0.50225309361426351</v>
      </c>
      <c r="J15" s="1731">
        <f>SUM(J4:J14)</f>
        <v>91179223</v>
      </c>
      <c r="K15" s="1729">
        <f t="shared" si="4"/>
        <v>0.36510542293737419</v>
      </c>
      <c r="L15" s="1141">
        <f>SUM(L4:L14)</f>
        <v>249733959.76000002</v>
      </c>
      <c r="M15" s="437"/>
    </row>
    <row r="16" spans="1:13" customFormat="1" ht="18.75" customHeight="1">
      <c r="A16" s="28"/>
      <c r="B16" s="28"/>
      <c r="C16" s="28"/>
      <c r="D16" s="28"/>
      <c r="E16" s="28"/>
      <c r="F16" s="28"/>
      <c r="G16" s="28"/>
      <c r="H16" s="28"/>
      <c r="I16" s="28"/>
      <c r="J16" s="28"/>
      <c r="K16" s="28"/>
    </row>
    <row r="17" spans="2:11" customFormat="1" ht="18.95" customHeight="1">
      <c r="B17" s="51"/>
      <c r="C17" s="48"/>
      <c r="D17" s="28"/>
      <c r="E17" s="28"/>
      <c r="F17" s="28"/>
      <c r="G17" s="28"/>
      <c r="H17" s="28"/>
      <c r="I17" s="28"/>
      <c r="J17" s="28"/>
      <c r="K17" s="28"/>
    </row>
    <row r="18" spans="2:11" customFormat="1" ht="18.95" customHeight="1">
      <c r="B18" s="51"/>
      <c r="C18" s="48"/>
      <c r="D18" s="28"/>
      <c r="E18" s="28"/>
      <c r="F18" s="28"/>
      <c r="G18" s="28"/>
      <c r="H18" s="28"/>
      <c r="I18" s="28"/>
      <c r="J18" s="28"/>
      <c r="K18" s="28"/>
    </row>
    <row r="19" spans="2:11" customFormat="1" ht="18.95" customHeight="1">
      <c r="B19" s="51"/>
      <c r="C19" s="48"/>
      <c r="D19" s="28"/>
      <c r="E19" s="28"/>
      <c r="F19" s="28"/>
      <c r="G19" s="28"/>
      <c r="H19" s="28"/>
      <c r="I19" s="28"/>
      <c r="J19" s="28"/>
      <c r="K19" s="28"/>
    </row>
    <row r="20" spans="2:11" customFormat="1" ht="18.95" customHeight="1">
      <c r="B20" s="51"/>
      <c r="C20" s="48"/>
      <c r="D20" s="28"/>
      <c r="E20" s="28"/>
      <c r="F20" s="28"/>
      <c r="G20" s="28"/>
      <c r="H20" s="28"/>
      <c r="I20" s="28"/>
      <c r="J20" s="28"/>
      <c r="K20" s="28"/>
    </row>
    <row r="21" spans="2:11" customFormat="1" ht="18.95" customHeight="1">
      <c r="B21" s="51"/>
      <c r="C21" s="48"/>
      <c r="D21" s="28"/>
      <c r="E21" s="28"/>
      <c r="F21" s="28"/>
      <c r="G21" s="28"/>
      <c r="H21" s="28"/>
      <c r="I21" s="28"/>
      <c r="J21" s="28"/>
      <c r="K21" s="28"/>
    </row>
    <row r="22" spans="2:11" customFormat="1" ht="18.95" customHeight="1">
      <c r="B22" s="51"/>
      <c r="C22" s="48"/>
      <c r="D22" s="28"/>
      <c r="E22" s="28"/>
      <c r="F22" s="28"/>
      <c r="G22" s="28"/>
      <c r="H22" s="28"/>
      <c r="I22" s="28"/>
      <c r="J22" s="28"/>
      <c r="K22" s="28"/>
    </row>
    <row r="23" spans="2:11" customFormat="1" ht="18.95" customHeight="1">
      <c r="B23" s="51"/>
      <c r="C23" s="48"/>
      <c r="D23" s="28"/>
      <c r="E23" s="28"/>
      <c r="F23" s="28"/>
      <c r="G23" s="28"/>
      <c r="H23" s="28"/>
      <c r="I23" s="28"/>
      <c r="J23" s="28"/>
      <c r="K23" s="28"/>
    </row>
    <row r="24" spans="2:11" customFormat="1" ht="18.95" customHeight="1">
      <c r="B24" s="51"/>
      <c r="C24" s="48"/>
      <c r="D24" s="28"/>
      <c r="E24" s="28"/>
      <c r="F24" s="28"/>
      <c r="G24" s="28"/>
      <c r="H24" s="28"/>
      <c r="I24" s="28"/>
      <c r="J24" s="28"/>
      <c r="K24" s="28"/>
    </row>
    <row r="25" spans="2:11" customFormat="1" ht="18.95" customHeight="1">
      <c r="B25" s="51"/>
      <c r="C25" s="48"/>
      <c r="D25" s="28"/>
      <c r="E25" s="28"/>
      <c r="F25" s="28"/>
      <c r="G25" s="28"/>
      <c r="H25" s="28"/>
      <c r="I25" s="28"/>
      <c r="J25" s="28"/>
      <c r="K25" s="28"/>
    </row>
    <row r="26" spans="2:11" customFormat="1" ht="18.95" customHeight="1">
      <c r="B26" s="51"/>
      <c r="C26" s="48"/>
      <c r="D26" s="28"/>
      <c r="E26" s="28"/>
      <c r="F26" s="28"/>
      <c r="G26" s="28"/>
      <c r="H26" s="28"/>
      <c r="I26" s="28"/>
      <c r="J26" s="28"/>
      <c r="K26" s="28"/>
    </row>
    <row r="27" spans="2:11" customFormat="1" ht="18.95" customHeight="1">
      <c r="B27" s="51"/>
      <c r="C27" s="48"/>
      <c r="D27" s="28"/>
      <c r="E27" s="28"/>
      <c r="F27" s="28"/>
      <c r="G27" s="28"/>
      <c r="H27" s="28"/>
      <c r="I27" s="28"/>
      <c r="J27" s="28"/>
      <c r="K27" s="28"/>
    </row>
    <row r="28" spans="2:11" customFormat="1" ht="18.95" customHeight="1">
      <c r="B28" s="51"/>
      <c r="C28" s="48"/>
      <c r="D28" s="28"/>
      <c r="E28" s="28"/>
      <c r="F28" s="28"/>
      <c r="G28" s="28"/>
      <c r="H28" s="28"/>
      <c r="I28" s="28"/>
      <c r="J28" s="28"/>
      <c r="K28" s="28"/>
    </row>
    <row r="29" spans="2:11" customFormat="1" ht="18.95" customHeight="1">
      <c r="B29" s="51"/>
      <c r="C29" s="48"/>
      <c r="D29" s="28"/>
      <c r="E29" s="28"/>
      <c r="F29" s="28"/>
      <c r="G29" s="28"/>
      <c r="H29" s="28"/>
      <c r="I29" s="28"/>
      <c r="J29" s="28"/>
      <c r="K29" s="28"/>
    </row>
    <row r="30" spans="2:11" customFormat="1" ht="18.95" customHeight="1">
      <c r="B30" s="51"/>
      <c r="C30" s="48"/>
      <c r="D30" s="28"/>
      <c r="E30" s="28"/>
      <c r="F30" s="28"/>
      <c r="G30" s="28"/>
      <c r="H30" s="28"/>
      <c r="I30" s="28"/>
      <c r="J30" s="28"/>
      <c r="K30" s="28"/>
    </row>
    <row r="31" spans="2:11" customFormat="1" ht="18.95" customHeight="1">
      <c r="B31" s="51"/>
      <c r="C31" s="48"/>
      <c r="D31" s="28"/>
      <c r="E31" s="28"/>
      <c r="F31" s="28"/>
      <c r="G31" s="28"/>
      <c r="H31" s="28"/>
      <c r="I31" s="28"/>
      <c r="J31" s="28"/>
      <c r="K31" s="28"/>
    </row>
    <row r="32" spans="2:11" customFormat="1" ht="18.95" customHeight="1">
      <c r="B32" s="51"/>
      <c r="C32" s="48"/>
      <c r="D32" s="28"/>
      <c r="E32" s="28"/>
      <c r="F32" s="28"/>
      <c r="G32" s="28"/>
      <c r="H32" s="28"/>
      <c r="I32" s="28"/>
      <c r="J32" s="28"/>
      <c r="K32" s="28"/>
    </row>
    <row r="33" spans="1:11" customFormat="1" ht="18.95" customHeight="1">
      <c r="B33" s="51"/>
      <c r="C33" s="48"/>
      <c r="D33" s="28"/>
      <c r="E33" s="28"/>
      <c r="F33" s="28"/>
      <c r="G33" s="28"/>
      <c r="H33" s="28"/>
      <c r="I33" s="28"/>
      <c r="J33" s="28"/>
      <c r="K33" s="28"/>
    </row>
    <row r="34" spans="1:11" customFormat="1" ht="18.95" customHeight="1">
      <c r="B34" s="51"/>
      <c r="C34" s="48"/>
      <c r="D34" s="28"/>
      <c r="E34" s="28"/>
      <c r="F34" s="28"/>
      <c r="G34" s="28"/>
      <c r="H34" s="28"/>
      <c r="I34" s="28"/>
      <c r="J34" s="28"/>
      <c r="K34" s="28"/>
    </row>
    <row r="35" spans="1:11" customFormat="1" ht="18.95" customHeight="1">
      <c r="B35" s="51"/>
      <c r="C35" s="48"/>
      <c r="D35" s="28"/>
      <c r="E35" s="28"/>
      <c r="F35" s="28"/>
      <c r="G35" s="28"/>
      <c r="H35" s="28"/>
      <c r="I35" s="28"/>
      <c r="J35" s="28"/>
      <c r="K35" s="28"/>
    </row>
    <row r="36" spans="1:11" customFormat="1" ht="18.95" customHeight="1">
      <c r="B36" s="51"/>
      <c r="C36" s="48"/>
      <c r="D36" s="28"/>
      <c r="E36" s="28"/>
      <c r="F36" s="28"/>
      <c r="G36" s="28"/>
      <c r="H36" s="28"/>
      <c r="I36" s="28"/>
      <c r="J36" s="28"/>
      <c r="K36" s="28"/>
    </row>
    <row r="37" spans="1:11" customFormat="1" ht="18.95" customHeight="1">
      <c r="B37" s="51"/>
      <c r="C37" s="48"/>
      <c r="D37" s="28"/>
      <c r="E37" s="28"/>
      <c r="F37" s="28"/>
      <c r="G37" s="28"/>
      <c r="H37" s="28"/>
      <c r="I37" s="28"/>
      <c r="J37" s="28"/>
      <c r="K37" s="28"/>
    </row>
    <row r="38" spans="1:11" customFormat="1" ht="18.95" customHeight="1">
      <c r="B38" s="51"/>
      <c r="C38" s="48"/>
      <c r="D38" s="28"/>
      <c r="E38" s="28"/>
      <c r="F38" s="28"/>
      <c r="G38" s="28"/>
      <c r="H38" s="28"/>
      <c r="I38" s="28"/>
      <c r="J38" s="28"/>
      <c r="K38" s="28"/>
    </row>
    <row r="39" spans="1:11" customFormat="1" ht="18.95" customHeight="1">
      <c r="B39" s="51"/>
      <c r="C39" s="48"/>
      <c r="D39" s="28"/>
      <c r="E39" s="28"/>
      <c r="F39" s="28"/>
      <c r="G39" s="28"/>
      <c r="H39" s="28"/>
      <c r="I39" s="28"/>
      <c r="J39" s="28"/>
      <c r="K39" s="28"/>
    </row>
    <row r="40" spans="1:11" customFormat="1" ht="18.95" customHeight="1">
      <c r="B40" s="51"/>
      <c r="C40" s="48"/>
      <c r="D40" s="28"/>
      <c r="E40" s="28"/>
      <c r="F40" s="28"/>
      <c r="G40" s="28"/>
      <c r="H40" s="28"/>
      <c r="I40" s="28"/>
      <c r="J40" s="28"/>
      <c r="K40" s="28"/>
    </row>
    <row r="41" spans="1:11" customFormat="1" ht="18.95" customHeight="1">
      <c r="B41" s="51"/>
      <c r="C41" s="48"/>
      <c r="D41" s="28"/>
      <c r="E41" s="28"/>
      <c r="F41" s="28"/>
      <c r="G41" s="28"/>
      <c r="H41" s="28"/>
      <c r="I41" s="28"/>
      <c r="J41" s="28"/>
      <c r="K41" s="28"/>
    </row>
    <row r="42" spans="1:11" customFormat="1" ht="18.95" customHeight="1">
      <c r="B42" s="51"/>
      <c r="C42" s="48"/>
      <c r="D42" s="28"/>
      <c r="E42" s="28"/>
      <c r="F42" s="28"/>
      <c r="G42" s="28"/>
      <c r="H42" s="28"/>
      <c r="I42" s="28"/>
      <c r="J42" s="28"/>
      <c r="K42" s="28"/>
    </row>
    <row r="43" spans="1:11" customFormat="1" ht="18.95" customHeight="1">
      <c r="B43" s="51"/>
      <c r="C43" s="48"/>
      <c r="D43" s="28"/>
      <c r="E43" s="28"/>
      <c r="F43" s="28"/>
      <c r="G43" s="28"/>
      <c r="H43" s="28"/>
      <c r="I43" s="28"/>
      <c r="J43" s="28"/>
      <c r="K43" s="28"/>
    </row>
    <row r="44" spans="1:11" customFormat="1" ht="18.95" customHeight="1"/>
    <row r="45" spans="1:11" customFormat="1" ht="18.95" customHeight="1">
      <c r="A45" s="92" t="s">
        <v>189</v>
      </c>
    </row>
    <row r="46" spans="1:11" customFormat="1" ht="18.95" customHeight="1"/>
    <row r="47" spans="1:11" customFormat="1" ht="18.95" customHeight="1">
      <c r="A47" s="87"/>
    </row>
    <row r="48" spans="1:11" customFormat="1" ht="18.95" customHeight="1"/>
    <row r="49" spans="1:1" customFormat="1" ht="18.95" customHeight="1"/>
    <row r="50" spans="1:1" customFormat="1" ht="18.95" customHeight="1">
      <c r="A50" s="87"/>
    </row>
    <row r="51" spans="1:1" customFormat="1" ht="49.5" customHeight="1"/>
    <row r="52" spans="1:1" customFormat="1" ht="49.5" customHeight="1"/>
  </sheetData>
  <mergeCells count="2">
    <mergeCell ref="A1:L1"/>
    <mergeCell ref="A2:L2"/>
  </mergeCells>
  <printOptions horizontalCentered="1" verticalCentered="1"/>
  <pageMargins left="0.4" right="0.4" top="0.25" bottom="0.25" header="0.31496062992126" footer="0.31496062992126"/>
  <pageSetup scale="62" orientation="landscape" r:id="rId1"/>
  <ignoredErrors>
    <ignoredError sqref="I15 G15 E15 C15 K15" formula="1"/>
  </ignoredError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theme="9" tint="-0.499984740745262"/>
    <pageSetUpPr fitToPage="1"/>
  </sheetPr>
  <dimension ref="A1:L46"/>
  <sheetViews>
    <sheetView showGridLines="0" view="pageBreakPreview" zoomScale="71" zoomScaleNormal="100" zoomScaleSheetLayoutView="71" workbookViewId="0">
      <selection activeCell="O30" sqref="O30"/>
    </sheetView>
  </sheetViews>
  <sheetFormatPr baseColWidth="10" defaultColWidth="11.5703125" defaultRowHeight="15"/>
  <cols>
    <col min="2" max="2" width="26.85546875" customWidth="1"/>
    <col min="3" max="3" width="26.28515625" customWidth="1"/>
    <col min="4" max="4" width="14.140625" bestFit="1" customWidth="1"/>
    <col min="6" max="6" width="18.42578125" customWidth="1"/>
    <col min="7" max="7" width="16.7109375" customWidth="1"/>
  </cols>
  <sheetData>
    <row r="1" spans="1:12" ht="95.25" customHeight="1">
      <c r="A1" s="2379" t="s">
        <v>996</v>
      </c>
      <c r="B1" s="2379"/>
      <c r="C1" s="2379"/>
      <c r="D1" s="2379"/>
      <c r="E1" s="2379"/>
      <c r="F1" s="2379"/>
      <c r="G1" s="2379"/>
      <c r="H1" s="2379"/>
      <c r="I1" s="2379"/>
      <c r="J1" s="2379"/>
      <c r="K1" s="2379"/>
      <c r="L1" s="2379"/>
    </row>
    <row r="2" spans="1:12" ht="18.75" customHeight="1">
      <c r="A2" s="2214" t="s">
        <v>381</v>
      </c>
      <c r="B2" s="2584"/>
      <c r="C2" s="2584"/>
      <c r="D2" s="2584"/>
      <c r="E2" s="2584"/>
      <c r="F2" s="2584"/>
      <c r="G2" s="2584"/>
      <c r="H2" s="2584"/>
      <c r="I2" s="2584"/>
      <c r="J2" s="2584"/>
      <c r="K2" s="2584"/>
      <c r="L2" s="2584"/>
    </row>
    <row r="3" spans="1:12" ht="24" customHeight="1">
      <c r="A3" s="2584"/>
      <c r="B3" s="2584"/>
      <c r="C3" s="2584"/>
      <c r="D3" s="2584"/>
      <c r="E3" s="2584"/>
      <c r="F3" s="2584"/>
      <c r="G3" s="2584"/>
      <c r="H3" s="2584"/>
      <c r="I3" s="2584"/>
      <c r="J3" s="2584"/>
      <c r="K3" s="2584"/>
      <c r="L3" s="2584"/>
    </row>
    <row r="4" spans="1:12" ht="56.25">
      <c r="A4" s="1735" t="s">
        <v>52</v>
      </c>
      <c r="B4" s="1736" t="s">
        <v>159</v>
      </c>
      <c r="C4" s="27"/>
      <c r="D4" s="23"/>
      <c r="E4" s="23"/>
      <c r="F4" s="23"/>
      <c r="G4" s="23"/>
      <c r="H4" s="23"/>
      <c r="I4" s="23"/>
      <c r="J4" s="23"/>
      <c r="K4" s="23"/>
      <c r="L4" s="27"/>
    </row>
    <row r="5" spans="1:12" ht="18.75">
      <c r="A5" s="1737" t="s">
        <v>1180</v>
      </c>
      <c r="B5" s="1734">
        <v>9075743.9499999993</v>
      </c>
      <c r="C5" s="27"/>
      <c r="D5" s="23"/>
      <c r="E5" s="23"/>
      <c r="F5" s="23"/>
      <c r="G5" s="23"/>
      <c r="H5" s="23"/>
      <c r="I5" s="23"/>
      <c r="J5" s="23"/>
      <c r="K5" s="23"/>
      <c r="L5" s="23"/>
    </row>
    <row r="6" spans="1:12" ht="18.75">
      <c r="A6" s="1737" t="s">
        <v>1383</v>
      </c>
      <c r="B6" s="1734">
        <v>10368156.57</v>
      </c>
      <c r="C6" s="27"/>
      <c r="D6" s="23"/>
      <c r="E6" s="23"/>
      <c r="F6" s="23"/>
      <c r="G6" s="23"/>
      <c r="H6" s="23"/>
      <c r="I6" s="23"/>
      <c r="J6" s="23"/>
      <c r="K6" s="23"/>
      <c r="L6" s="23"/>
    </row>
    <row r="7" spans="1:12" ht="18.75">
      <c r="A7" s="1737" t="s">
        <v>1384</v>
      </c>
      <c r="B7" s="1734">
        <v>9829602.4399999995</v>
      </c>
      <c r="C7" s="27"/>
      <c r="D7" s="23"/>
      <c r="E7" s="23"/>
      <c r="F7" s="23"/>
      <c r="G7" s="23"/>
      <c r="H7" s="23"/>
      <c r="I7" s="23"/>
      <c r="J7" s="23"/>
      <c r="K7" s="23"/>
      <c r="L7" s="23"/>
    </row>
    <row r="8" spans="1:12" ht="18.75">
      <c r="A8" s="1737" t="s">
        <v>1385</v>
      </c>
      <c r="B8" s="1734">
        <v>12062745.02</v>
      </c>
      <c r="C8" s="27"/>
      <c r="D8" s="23"/>
      <c r="E8" s="23"/>
      <c r="F8" s="23"/>
      <c r="G8" s="23"/>
      <c r="H8" s="23"/>
      <c r="I8" s="23"/>
      <c r="J8" s="23"/>
      <c r="K8" s="23"/>
      <c r="L8" s="23"/>
    </row>
    <row r="9" spans="1:12" ht="18.75">
      <c r="A9" s="1737" t="s">
        <v>1386</v>
      </c>
      <c r="B9" s="1734">
        <v>9821353.6899999995</v>
      </c>
      <c r="C9" s="27"/>
      <c r="D9" s="23"/>
      <c r="E9" s="23"/>
      <c r="F9" s="23"/>
      <c r="G9" s="23"/>
      <c r="H9" s="23"/>
      <c r="I9" s="23"/>
      <c r="J9" s="23"/>
      <c r="K9" s="23"/>
      <c r="L9" s="23"/>
    </row>
    <row r="10" spans="1:12" ht="18.75">
      <c r="A10" s="1737" t="s">
        <v>1387</v>
      </c>
      <c r="B10" s="1734">
        <v>16160229.34</v>
      </c>
      <c r="C10" s="27"/>
      <c r="D10" s="23"/>
      <c r="E10" s="23"/>
      <c r="F10" s="23"/>
      <c r="G10" s="23"/>
      <c r="H10" s="23"/>
      <c r="I10" s="23"/>
      <c r="J10" s="23"/>
      <c r="K10" s="23"/>
      <c r="L10" s="23"/>
    </row>
    <row r="11" spans="1:12" ht="18.75">
      <c r="A11" s="1737" t="s">
        <v>1388</v>
      </c>
      <c r="B11" s="1734">
        <v>12515747.58</v>
      </c>
      <c r="C11" s="27"/>
      <c r="D11" s="23"/>
      <c r="E11" s="23"/>
      <c r="F11" s="23"/>
      <c r="G11" s="23"/>
      <c r="H11" s="23"/>
      <c r="I11" s="23"/>
      <c r="J11" s="23"/>
      <c r="K11" s="23"/>
      <c r="L11" s="23"/>
    </row>
    <row r="12" spans="1:12" ht="18.75">
      <c r="A12" s="1737" t="s">
        <v>1389</v>
      </c>
      <c r="B12" s="1734">
        <v>11908445.640000001</v>
      </c>
      <c r="C12" s="27"/>
      <c r="D12" s="23"/>
      <c r="E12" s="23"/>
      <c r="F12" s="23"/>
      <c r="G12" s="23"/>
      <c r="H12" s="23"/>
      <c r="I12" s="23"/>
      <c r="J12" s="23"/>
      <c r="K12" s="23"/>
      <c r="L12" s="23"/>
    </row>
    <row r="13" spans="1:12" ht="18.75">
      <c r="A13" s="1737" t="s">
        <v>1390</v>
      </c>
      <c r="B13" s="1734">
        <v>13842692.390000001</v>
      </c>
      <c r="C13" s="27"/>
      <c r="D13" s="23"/>
      <c r="E13" s="23"/>
      <c r="F13" s="23"/>
      <c r="G13" s="23"/>
      <c r="H13" s="23"/>
      <c r="I13" s="23"/>
      <c r="J13" s="23"/>
      <c r="K13" s="23"/>
      <c r="L13" s="23"/>
    </row>
    <row r="14" spans="1:12" ht="18.75">
      <c r="A14" s="1737" t="s">
        <v>1391</v>
      </c>
      <c r="B14" s="1734">
        <v>7460592.5</v>
      </c>
      <c r="C14" s="27"/>
      <c r="D14" s="23"/>
      <c r="E14" s="23"/>
      <c r="F14" s="23"/>
      <c r="G14" s="23"/>
      <c r="H14" s="23"/>
      <c r="I14" s="23"/>
      <c r="J14" s="23"/>
      <c r="K14" s="23"/>
      <c r="L14" s="23"/>
    </row>
    <row r="15" spans="1:12" ht="18.75">
      <c r="A15" s="1737" t="s">
        <v>1392</v>
      </c>
      <c r="B15" s="1734">
        <v>12384344.75</v>
      </c>
      <c r="C15" s="27"/>
      <c r="D15" s="23"/>
      <c r="E15" s="23"/>
      <c r="F15" s="23"/>
      <c r="G15" s="23"/>
      <c r="H15" s="23"/>
      <c r="I15" s="23"/>
      <c r="J15" s="23"/>
      <c r="K15" s="23"/>
      <c r="L15" s="23"/>
    </row>
    <row r="16" spans="1:12" ht="18.75">
      <c r="A16" s="1737" t="s">
        <v>114</v>
      </c>
      <c r="B16" s="1738">
        <f>SUM(B5:B15)</f>
        <v>125429653.87</v>
      </c>
      <c r="C16" s="27"/>
      <c r="D16" s="23"/>
      <c r="E16" s="23"/>
      <c r="F16" s="23"/>
      <c r="G16" s="23"/>
      <c r="H16" s="23"/>
      <c r="I16" s="23"/>
      <c r="J16" s="23"/>
      <c r="K16" s="23"/>
      <c r="L16" s="23"/>
    </row>
    <row r="17" spans="1:12">
      <c r="A17" s="28"/>
      <c r="B17" s="51"/>
      <c r="C17" s="48"/>
      <c r="D17" s="28"/>
      <c r="E17" s="28"/>
      <c r="F17" s="28"/>
      <c r="G17" s="28"/>
      <c r="H17" s="28"/>
      <c r="I17" s="28"/>
      <c r="J17" s="28"/>
      <c r="K17" s="28"/>
      <c r="L17" s="28"/>
    </row>
    <row r="18" spans="1:12">
      <c r="B18" s="28"/>
      <c r="C18" s="51"/>
      <c r="D18" s="48"/>
      <c r="E18" s="28"/>
      <c r="F18" s="28"/>
      <c r="G18" s="28"/>
      <c r="H18" s="28"/>
      <c r="I18" s="28"/>
      <c r="J18" s="28"/>
      <c r="K18" s="28"/>
      <c r="L18" s="28"/>
    </row>
    <row r="19" spans="1:12">
      <c r="B19" s="28"/>
      <c r="C19" s="51"/>
      <c r="D19" s="48"/>
      <c r="E19" s="28"/>
      <c r="F19" s="28"/>
      <c r="G19" s="28"/>
      <c r="H19" s="28"/>
      <c r="I19" s="28"/>
      <c r="J19" s="28"/>
      <c r="K19" s="28"/>
      <c r="L19" s="28"/>
    </row>
    <row r="20" spans="1:12">
      <c r="B20" s="28"/>
      <c r="C20" s="51"/>
      <c r="D20" s="48"/>
      <c r="E20" s="28"/>
      <c r="F20" s="28"/>
      <c r="G20" s="28"/>
      <c r="H20" s="28"/>
      <c r="I20" s="28"/>
      <c r="J20" s="28"/>
      <c r="K20" s="28"/>
      <c r="L20" s="28"/>
    </row>
    <row r="21" spans="1:12">
      <c r="B21" s="28"/>
      <c r="C21" s="48"/>
      <c r="D21" s="48"/>
      <c r="E21" s="28"/>
      <c r="F21" s="28"/>
      <c r="G21" s="28"/>
      <c r="H21" s="28"/>
      <c r="I21" s="28"/>
      <c r="J21" s="28"/>
      <c r="K21" s="28"/>
      <c r="L21" s="28"/>
    </row>
    <row r="22" spans="1:12">
      <c r="B22" s="28"/>
      <c r="C22" s="48"/>
      <c r="D22" s="48"/>
      <c r="E22" s="28"/>
      <c r="F22" s="28"/>
      <c r="G22" s="28"/>
      <c r="H22" s="28"/>
      <c r="I22" s="28"/>
      <c r="J22" s="28"/>
      <c r="K22" s="28"/>
      <c r="L22" s="28"/>
    </row>
    <row r="23" spans="1:12">
      <c r="B23" s="28"/>
      <c r="C23" s="48"/>
      <c r="D23" s="48"/>
      <c r="E23" s="28"/>
      <c r="F23" s="28"/>
      <c r="G23" s="28"/>
      <c r="H23" s="28"/>
      <c r="I23" s="28"/>
      <c r="J23" s="28"/>
      <c r="K23" s="28"/>
      <c r="L23" s="28"/>
    </row>
    <row r="24" spans="1:12">
      <c r="B24" s="28"/>
      <c r="C24" s="48"/>
      <c r="D24" s="48"/>
      <c r="E24" s="28"/>
      <c r="F24" s="28"/>
      <c r="G24" s="28"/>
      <c r="H24" s="28"/>
      <c r="I24" s="28"/>
      <c r="J24" s="28"/>
      <c r="K24" s="28"/>
      <c r="L24" s="28"/>
    </row>
    <row r="25" spans="1:12">
      <c r="B25" s="28"/>
      <c r="C25" s="48"/>
      <c r="D25" s="48"/>
      <c r="E25" s="28"/>
      <c r="F25" s="28"/>
      <c r="G25" s="28"/>
      <c r="H25" s="28"/>
      <c r="I25" s="28"/>
      <c r="J25" s="28"/>
      <c r="K25" s="28"/>
      <c r="L25" s="28"/>
    </row>
    <row r="26" spans="1:12">
      <c r="B26" s="28"/>
      <c r="C26" s="48"/>
      <c r="D26" s="48"/>
      <c r="E26" s="28"/>
      <c r="F26" s="28"/>
      <c r="G26" s="28"/>
      <c r="H26" s="28"/>
      <c r="I26" s="28"/>
      <c r="J26" s="28"/>
      <c r="K26" s="28"/>
      <c r="L26" s="28"/>
    </row>
    <row r="27" spans="1:12">
      <c r="B27" s="28"/>
      <c r="C27" s="48"/>
      <c r="D27" s="48"/>
      <c r="E27" s="28"/>
      <c r="F27" s="28"/>
      <c r="G27" s="28"/>
      <c r="H27" s="28"/>
      <c r="I27" s="28"/>
      <c r="J27" s="28"/>
      <c r="K27" s="28"/>
      <c r="L27" s="28"/>
    </row>
    <row r="28" spans="1:12">
      <c r="B28" s="28"/>
      <c r="C28" s="48"/>
      <c r="D28" s="48"/>
      <c r="E28" s="28"/>
      <c r="F28" s="28"/>
      <c r="G28" s="28"/>
      <c r="H28" s="28"/>
      <c r="I28" s="28"/>
      <c r="J28" s="28"/>
      <c r="K28" s="28"/>
      <c r="L28" s="28"/>
    </row>
    <row r="29" spans="1:12">
      <c r="B29" s="28"/>
      <c r="C29" s="48"/>
      <c r="D29" s="48"/>
      <c r="E29" s="28"/>
      <c r="F29" s="28"/>
      <c r="G29" s="28"/>
      <c r="H29" s="28"/>
      <c r="I29" s="28"/>
      <c r="J29" s="28"/>
      <c r="K29" s="28"/>
      <c r="L29" s="28"/>
    </row>
    <row r="30" spans="1:12">
      <c r="B30" s="28"/>
      <c r="C30" s="48"/>
      <c r="D30" s="48"/>
      <c r="E30" s="28"/>
      <c r="F30" s="28"/>
      <c r="G30" s="28"/>
      <c r="H30" s="28"/>
      <c r="I30" s="28"/>
      <c r="J30" s="28"/>
      <c r="K30" s="28" t="s">
        <v>174</v>
      </c>
      <c r="L30" s="28"/>
    </row>
    <row r="31" spans="1:12">
      <c r="B31" s="28"/>
      <c r="C31" s="48"/>
      <c r="D31" s="48"/>
      <c r="E31" s="28"/>
      <c r="F31" s="28"/>
      <c r="G31" s="28"/>
      <c r="H31" s="28"/>
      <c r="I31" s="28"/>
      <c r="J31" s="28"/>
      <c r="K31" s="28"/>
      <c r="L31" s="28"/>
    </row>
    <row r="32" spans="1:12">
      <c r="B32" s="28"/>
      <c r="C32" s="48"/>
      <c r="D32" s="48"/>
      <c r="E32" s="28"/>
      <c r="F32" s="28"/>
      <c r="G32" s="28"/>
      <c r="H32" s="28"/>
      <c r="I32" s="28"/>
      <c r="J32" s="28"/>
      <c r="K32" s="28"/>
      <c r="L32" s="28"/>
    </row>
    <row r="33" spans="2:12">
      <c r="B33" s="28"/>
      <c r="C33" s="48"/>
      <c r="D33" s="48"/>
      <c r="E33" s="28"/>
      <c r="F33" s="28"/>
      <c r="G33" s="28"/>
      <c r="H33" s="28"/>
      <c r="I33" s="28"/>
      <c r="J33" s="28"/>
      <c r="K33" s="28"/>
      <c r="L33" s="28"/>
    </row>
    <row r="34" spans="2:12">
      <c r="B34" s="28"/>
      <c r="C34" s="48"/>
      <c r="D34" s="48"/>
      <c r="E34" s="28"/>
      <c r="F34" s="28"/>
      <c r="G34" s="28"/>
      <c r="H34" s="28"/>
      <c r="I34" s="28"/>
      <c r="J34" s="28"/>
      <c r="K34" s="28"/>
      <c r="L34" s="28"/>
    </row>
    <row r="35" spans="2:12">
      <c r="B35" s="28"/>
      <c r="C35" s="48"/>
      <c r="D35" s="48"/>
      <c r="E35" s="28"/>
      <c r="F35" s="28"/>
      <c r="G35" s="28"/>
      <c r="H35" s="28"/>
      <c r="I35" s="28"/>
      <c r="J35" s="28"/>
      <c r="K35" s="28"/>
      <c r="L35" s="28"/>
    </row>
    <row r="36" spans="2:12">
      <c r="B36" s="28"/>
      <c r="C36" s="48"/>
      <c r="D36" s="48"/>
      <c r="E36" s="28"/>
      <c r="F36" s="28"/>
      <c r="G36" s="28"/>
      <c r="H36" s="28"/>
      <c r="I36" s="28"/>
      <c r="J36" s="28"/>
      <c r="K36" s="28"/>
      <c r="L36" s="28"/>
    </row>
    <row r="46" spans="2:12" ht="6" customHeight="1"/>
  </sheetData>
  <mergeCells count="2">
    <mergeCell ref="A1:L1"/>
    <mergeCell ref="A2:L3"/>
  </mergeCells>
  <printOptions horizontalCentered="1" verticalCentered="1"/>
  <pageMargins left="0.4" right="0.4" top="0.25" bottom="0.25" header="0.31496062992126" footer="0.31496062992126"/>
  <pageSetup scale="65"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theme="9" tint="-0.499984740745262"/>
    <pageSetUpPr fitToPage="1"/>
  </sheetPr>
  <dimension ref="A1:M50"/>
  <sheetViews>
    <sheetView showGridLines="0" view="pageBreakPreview" zoomScale="70" zoomScaleNormal="100" zoomScaleSheetLayoutView="70" workbookViewId="0">
      <selection activeCell="M15" sqref="M15"/>
    </sheetView>
  </sheetViews>
  <sheetFormatPr baseColWidth="10" defaultColWidth="11.42578125" defaultRowHeight="15"/>
  <cols>
    <col min="1" max="1" width="16.28515625" style="59" customWidth="1"/>
    <col min="2" max="2" width="26" style="59" customWidth="1"/>
    <col min="3" max="3" width="13.5703125" style="59" customWidth="1"/>
    <col min="4" max="4" width="11.85546875" style="59" customWidth="1"/>
    <col min="5" max="9" width="11.42578125" style="59"/>
    <col min="10" max="10" width="24.28515625" style="59" customWidth="1"/>
    <col min="11" max="11" width="31.42578125" style="59" customWidth="1"/>
    <col min="12" max="16384" width="11.42578125" style="59"/>
  </cols>
  <sheetData>
    <row r="1" spans="1:13" customFormat="1" ht="72.75" customHeight="1">
      <c r="A1" s="2293" t="s">
        <v>997</v>
      </c>
      <c r="B1" s="2293"/>
      <c r="C1" s="2293"/>
      <c r="D1" s="2293"/>
      <c r="E1" s="2293"/>
      <c r="F1" s="2293"/>
      <c r="G1" s="2293"/>
      <c r="H1" s="2293"/>
      <c r="I1" s="2293"/>
      <c r="J1" s="2293"/>
      <c r="K1" s="2293"/>
      <c r="L1" s="2293"/>
      <c r="M1" s="2293"/>
    </row>
    <row r="2" spans="1:13" customFormat="1" ht="44.25" customHeight="1">
      <c r="A2" s="2586" t="s">
        <v>761</v>
      </c>
      <c r="B2" s="2586"/>
      <c r="C2" s="2586"/>
      <c r="D2" s="2586"/>
      <c r="E2" s="2586"/>
      <c r="F2" s="2586"/>
      <c r="G2" s="2586"/>
      <c r="H2" s="2586"/>
      <c r="I2" s="2586"/>
      <c r="J2" s="2586"/>
      <c r="K2" s="2586"/>
      <c r="L2" s="2586"/>
      <c r="M2" s="2586"/>
    </row>
    <row r="3" spans="1:13" customFormat="1" ht="42" customHeight="1">
      <c r="A3" s="2585" t="s">
        <v>158</v>
      </c>
      <c r="B3" s="2585"/>
      <c r="C3" s="23"/>
      <c r="D3" s="23"/>
      <c r="E3" s="23"/>
      <c r="F3" s="23"/>
      <c r="G3" s="23"/>
      <c r="H3" s="23"/>
      <c r="I3" s="23"/>
      <c r="J3" s="23"/>
      <c r="K3" s="23"/>
    </row>
    <row r="4" spans="1:13" customFormat="1" ht="44.25" customHeight="1">
      <c r="A4" s="1735" t="s">
        <v>52</v>
      </c>
      <c r="B4" s="1736" t="s">
        <v>216</v>
      </c>
      <c r="C4" s="23"/>
      <c r="D4" s="23"/>
      <c r="E4" s="23"/>
      <c r="F4" s="23"/>
      <c r="G4" s="23"/>
      <c r="H4" s="23"/>
      <c r="I4" s="23"/>
      <c r="J4" s="23"/>
      <c r="K4" s="23"/>
    </row>
    <row r="5" spans="1:13" customFormat="1" ht="18.75">
      <c r="A5" s="1735" t="s">
        <v>1180</v>
      </c>
      <c r="B5" s="1739">
        <v>2467895.08</v>
      </c>
      <c r="C5" s="23"/>
      <c r="D5" s="23"/>
      <c r="E5" s="23"/>
      <c r="F5" s="23"/>
      <c r="G5" s="23"/>
      <c r="H5" s="23"/>
      <c r="I5" s="23"/>
      <c r="J5" s="23"/>
      <c r="K5" s="23"/>
    </row>
    <row r="6" spans="1:13" customFormat="1" ht="18.75">
      <c r="A6" s="1735" t="s">
        <v>1181</v>
      </c>
      <c r="B6" s="1739">
        <v>0</v>
      </c>
      <c r="C6" s="23"/>
      <c r="D6" s="23"/>
      <c r="E6" s="23"/>
      <c r="F6" s="23"/>
      <c r="G6" s="23"/>
      <c r="H6" s="23"/>
      <c r="I6" s="23"/>
      <c r="J6" s="23"/>
      <c r="K6" s="23"/>
    </row>
    <row r="7" spans="1:13" customFormat="1" ht="18.75">
      <c r="A7" s="1735" t="s">
        <v>1137</v>
      </c>
      <c r="B7" s="1739">
        <v>2816095.6</v>
      </c>
      <c r="C7" s="23"/>
      <c r="D7" s="23"/>
      <c r="E7" s="23"/>
      <c r="F7" s="23"/>
      <c r="G7" s="23"/>
      <c r="H7" s="23"/>
      <c r="I7" s="23"/>
      <c r="J7" s="23"/>
      <c r="K7" s="23"/>
    </row>
    <row r="8" spans="1:13" customFormat="1" ht="18.75">
      <c r="A8" s="1735" t="s">
        <v>1182</v>
      </c>
      <c r="B8" s="1739">
        <v>9419.9699999999993</v>
      </c>
      <c r="C8" s="23"/>
      <c r="D8" s="23"/>
      <c r="E8" s="23"/>
      <c r="F8" s="23"/>
      <c r="G8" s="23"/>
      <c r="H8" s="23"/>
      <c r="I8" s="23"/>
      <c r="J8" s="23"/>
      <c r="K8" s="23"/>
    </row>
    <row r="9" spans="1:13" customFormat="1" ht="18.75">
      <c r="A9" s="1735" t="s">
        <v>1183</v>
      </c>
      <c r="B9" s="1739">
        <v>517460</v>
      </c>
      <c r="C9" s="23"/>
      <c r="D9" s="23"/>
      <c r="E9" s="23"/>
      <c r="F9" s="23"/>
      <c r="G9" s="23"/>
      <c r="H9" s="23"/>
      <c r="I9" s="23"/>
      <c r="J9" s="23"/>
      <c r="K9" s="23"/>
    </row>
    <row r="10" spans="1:13" customFormat="1" ht="18.75">
      <c r="A10" s="1735" t="s">
        <v>1184</v>
      </c>
      <c r="B10" s="1739">
        <v>288042.59000000003</v>
      </c>
      <c r="C10" s="23"/>
      <c r="D10" s="23"/>
      <c r="E10" s="23"/>
      <c r="F10" s="23"/>
      <c r="G10" s="23"/>
      <c r="H10" s="23"/>
      <c r="I10" s="23"/>
      <c r="J10" s="23"/>
      <c r="K10" s="23"/>
    </row>
    <row r="11" spans="1:13" customFormat="1" ht="18.75">
      <c r="A11" s="1735" t="s">
        <v>1185</v>
      </c>
      <c r="B11" s="1739">
        <v>81857.09</v>
      </c>
      <c r="C11" s="23"/>
      <c r="D11" s="23"/>
      <c r="E11" s="23"/>
      <c r="F11" s="23"/>
      <c r="G11" s="23"/>
      <c r="H11" s="23"/>
      <c r="I11" s="23"/>
      <c r="J11" s="23"/>
      <c r="K11" s="23"/>
    </row>
    <row r="12" spans="1:13" customFormat="1" ht="18.75">
      <c r="A12" s="1735" t="s">
        <v>1186</v>
      </c>
      <c r="B12" s="1739">
        <v>0</v>
      </c>
      <c r="C12" s="23"/>
      <c r="D12" s="23"/>
      <c r="E12" s="23"/>
      <c r="F12" s="23"/>
      <c r="G12" s="23"/>
      <c r="H12" s="23"/>
      <c r="I12" s="23"/>
      <c r="J12" s="23"/>
      <c r="K12" s="23"/>
    </row>
    <row r="13" spans="1:13" customFormat="1" ht="18.75">
      <c r="A13" s="1735" t="s">
        <v>1138</v>
      </c>
      <c r="B13" s="1739">
        <v>3042534.13</v>
      </c>
      <c r="C13" s="23"/>
      <c r="D13" s="23"/>
      <c r="E13" s="23"/>
      <c r="F13" s="23"/>
      <c r="G13" s="23"/>
      <c r="H13" s="23"/>
      <c r="I13" s="23"/>
      <c r="J13" s="23"/>
      <c r="K13" s="23"/>
    </row>
    <row r="14" spans="1:13" customFormat="1" ht="18.75">
      <c r="A14" s="1735" t="s">
        <v>1187</v>
      </c>
      <c r="B14" s="1739">
        <v>3555572.66</v>
      </c>
      <c r="C14" s="23"/>
      <c r="D14" s="23"/>
      <c r="E14" s="23"/>
      <c r="F14" s="23"/>
      <c r="G14" s="23"/>
      <c r="H14" s="23"/>
      <c r="I14" s="23"/>
      <c r="J14" s="23"/>
      <c r="K14" s="23"/>
    </row>
    <row r="15" spans="1:13" customFormat="1" ht="18.75">
      <c r="A15" s="1735" t="s">
        <v>1188</v>
      </c>
      <c r="B15" s="1739">
        <v>5104935.32</v>
      </c>
      <c r="C15" s="23"/>
      <c r="D15" s="23"/>
      <c r="E15" s="23"/>
      <c r="F15" s="23"/>
      <c r="G15" s="23"/>
      <c r="H15" s="23"/>
      <c r="I15" s="23"/>
      <c r="J15" s="23"/>
      <c r="K15" s="23"/>
    </row>
    <row r="16" spans="1:13" customFormat="1" ht="20.25" customHeight="1">
      <c r="A16" s="1735" t="s">
        <v>114</v>
      </c>
      <c r="B16" s="1740">
        <f>SUM(B5:B15)</f>
        <v>17883812.439999998</v>
      </c>
      <c r="C16" s="23"/>
      <c r="D16" s="23"/>
      <c r="E16" s="23"/>
      <c r="F16" s="23"/>
      <c r="G16" s="23"/>
      <c r="H16" s="23"/>
      <c r="I16" s="23"/>
      <c r="J16" s="23"/>
      <c r="K16" s="23"/>
    </row>
    <row r="17" spans="1:11" customFormat="1" ht="17.25" customHeight="1">
      <c r="A17" s="28"/>
      <c r="B17" s="28"/>
      <c r="C17" s="28"/>
      <c r="D17" s="28"/>
      <c r="E17" s="28"/>
      <c r="F17" s="28"/>
      <c r="G17" s="28"/>
      <c r="H17" s="28"/>
      <c r="I17" s="28"/>
      <c r="J17" s="28"/>
      <c r="K17" s="28"/>
    </row>
    <row r="18" spans="1:11" customFormat="1">
      <c r="B18" s="28"/>
      <c r="C18" s="28"/>
      <c r="D18" s="28"/>
      <c r="E18" s="28"/>
      <c r="F18" s="28"/>
      <c r="G18" s="28"/>
      <c r="H18" s="28"/>
      <c r="I18" s="28"/>
      <c r="J18" s="28"/>
      <c r="K18" s="28"/>
    </row>
    <row r="19" spans="1:11" customFormat="1">
      <c r="B19" s="28"/>
      <c r="C19" s="28"/>
      <c r="D19" s="28"/>
      <c r="E19" s="28"/>
      <c r="F19" s="28"/>
      <c r="G19" s="28"/>
      <c r="H19" s="28"/>
      <c r="I19" s="28"/>
      <c r="J19" s="28"/>
      <c r="K19" s="28"/>
    </row>
    <row r="20" spans="1:11" customFormat="1">
      <c r="B20" s="28"/>
      <c r="C20" s="28"/>
      <c r="D20" s="28"/>
      <c r="E20" s="28"/>
      <c r="F20" s="28"/>
      <c r="G20" s="28"/>
      <c r="H20" s="28"/>
      <c r="I20" s="28"/>
      <c r="J20" s="28"/>
      <c r="K20" s="28"/>
    </row>
    <row r="21" spans="1:11" customFormat="1">
      <c r="B21" s="28"/>
      <c r="C21" s="28"/>
      <c r="D21" s="28"/>
      <c r="E21" s="28"/>
      <c r="F21" s="28"/>
      <c r="G21" s="28"/>
      <c r="H21" s="28"/>
      <c r="I21" s="28"/>
      <c r="J21" s="28"/>
      <c r="K21" s="28"/>
    </row>
    <row r="22" spans="1:11" customFormat="1">
      <c r="B22" s="28"/>
      <c r="C22" s="28"/>
      <c r="D22" s="28"/>
      <c r="E22" s="28"/>
      <c r="F22" s="28"/>
      <c r="G22" s="28"/>
      <c r="H22" s="28"/>
      <c r="I22" s="28"/>
      <c r="J22" s="28"/>
      <c r="K22" s="28"/>
    </row>
    <row r="23" spans="1:11" customFormat="1">
      <c r="B23" s="28"/>
      <c r="C23" s="28"/>
      <c r="D23" s="28"/>
      <c r="E23" s="28"/>
      <c r="F23" s="28"/>
      <c r="G23" s="28"/>
      <c r="H23" s="28"/>
      <c r="I23" s="28"/>
      <c r="J23" s="28"/>
      <c r="K23" s="28"/>
    </row>
    <row r="24" spans="1:11" customFormat="1">
      <c r="B24" s="28"/>
      <c r="C24" s="28"/>
      <c r="D24" s="28"/>
      <c r="E24" s="28"/>
      <c r="F24" s="28"/>
      <c r="G24" s="28"/>
      <c r="H24" s="28"/>
      <c r="I24" s="28"/>
      <c r="J24" s="28"/>
      <c r="K24" s="28"/>
    </row>
    <row r="25" spans="1:11" customFormat="1">
      <c r="B25" s="28"/>
      <c r="C25" s="28"/>
      <c r="D25" s="28"/>
      <c r="E25" s="28"/>
      <c r="F25" s="28"/>
      <c r="G25" s="28"/>
      <c r="H25" s="28"/>
      <c r="I25" s="28"/>
      <c r="J25" s="28"/>
      <c r="K25" s="28"/>
    </row>
    <row r="26" spans="1:11" customFormat="1">
      <c r="B26" s="28"/>
      <c r="C26" s="28"/>
      <c r="D26" s="28"/>
      <c r="E26" s="28"/>
      <c r="F26" s="28"/>
      <c r="G26" s="28"/>
      <c r="H26" s="28"/>
      <c r="I26" s="28"/>
      <c r="J26" s="28"/>
      <c r="K26" s="28"/>
    </row>
    <row r="27" spans="1:11" customFormat="1">
      <c r="B27" s="28"/>
      <c r="C27" s="28"/>
      <c r="D27" s="28"/>
      <c r="E27" s="28"/>
      <c r="F27" s="28"/>
      <c r="G27" s="28"/>
      <c r="H27" s="28"/>
      <c r="I27" s="28"/>
      <c r="J27" s="28"/>
      <c r="K27" s="28"/>
    </row>
    <row r="28" spans="1:11" customFormat="1">
      <c r="B28" s="28"/>
      <c r="C28" s="28"/>
      <c r="D28" s="28"/>
      <c r="E28" s="28"/>
      <c r="F28" s="28"/>
      <c r="G28" s="28"/>
      <c r="H28" s="28"/>
      <c r="I28" s="28"/>
      <c r="J28" s="28"/>
      <c r="K28" s="28"/>
    </row>
    <row r="29" spans="1:11" customFormat="1">
      <c r="B29" s="28"/>
      <c r="C29" s="28"/>
      <c r="D29" s="28"/>
      <c r="E29" s="28"/>
      <c r="F29" s="28"/>
      <c r="G29" s="28"/>
      <c r="H29" s="28"/>
      <c r="I29" s="28"/>
      <c r="J29" s="28"/>
      <c r="K29" s="28"/>
    </row>
    <row r="30" spans="1:11" customFormat="1">
      <c r="B30" s="28"/>
      <c r="C30" s="28"/>
      <c r="D30" s="28"/>
      <c r="E30" s="28"/>
      <c r="F30" s="28"/>
      <c r="G30" s="28"/>
      <c r="H30" s="28"/>
      <c r="I30" s="28"/>
      <c r="J30" s="28" t="s">
        <v>174</v>
      </c>
      <c r="K30" s="28"/>
    </row>
    <row r="31" spans="1:11" customFormat="1">
      <c r="B31" s="28"/>
      <c r="C31" s="28"/>
      <c r="D31" s="28"/>
      <c r="E31" s="28"/>
      <c r="F31" s="28"/>
      <c r="G31" s="28"/>
      <c r="H31" s="28"/>
      <c r="I31" s="28"/>
      <c r="J31" s="28"/>
      <c r="K31" s="28"/>
    </row>
    <row r="32" spans="1:11" customFormat="1">
      <c r="B32" s="28"/>
      <c r="C32" s="28"/>
      <c r="D32" s="28"/>
      <c r="E32" s="28"/>
      <c r="F32" s="28"/>
      <c r="G32" s="28"/>
      <c r="H32" s="28"/>
      <c r="I32" s="28"/>
      <c r="J32" s="28"/>
      <c r="K32" s="28"/>
    </row>
    <row r="33" spans="2:11" customFormat="1">
      <c r="B33" s="28"/>
      <c r="C33" s="28"/>
      <c r="D33" s="28"/>
      <c r="E33" s="28"/>
      <c r="F33" s="28"/>
      <c r="G33" s="28"/>
      <c r="H33" s="28"/>
      <c r="I33" s="28"/>
      <c r="J33" s="28"/>
      <c r="K33" s="28"/>
    </row>
    <row r="34" spans="2:11" customFormat="1">
      <c r="B34" s="28"/>
      <c r="C34" s="28"/>
      <c r="D34" s="28"/>
      <c r="E34" s="28"/>
      <c r="F34" s="28"/>
      <c r="G34" s="28"/>
      <c r="H34" s="28"/>
      <c r="I34" s="28"/>
      <c r="J34" s="28"/>
      <c r="K34" s="28"/>
    </row>
    <row r="35" spans="2:11" customFormat="1">
      <c r="B35" s="28"/>
      <c r="C35" s="28"/>
      <c r="D35" s="28"/>
      <c r="E35" s="28"/>
      <c r="F35" s="28"/>
      <c r="G35" s="28"/>
      <c r="H35" s="28"/>
      <c r="I35" s="28"/>
      <c r="J35" s="28"/>
      <c r="K35" s="28"/>
    </row>
    <row r="36" spans="2:11" customFormat="1">
      <c r="B36" s="28"/>
      <c r="C36" s="28"/>
      <c r="D36" s="28"/>
      <c r="E36" s="28"/>
      <c r="F36" s="28"/>
      <c r="G36" s="28"/>
      <c r="H36" s="28"/>
      <c r="I36" s="28"/>
      <c r="J36" s="28"/>
      <c r="K36" s="28"/>
    </row>
    <row r="37" spans="2:11" customFormat="1">
      <c r="B37" s="28"/>
      <c r="C37" s="28"/>
      <c r="D37" s="28"/>
      <c r="E37" s="28"/>
      <c r="F37" s="28"/>
      <c r="G37" s="28"/>
      <c r="H37" s="28"/>
      <c r="I37" s="28"/>
      <c r="J37" s="28"/>
      <c r="K37" s="28"/>
    </row>
    <row r="38" spans="2:11" customFormat="1">
      <c r="B38" s="28"/>
      <c r="C38" s="28"/>
      <c r="D38" s="28"/>
      <c r="E38" s="28"/>
      <c r="F38" s="28"/>
      <c r="G38" s="28"/>
      <c r="H38" s="28"/>
      <c r="I38" s="28"/>
      <c r="J38" s="28"/>
      <c r="K38" s="28"/>
    </row>
    <row r="39" spans="2:11" customFormat="1">
      <c r="B39" s="28"/>
      <c r="C39" s="28"/>
      <c r="D39" s="28"/>
      <c r="E39" s="28"/>
      <c r="F39" s="28"/>
      <c r="G39" s="28"/>
      <c r="H39" s="28"/>
      <c r="I39" s="28"/>
      <c r="J39" s="28"/>
      <c r="K39" s="28"/>
    </row>
    <row r="40" spans="2:11" customFormat="1">
      <c r="B40" s="28"/>
      <c r="C40" s="28"/>
      <c r="D40" s="28"/>
      <c r="E40" s="28"/>
      <c r="F40" s="28"/>
      <c r="G40" s="28"/>
      <c r="H40" s="28"/>
      <c r="I40" s="28"/>
      <c r="J40" s="28"/>
      <c r="K40" s="28"/>
    </row>
    <row r="41" spans="2:11" customFormat="1">
      <c r="B41" s="28"/>
      <c r="C41" s="28"/>
      <c r="D41" s="28"/>
      <c r="E41" s="28"/>
      <c r="F41" s="28"/>
      <c r="G41" s="28"/>
      <c r="H41" s="28"/>
      <c r="I41" s="28"/>
      <c r="J41" s="28"/>
      <c r="K41" s="28"/>
    </row>
    <row r="42" spans="2:11" customFormat="1" ht="8.25" customHeight="1">
      <c r="B42" s="28"/>
      <c r="C42" s="28"/>
      <c r="D42" s="28"/>
      <c r="E42" s="28"/>
      <c r="F42" s="28"/>
      <c r="G42" s="28"/>
      <c r="H42" s="28"/>
      <c r="I42" s="28"/>
      <c r="J42" s="28"/>
      <c r="K42" s="28"/>
    </row>
    <row r="43" spans="2:11">
      <c r="B43" s="43"/>
      <c r="C43" s="43"/>
      <c r="D43" s="43"/>
      <c r="E43" s="43"/>
      <c r="F43" s="43"/>
      <c r="G43" s="43"/>
      <c r="H43" s="43"/>
      <c r="I43" s="43"/>
      <c r="J43" s="43"/>
      <c r="K43" s="43"/>
    </row>
    <row r="44" spans="2:11">
      <c r="B44" s="43"/>
      <c r="C44" s="43"/>
      <c r="D44" s="43"/>
      <c r="E44" s="43"/>
      <c r="F44" s="43"/>
      <c r="G44" s="43"/>
      <c r="H44" s="43"/>
      <c r="I44" s="43"/>
      <c r="J44" s="43"/>
      <c r="K44" s="43"/>
    </row>
    <row r="45" spans="2:11">
      <c r="B45" s="43"/>
      <c r="C45" s="43"/>
      <c r="D45" s="43"/>
      <c r="E45" s="43"/>
      <c r="F45" s="43"/>
      <c r="G45" s="43"/>
      <c r="H45" s="43"/>
      <c r="I45" s="43"/>
      <c r="J45" s="43"/>
      <c r="K45" s="43"/>
    </row>
    <row r="46" spans="2:11">
      <c r="B46" s="43"/>
      <c r="C46" s="43"/>
      <c r="D46" s="43"/>
      <c r="E46" s="43"/>
      <c r="F46" s="43"/>
      <c r="G46" s="43"/>
      <c r="H46" s="43"/>
      <c r="I46" s="43"/>
      <c r="J46" s="43"/>
      <c r="K46" s="43"/>
    </row>
    <row r="47" spans="2:11">
      <c r="B47" s="43"/>
      <c r="C47" s="43"/>
      <c r="D47" s="43"/>
      <c r="E47" s="43"/>
      <c r="F47" s="43"/>
      <c r="G47" s="43"/>
      <c r="H47" s="43"/>
      <c r="I47" s="43"/>
      <c r="J47" s="43"/>
      <c r="K47" s="43"/>
    </row>
    <row r="48" spans="2:11">
      <c r="B48" s="43"/>
      <c r="C48" s="43"/>
      <c r="D48" s="43"/>
      <c r="E48" s="43"/>
      <c r="F48" s="43"/>
      <c r="G48" s="43"/>
      <c r="H48" s="43"/>
      <c r="I48" s="43"/>
      <c r="J48" s="43"/>
      <c r="K48" s="43"/>
    </row>
    <row r="49" spans="2:11">
      <c r="B49" s="43"/>
      <c r="C49" s="43"/>
      <c r="D49" s="43"/>
      <c r="E49" s="43"/>
      <c r="F49" s="43"/>
      <c r="G49" s="43"/>
      <c r="H49" s="43"/>
      <c r="I49" s="43"/>
      <c r="J49" s="43"/>
      <c r="K49" s="43"/>
    </row>
    <row r="50" spans="2:11">
      <c r="B50" s="43"/>
      <c r="C50" s="43"/>
      <c r="D50" s="43"/>
      <c r="E50" s="43"/>
      <c r="F50" s="43"/>
      <c r="G50" s="43"/>
      <c r="H50" s="43"/>
      <c r="I50" s="43"/>
      <c r="J50" s="43"/>
      <c r="K50" s="43"/>
    </row>
  </sheetData>
  <mergeCells count="3">
    <mergeCell ref="A3:B3"/>
    <mergeCell ref="A1:M1"/>
    <mergeCell ref="A2:M2"/>
  </mergeCells>
  <printOptions horizontalCentered="1" verticalCentered="1"/>
  <pageMargins left="0.4" right="0.4" top="0.25" bottom="0.25" header="0.31496062992126" footer="0.31496062992126"/>
  <pageSetup scale="64"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theme="9" tint="-0.499984740745262"/>
    <pageSetUpPr fitToPage="1"/>
  </sheetPr>
  <dimension ref="A1:L45"/>
  <sheetViews>
    <sheetView showGridLines="0" view="pageBreakPreview" zoomScale="70" zoomScaleNormal="100" zoomScaleSheetLayoutView="70" workbookViewId="0">
      <selection activeCell="J7" sqref="J7"/>
    </sheetView>
  </sheetViews>
  <sheetFormatPr baseColWidth="10" defaultColWidth="11.5703125" defaultRowHeight="15"/>
  <cols>
    <col min="2" max="2" width="14" bestFit="1" customWidth="1"/>
    <col min="3" max="3" width="16.28515625" customWidth="1"/>
    <col min="4" max="4" width="20.28515625" customWidth="1"/>
    <col min="5" max="5" width="20.7109375" customWidth="1"/>
    <col min="6" max="6" width="16.42578125" customWidth="1"/>
    <col min="7" max="7" width="17.5703125" customWidth="1"/>
    <col min="8" max="8" width="16.42578125" customWidth="1"/>
    <col min="12" max="12" width="37.140625" customWidth="1"/>
  </cols>
  <sheetData>
    <row r="1" spans="1:12" ht="90.75" customHeight="1">
      <c r="A1" s="2249" t="s">
        <v>1189</v>
      </c>
      <c r="B1" s="2249"/>
      <c r="C1" s="2249"/>
      <c r="D1" s="2249"/>
      <c r="E1" s="2249"/>
      <c r="F1" s="2249"/>
      <c r="G1" s="2249"/>
      <c r="H1" s="2249"/>
      <c r="I1" s="2249"/>
      <c r="J1" s="2249"/>
      <c r="K1" s="2249"/>
      <c r="L1" s="2249"/>
    </row>
    <row r="2" spans="1:12" s="59" customFormat="1" ht="3.75" customHeight="1">
      <c r="A2" s="575"/>
      <c r="B2" s="575"/>
      <c r="C2" s="575"/>
      <c r="D2" s="575"/>
      <c r="E2" s="575"/>
      <c r="F2" s="575"/>
      <c r="G2" s="575"/>
      <c r="H2" s="575"/>
      <c r="I2" s="575"/>
      <c r="J2" s="575"/>
      <c r="K2" s="575"/>
      <c r="L2" s="575"/>
    </row>
    <row r="3" spans="1:12" ht="21.75" customHeight="1">
      <c r="A3" s="2587" t="s">
        <v>175</v>
      </c>
      <c r="B3" s="2587"/>
      <c r="C3" s="2587"/>
      <c r="D3" s="2587"/>
      <c r="E3" s="2587"/>
      <c r="F3" s="23"/>
      <c r="G3" s="23"/>
      <c r="H3" s="23"/>
      <c r="I3" s="23"/>
      <c r="J3" s="27"/>
      <c r="K3" s="27"/>
      <c r="L3" s="27"/>
    </row>
    <row r="4" spans="1:12" ht="48" customHeight="1">
      <c r="A4" s="1717" t="s">
        <v>52</v>
      </c>
      <c r="B4" s="1741" t="s">
        <v>176</v>
      </c>
      <c r="C4" s="1741" t="s">
        <v>177</v>
      </c>
      <c r="D4" s="1741" t="s">
        <v>178</v>
      </c>
      <c r="E4" s="1741" t="s">
        <v>217</v>
      </c>
      <c r="F4" s="23"/>
      <c r="G4" s="23"/>
      <c r="H4" s="23"/>
      <c r="I4" s="23"/>
      <c r="J4" s="27"/>
      <c r="K4" s="27"/>
      <c r="L4" s="27"/>
    </row>
    <row r="5" spans="1:12" ht="18.75">
      <c r="A5" s="1742" t="s">
        <v>1180</v>
      </c>
      <c r="B5" s="1743">
        <v>209</v>
      </c>
      <c r="C5" s="1743">
        <v>436</v>
      </c>
      <c r="D5" s="1744">
        <f>[10]RL!F367/[10]RL!D367</f>
        <v>4199.4987081339714</v>
      </c>
      <c r="E5" s="1744">
        <f>[10]RL!F367/[10]RL!E367</f>
        <v>2013.0624541284403</v>
      </c>
      <c r="F5" s="23"/>
      <c r="G5" s="23"/>
      <c r="H5" s="23"/>
      <c r="I5" s="23"/>
      <c r="J5" s="27"/>
      <c r="K5" s="27"/>
      <c r="L5" s="27"/>
    </row>
    <row r="6" spans="1:12" ht="18.75">
      <c r="A6" s="1742" t="s">
        <v>1181</v>
      </c>
      <c r="B6" s="1743">
        <v>216</v>
      </c>
      <c r="C6" s="1743">
        <v>454</v>
      </c>
      <c r="D6" s="1744">
        <f>[10]RL!F368/[10]RL!D368</f>
        <v>4595.4988425925922</v>
      </c>
      <c r="E6" s="1744">
        <f>[10]RL!F368/[10]RL!E368</f>
        <v>2186.4047356828196</v>
      </c>
      <c r="F6" s="23"/>
      <c r="G6" s="23"/>
      <c r="H6" s="23"/>
      <c r="I6" s="23"/>
      <c r="J6" s="27"/>
      <c r="K6" s="27"/>
      <c r="L6" s="27"/>
    </row>
    <row r="7" spans="1:12" ht="18.75">
      <c r="A7" s="1742" t="s">
        <v>1137</v>
      </c>
      <c r="B7" s="1743">
        <v>233</v>
      </c>
      <c r="C7" s="1743">
        <v>470</v>
      </c>
      <c r="D7" s="1744">
        <f>[10]RL!F369/[10]RL!D369</f>
        <v>7013.3985407725322</v>
      </c>
      <c r="E7" s="1744">
        <f>[10]RL!F369/[10]RL!E369</f>
        <v>3476.8550212765958</v>
      </c>
      <c r="F7" s="23"/>
      <c r="G7" s="23"/>
      <c r="H7" s="23"/>
      <c r="I7" s="23"/>
      <c r="J7" s="27"/>
      <c r="K7" s="27"/>
      <c r="L7" s="27"/>
    </row>
    <row r="8" spans="1:12" ht="18.75">
      <c r="A8" s="1742" t="s">
        <v>1182</v>
      </c>
      <c r="B8" s="1743">
        <v>235</v>
      </c>
      <c r="C8" s="1743">
        <v>478</v>
      </c>
      <c r="D8" s="1744">
        <f>[10]RL!F370/[10]RL!D370</f>
        <v>3317.3118723404259</v>
      </c>
      <c r="E8" s="1744">
        <f>[10]RL!F370/[10]RL!E370</f>
        <v>1630.8960041841005</v>
      </c>
      <c r="F8" s="23"/>
      <c r="G8" s="23"/>
      <c r="H8" s="23"/>
      <c r="I8" s="23"/>
      <c r="J8" s="27"/>
      <c r="K8" s="27"/>
      <c r="L8" s="27"/>
    </row>
    <row r="9" spans="1:12" ht="18.75">
      <c r="A9" s="1742" t="s">
        <v>1183</v>
      </c>
      <c r="B9" s="1743">
        <v>244</v>
      </c>
      <c r="C9" s="1743">
        <v>487</v>
      </c>
      <c r="D9" s="1744">
        <f>[10]RL!F371/[10]RL!D371</f>
        <v>5095.1297950819671</v>
      </c>
      <c r="E9" s="1744">
        <f>[10]RL!F371/[10]RL!E371</f>
        <v>2552.7960369609855</v>
      </c>
      <c r="F9" s="23"/>
      <c r="G9" s="23"/>
      <c r="H9" s="23"/>
      <c r="I9" s="23"/>
      <c r="J9" s="27"/>
      <c r="K9" s="27"/>
      <c r="L9" s="27"/>
    </row>
    <row r="10" spans="1:12" ht="18.75">
      <c r="A10" s="1742" t="s">
        <v>1184</v>
      </c>
      <c r="B10" s="1743">
        <v>254</v>
      </c>
      <c r="C10" s="1743">
        <v>528</v>
      </c>
      <c r="D10" s="1744">
        <f>[10]RL!F372/[10]RL!D372</f>
        <v>9931.8560629921249</v>
      </c>
      <c r="E10" s="1744">
        <f>[10]RL!F372/[10]RL!E372</f>
        <v>4777.8246969696966</v>
      </c>
      <c r="F10" s="23"/>
      <c r="G10" s="23"/>
      <c r="H10" s="23"/>
      <c r="I10" s="23"/>
      <c r="J10" s="27"/>
      <c r="K10" s="27"/>
      <c r="L10" s="27"/>
    </row>
    <row r="11" spans="1:12" ht="18.75">
      <c r="A11" s="1742" t="s">
        <v>1185</v>
      </c>
      <c r="B11" s="1743">
        <v>272</v>
      </c>
      <c r="C11" s="1743">
        <v>538</v>
      </c>
      <c r="D11" s="1744">
        <f>[10]RL!F373/[10]RL!D373</f>
        <v>4993.289742647059</v>
      </c>
      <c r="E11" s="1744">
        <f>[10]RL!F373/[10]RL!E373</f>
        <v>2524.488494423792</v>
      </c>
      <c r="F11" s="23"/>
      <c r="G11" s="23"/>
      <c r="H11" s="23"/>
      <c r="I11" s="23"/>
      <c r="J11" s="27"/>
      <c r="K11" s="27"/>
      <c r="L11" s="27"/>
    </row>
    <row r="12" spans="1:12" ht="18.75">
      <c r="A12" s="1742" t="s">
        <v>1186</v>
      </c>
      <c r="B12" s="1743">
        <v>272</v>
      </c>
      <c r="C12" s="1743">
        <v>542</v>
      </c>
      <c r="D12" s="1744">
        <f>[10]RL!F374/[10]RL!D374</f>
        <v>3835.0266544117649</v>
      </c>
      <c r="E12" s="1744">
        <f>[10]RL!F374/[10]RL!E374</f>
        <v>1924.5890221402215</v>
      </c>
      <c r="F12" s="23"/>
      <c r="G12" s="23"/>
      <c r="H12" s="23"/>
      <c r="I12" s="23"/>
      <c r="J12" s="27"/>
      <c r="K12" s="27"/>
      <c r="L12" s="27"/>
    </row>
    <row r="13" spans="1:12" ht="18.75">
      <c r="A13" s="1742" t="s">
        <v>1138</v>
      </c>
      <c r="B13" s="1743">
        <v>296</v>
      </c>
      <c r="C13" s="1743">
        <v>562</v>
      </c>
      <c r="D13" s="1744">
        <f>[10]RL!F375/[10]RL!D375</f>
        <v>7718.7752364864873</v>
      </c>
      <c r="E13" s="1744">
        <f>[10]RL!F375/[10]RL!E375</f>
        <v>4065.4047508896801</v>
      </c>
      <c r="F13" s="23"/>
      <c r="G13" s="23"/>
      <c r="H13" s="23"/>
      <c r="I13" s="23"/>
      <c r="J13" s="27"/>
      <c r="K13" s="27"/>
      <c r="L13" s="27"/>
    </row>
    <row r="14" spans="1:12" ht="18.75">
      <c r="A14" s="1742" t="s">
        <v>1187</v>
      </c>
      <c r="B14" s="1743">
        <v>293</v>
      </c>
      <c r="C14" s="1743">
        <v>573</v>
      </c>
      <c r="D14" s="1744">
        <f>[10]RL!F376/[10]RL!D376</f>
        <v>4808.3334812286685</v>
      </c>
      <c r="E14" s="1744">
        <f>[10]RL!F376/[10]RL!E376</f>
        <v>2458.7115357766143</v>
      </c>
      <c r="F14" s="23"/>
      <c r="G14" s="23"/>
      <c r="H14" s="23"/>
      <c r="I14" s="23"/>
      <c r="J14" s="27"/>
      <c r="K14" s="27"/>
      <c r="L14" s="27"/>
    </row>
    <row r="15" spans="1:12" ht="18.75">
      <c r="A15" s="1742" t="s">
        <v>1188</v>
      </c>
      <c r="B15" s="1743">
        <v>300</v>
      </c>
      <c r="C15" s="1743">
        <v>591</v>
      </c>
      <c r="D15" s="1744">
        <f>[10]RL!F377/[10]RL!D377</f>
        <v>3937.6834666666668</v>
      </c>
      <c r="E15" s="1744">
        <f>[10]RL!F377/[10]RL!E377</f>
        <v>1998.8240947546533</v>
      </c>
      <c r="F15" s="23"/>
      <c r="G15" s="23"/>
      <c r="H15" s="23"/>
      <c r="I15" s="23"/>
      <c r="J15" s="27"/>
      <c r="K15" s="27"/>
      <c r="L15" s="27"/>
    </row>
    <row r="16" spans="1:12">
      <c r="A16" s="28"/>
      <c r="B16" s="28"/>
      <c r="C16" s="28"/>
      <c r="D16" s="28"/>
      <c r="E16" s="28"/>
      <c r="F16" s="28"/>
      <c r="G16" s="28"/>
      <c r="H16" s="28"/>
      <c r="I16" s="28"/>
    </row>
    <row r="17" spans="3:12">
      <c r="C17" s="48"/>
      <c r="D17" s="28"/>
      <c r="E17" s="28"/>
      <c r="F17" s="28"/>
      <c r="G17" s="28"/>
      <c r="H17" s="28"/>
      <c r="I17" s="28"/>
      <c r="J17" s="28"/>
      <c r="K17" s="28"/>
      <c r="L17" s="28"/>
    </row>
    <row r="18" spans="3:12">
      <c r="C18" s="48"/>
      <c r="D18" s="28"/>
      <c r="E18" s="28"/>
      <c r="F18" s="28"/>
      <c r="G18" s="28"/>
      <c r="H18" s="28"/>
      <c r="I18" s="28"/>
      <c r="J18" s="28"/>
      <c r="K18" s="28"/>
      <c r="L18" s="28"/>
    </row>
    <row r="44" ht="6.75" customHeight="1"/>
    <row r="45" ht="6.75" customHeight="1"/>
  </sheetData>
  <mergeCells count="2">
    <mergeCell ref="A1:L1"/>
    <mergeCell ref="A3:E3"/>
  </mergeCells>
  <pageMargins left="0.70866141732283472" right="0.70866141732283472" top="0.74803149606299213" bottom="0.74803149606299213" header="0.31496062992125984" footer="0.31496062992125984"/>
  <pageSetup scale="56"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theme="9" tint="-0.499984740745262"/>
    <pageSetUpPr fitToPage="1"/>
  </sheetPr>
  <dimension ref="A1:P45"/>
  <sheetViews>
    <sheetView showGridLines="0" view="pageBreakPreview" zoomScale="75" zoomScaleNormal="100" zoomScaleSheetLayoutView="75" workbookViewId="0">
      <selection activeCell="F6" sqref="F6"/>
    </sheetView>
  </sheetViews>
  <sheetFormatPr baseColWidth="10" defaultColWidth="11.5703125" defaultRowHeight="15"/>
  <cols>
    <col min="2" max="2" width="17.85546875" bestFit="1" customWidth="1"/>
    <col min="3" max="3" width="24.7109375" bestFit="1" customWidth="1"/>
    <col min="4" max="4" width="19.5703125" customWidth="1"/>
    <col min="5" max="5" width="19" customWidth="1"/>
  </cols>
  <sheetData>
    <row r="1" spans="1:16" ht="59.25" customHeight="1">
      <c r="A1" s="2315" t="s">
        <v>462</v>
      </c>
      <c r="B1" s="2315"/>
      <c r="C1" s="2315"/>
      <c r="D1" s="2315"/>
      <c r="E1" s="2315"/>
      <c r="F1" s="2315"/>
      <c r="G1" s="2315"/>
      <c r="H1" s="2315"/>
      <c r="I1" s="2315"/>
      <c r="J1" s="2315"/>
      <c r="K1" s="2315"/>
      <c r="L1" s="2315"/>
    </row>
    <row r="2" spans="1:16" ht="37.5" customHeight="1">
      <c r="A2" s="2591" t="s">
        <v>380</v>
      </c>
      <c r="B2" s="2592"/>
      <c r="C2" s="2592"/>
      <c r="D2" s="2592"/>
      <c r="E2" s="2592"/>
      <c r="F2" s="2592"/>
      <c r="G2" s="2592"/>
      <c r="H2" s="2592"/>
      <c r="I2" s="2592"/>
      <c r="J2" s="2592"/>
      <c r="K2" s="2592"/>
      <c r="L2" s="2592"/>
    </row>
    <row r="3" spans="1:16" ht="21.75" customHeight="1">
      <c r="A3" s="2588" t="s">
        <v>160</v>
      </c>
      <c r="B3" s="2589"/>
      <c r="C3" s="2590"/>
      <c r="D3" s="23"/>
      <c r="E3" s="23"/>
      <c r="F3" s="23"/>
      <c r="G3" s="23"/>
      <c r="H3" s="23"/>
      <c r="I3" s="23"/>
      <c r="J3" s="23"/>
      <c r="K3" s="27"/>
      <c r="L3" s="27"/>
    </row>
    <row r="4" spans="1:16" ht="18.75" customHeight="1">
      <c r="A4" s="715" t="s">
        <v>52</v>
      </c>
      <c r="B4" s="674" t="s">
        <v>161</v>
      </c>
      <c r="C4" s="674" t="s">
        <v>162</v>
      </c>
      <c r="D4" s="23"/>
      <c r="E4" s="23"/>
      <c r="F4" s="23"/>
      <c r="G4" s="23"/>
      <c r="H4" s="23"/>
      <c r="I4" s="23"/>
      <c r="J4" s="23"/>
      <c r="K4" s="27"/>
      <c r="L4" s="27"/>
    </row>
    <row r="5" spans="1:16" ht="15.75">
      <c r="A5" s="752" t="s">
        <v>1382</v>
      </c>
      <c r="B5" s="174">
        <v>110</v>
      </c>
      <c r="C5" s="175">
        <f>[10]RL!BP316/B5</f>
        <v>7348.4212727272725</v>
      </c>
      <c r="D5" s="23"/>
      <c r="E5" s="23"/>
      <c r="F5" s="23"/>
      <c r="G5" s="23"/>
      <c r="H5" s="23"/>
      <c r="I5" s="23"/>
      <c r="J5" s="23"/>
      <c r="K5" s="27"/>
      <c r="L5" s="27"/>
    </row>
    <row r="6" spans="1:16" ht="15.75">
      <c r="A6" s="752" t="s">
        <v>1383</v>
      </c>
      <c r="B6" s="174">
        <v>110</v>
      </c>
      <c r="C6" s="175">
        <f>[10]RL!BP317/B6</f>
        <v>4502.7071818181812</v>
      </c>
      <c r="D6" s="23"/>
      <c r="E6" s="23"/>
      <c r="F6" s="23"/>
      <c r="G6" s="23"/>
      <c r="H6" s="23"/>
      <c r="I6" s="23"/>
      <c r="J6" s="23"/>
      <c r="K6" s="27"/>
      <c r="L6" s="27"/>
      <c r="N6" s="22">
        <f>+B15/B5-1</f>
        <v>0.28181818181818175</v>
      </c>
    </row>
    <row r="7" spans="1:16" ht="15.75">
      <c r="A7" s="752" t="s">
        <v>1384</v>
      </c>
      <c r="B7" s="174">
        <v>111</v>
      </c>
      <c r="C7" s="175">
        <f>[10]RL!BP318/B7</f>
        <v>4631.384774774775</v>
      </c>
      <c r="D7" s="23"/>
      <c r="E7" s="23"/>
      <c r="F7" s="23"/>
      <c r="G7" s="23"/>
      <c r="H7" s="23"/>
      <c r="I7" s="23"/>
      <c r="J7" s="23"/>
      <c r="K7" s="27"/>
      <c r="L7" s="27"/>
    </row>
    <row r="8" spans="1:16" ht="15.75">
      <c r="A8" s="752" t="s">
        <v>1385</v>
      </c>
      <c r="B8" s="174">
        <v>112</v>
      </c>
      <c r="C8" s="175">
        <f>[10]RL!BP319/B8</f>
        <v>4844.5429464285717</v>
      </c>
      <c r="D8" s="23"/>
      <c r="E8" s="23"/>
      <c r="F8" s="23"/>
      <c r="G8" s="23"/>
      <c r="H8" s="23"/>
      <c r="I8" s="23"/>
      <c r="J8" s="23"/>
      <c r="K8" s="27"/>
      <c r="L8" s="27"/>
      <c r="N8">
        <f>+B15*1.28</f>
        <v>180.48</v>
      </c>
      <c r="O8">
        <f>+N8*1.28</f>
        <v>231.01439999999999</v>
      </c>
      <c r="P8">
        <f>+O8*1.28</f>
        <v>295.69843200000003</v>
      </c>
    </row>
    <row r="9" spans="1:16" ht="15.75">
      <c r="A9" s="752" t="s">
        <v>1386</v>
      </c>
      <c r="B9" s="174">
        <v>111</v>
      </c>
      <c r="C9" s="175">
        <f>[10]RL!BP320/B9</f>
        <v>4444.2235135135134</v>
      </c>
      <c r="D9" s="23"/>
      <c r="E9" s="23"/>
      <c r="F9" s="23"/>
      <c r="G9" s="23"/>
      <c r="H9" s="23"/>
      <c r="I9" s="23"/>
      <c r="J9" s="23"/>
      <c r="K9" s="27"/>
      <c r="L9" s="27"/>
    </row>
    <row r="10" spans="1:16" ht="15.75">
      <c r="A10" s="752" t="s">
        <v>1387</v>
      </c>
      <c r="B10" s="174">
        <v>113</v>
      </c>
      <c r="C10" s="175">
        <f>[10]RL!BP321/B10</f>
        <v>4365.5576106194694</v>
      </c>
      <c r="D10" s="23"/>
      <c r="E10" s="23"/>
      <c r="F10" s="23"/>
      <c r="G10" s="23"/>
      <c r="H10" s="23"/>
      <c r="I10" s="23"/>
      <c r="J10" s="23"/>
      <c r="K10" s="27"/>
      <c r="L10" s="27"/>
    </row>
    <row r="11" spans="1:16" ht="15.75">
      <c r="A11" s="752" t="s">
        <v>1388</v>
      </c>
      <c r="B11" s="174">
        <v>114</v>
      </c>
      <c r="C11" s="175">
        <f>[10]RL!BP322/B11</f>
        <v>4479.2827192982459</v>
      </c>
      <c r="D11" s="23"/>
      <c r="E11" s="23"/>
      <c r="F11" s="23"/>
      <c r="G11" s="23"/>
      <c r="H11" s="23"/>
      <c r="I11" s="23"/>
      <c r="J11" s="23"/>
      <c r="K11" s="27"/>
      <c r="L11" s="27"/>
    </row>
    <row r="12" spans="1:16" ht="15.75">
      <c r="A12" s="752" t="s">
        <v>1389</v>
      </c>
      <c r="B12" s="174">
        <v>122</v>
      </c>
      <c r="C12" s="175">
        <f>[10]RL!BP323/B12</f>
        <v>7459.7940983606559</v>
      </c>
      <c r="D12" s="23"/>
      <c r="E12" s="23"/>
      <c r="F12" s="23"/>
      <c r="G12" s="23"/>
      <c r="H12" s="23"/>
      <c r="I12" s="23"/>
      <c r="J12" s="23"/>
      <c r="K12" s="27"/>
      <c r="L12" s="27"/>
    </row>
    <row r="13" spans="1:16" ht="15.75">
      <c r="A13" s="752" t="s">
        <v>1390</v>
      </c>
      <c r="B13" s="174">
        <v>136</v>
      </c>
      <c r="C13" s="175">
        <f>[10]RL!BP324/B13</f>
        <v>9396.3425735294131</v>
      </c>
      <c r="D13" s="23"/>
      <c r="E13" s="23"/>
      <c r="F13" s="23"/>
      <c r="G13" s="23"/>
      <c r="H13" s="23"/>
      <c r="I13" s="23"/>
      <c r="J13" s="23"/>
      <c r="K13" s="27"/>
      <c r="L13" s="27"/>
    </row>
    <row r="14" spans="1:16" ht="15.75">
      <c r="A14" s="752" t="s">
        <v>1391</v>
      </c>
      <c r="B14" s="174">
        <v>141</v>
      </c>
      <c r="C14" s="175">
        <f>[10]RL!BP325/B14</f>
        <v>4497.6248936170214</v>
      </c>
      <c r="D14" s="23"/>
      <c r="E14" s="23"/>
      <c r="F14" s="23"/>
      <c r="G14" s="23"/>
      <c r="H14" s="23"/>
      <c r="I14" s="23"/>
      <c r="J14" s="23"/>
      <c r="K14" s="27"/>
      <c r="L14" s="27"/>
    </row>
    <row r="15" spans="1:16" ht="15.75">
      <c r="A15" s="752" t="s">
        <v>1392</v>
      </c>
      <c r="B15" s="174">
        <v>141</v>
      </c>
      <c r="C15" s="175">
        <f>[10]RL!BP326/B15</f>
        <v>6299.396524822695</v>
      </c>
      <c r="D15" s="23"/>
      <c r="E15" s="23"/>
      <c r="F15" s="23"/>
      <c r="G15" s="23"/>
      <c r="H15" s="23"/>
      <c r="I15" s="23"/>
      <c r="J15" s="23"/>
      <c r="K15" s="27"/>
      <c r="L15" s="27"/>
    </row>
    <row r="16" spans="1:16">
      <c r="A16" s="28"/>
      <c r="B16" s="28"/>
      <c r="C16" s="28"/>
      <c r="D16" s="28"/>
      <c r="E16" s="28"/>
      <c r="F16" s="28"/>
      <c r="G16" s="28"/>
      <c r="H16" s="28"/>
      <c r="I16" s="28"/>
      <c r="J16" s="28"/>
    </row>
    <row r="17" spans="3:12">
      <c r="C17" s="28"/>
      <c r="D17" s="28"/>
      <c r="E17" s="28"/>
      <c r="F17" s="28"/>
      <c r="G17" s="28"/>
      <c r="H17" s="28"/>
      <c r="I17" s="28"/>
      <c r="J17" s="28"/>
      <c r="K17" s="28"/>
      <c r="L17" s="28"/>
    </row>
    <row r="18" spans="3:12">
      <c r="C18" s="28"/>
      <c r="D18" s="28"/>
      <c r="E18" s="28"/>
      <c r="F18" s="28"/>
      <c r="G18" s="28"/>
      <c r="H18" s="28"/>
      <c r="I18" s="28"/>
      <c r="J18" s="28"/>
      <c r="K18" s="28"/>
      <c r="L18" s="28"/>
    </row>
    <row r="19" spans="3:12">
      <c r="C19" s="28"/>
      <c r="D19" s="28"/>
      <c r="E19" s="28"/>
      <c r="F19" s="28"/>
      <c r="G19" s="28"/>
      <c r="H19" s="28"/>
      <c r="I19" s="28"/>
      <c r="J19" s="28"/>
      <c r="K19" s="28"/>
      <c r="L19" s="28"/>
    </row>
    <row r="29" spans="3:12">
      <c r="C29" s="49"/>
      <c r="D29" s="49"/>
      <c r="E29" s="50"/>
      <c r="F29" s="28"/>
      <c r="G29" s="28"/>
      <c r="H29" s="28"/>
      <c r="I29" s="28"/>
      <c r="J29" s="28"/>
      <c r="K29" s="28"/>
      <c r="L29" s="28"/>
    </row>
    <row r="30" spans="3:12">
      <c r="C30" s="49"/>
      <c r="D30" s="49"/>
      <c r="E30" s="50"/>
      <c r="F30" s="28"/>
      <c r="G30" s="28"/>
      <c r="H30" s="28"/>
      <c r="I30" s="28"/>
      <c r="J30" s="28"/>
      <c r="K30" s="28"/>
      <c r="L30" s="28"/>
    </row>
    <row r="31" spans="3:12">
      <c r="C31" s="49"/>
      <c r="D31" s="49"/>
      <c r="E31" s="50"/>
      <c r="F31" s="28"/>
      <c r="G31" s="28"/>
      <c r="H31" s="28"/>
      <c r="I31" s="28"/>
      <c r="J31" s="28"/>
      <c r="K31" s="28"/>
      <c r="L31" s="28"/>
    </row>
    <row r="32" spans="3:12">
      <c r="C32" s="49"/>
      <c r="D32" s="49"/>
      <c r="E32" s="50"/>
      <c r="F32" s="28"/>
      <c r="G32" s="28"/>
      <c r="H32" s="28"/>
      <c r="I32" s="28"/>
      <c r="J32" s="28"/>
      <c r="K32" s="28"/>
      <c r="L32" s="28"/>
    </row>
    <row r="33" spans="3:12">
      <c r="C33" s="49"/>
      <c r="D33" s="49"/>
      <c r="E33" s="50"/>
      <c r="F33" s="28"/>
      <c r="G33" s="28"/>
      <c r="H33" s="28"/>
      <c r="I33" s="28"/>
      <c r="J33" s="28"/>
      <c r="K33" s="28"/>
      <c r="L33" s="28"/>
    </row>
    <row r="34" spans="3:12">
      <c r="C34" s="49"/>
      <c r="D34" s="49"/>
      <c r="E34" s="50"/>
      <c r="F34" s="28"/>
      <c r="G34" s="28"/>
      <c r="H34" s="28"/>
      <c r="I34" s="28"/>
      <c r="J34" s="28"/>
      <c r="K34" s="28"/>
      <c r="L34" s="28"/>
    </row>
    <row r="35" spans="3:12">
      <c r="C35" s="49"/>
      <c r="D35" s="49"/>
      <c r="E35" s="50"/>
      <c r="F35" s="28"/>
      <c r="G35" s="28"/>
      <c r="H35" s="28"/>
      <c r="I35" s="28"/>
      <c r="J35" s="28"/>
      <c r="K35" s="28"/>
      <c r="L35" s="28"/>
    </row>
    <row r="36" spans="3:12">
      <c r="C36" s="49"/>
      <c r="D36" s="49"/>
      <c r="E36" s="50"/>
      <c r="F36" s="28"/>
      <c r="G36" s="28"/>
      <c r="H36" s="28"/>
      <c r="I36" s="28"/>
      <c r="J36" s="28"/>
      <c r="K36" s="28"/>
      <c r="L36" s="28"/>
    </row>
    <row r="37" spans="3:12">
      <c r="C37" s="49"/>
      <c r="D37" s="49"/>
      <c r="E37" s="50"/>
      <c r="F37" s="28"/>
      <c r="G37" s="28"/>
      <c r="H37" s="28"/>
      <c r="I37" s="28"/>
      <c r="J37" s="28"/>
      <c r="K37" s="28"/>
      <c r="L37" s="28"/>
    </row>
    <row r="38" spans="3:12">
      <c r="C38" s="49"/>
      <c r="D38" s="49"/>
      <c r="E38" s="50"/>
      <c r="F38" s="28"/>
      <c r="G38" s="28"/>
      <c r="H38" s="28"/>
      <c r="I38" s="28"/>
      <c r="J38" s="28"/>
      <c r="K38" s="28"/>
      <c r="L38" s="28"/>
    </row>
    <row r="39" spans="3:12">
      <c r="C39" s="49"/>
      <c r="D39" s="49"/>
      <c r="E39" s="50"/>
      <c r="F39" s="28"/>
      <c r="G39" s="28"/>
      <c r="H39" s="28"/>
      <c r="I39" s="28"/>
      <c r="J39" s="28"/>
      <c r="K39" s="28"/>
      <c r="L39" s="28"/>
    </row>
    <row r="40" spans="3:12">
      <c r="C40" s="49"/>
      <c r="D40" s="49"/>
      <c r="E40" s="50"/>
      <c r="F40" s="28"/>
      <c r="G40" s="28"/>
      <c r="H40" s="28"/>
      <c r="I40" s="28"/>
      <c r="J40" s="28"/>
      <c r="K40" s="28"/>
      <c r="L40" s="28"/>
    </row>
    <row r="41" spans="3:12">
      <c r="C41" s="49"/>
      <c r="D41" s="49"/>
      <c r="E41" s="50"/>
      <c r="F41" s="28"/>
      <c r="G41" s="28"/>
      <c r="H41" s="28"/>
      <c r="I41" s="28"/>
      <c r="J41" s="28"/>
      <c r="K41" s="28"/>
      <c r="L41" s="28"/>
    </row>
    <row r="42" spans="3:12">
      <c r="C42" s="49"/>
      <c r="D42" s="49"/>
      <c r="E42" s="50"/>
      <c r="F42" s="28"/>
      <c r="G42" s="28"/>
      <c r="H42" s="28"/>
      <c r="I42" s="28"/>
      <c r="J42" s="28"/>
      <c r="K42" s="28"/>
      <c r="L42" s="28"/>
    </row>
    <row r="43" spans="3:12">
      <c r="C43" s="49"/>
      <c r="D43" s="49"/>
      <c r="E43" s="50"/>
      <c r="F43" s="28"/>
      <c r="G43" s="28"/>
      <c r="H43" s="28"/>
      <c r="I43" s="28"/>
      <c r="J43" s="28"/>
      <c r="K43" s="28"/>
      <c r="L43" s="28"/>
    </row>
    <row r="44" spans="3:12">
      <c r="C44" s="49"/>
      <c r="D44" s="49"/>
      <c r="E44" s="50"/>
      <c r="F44" s="28"/>
      <c r="G44" s="28"/>
      <c r="H44" s="28"/>
      <c r="I44" s="28"/>
      <c r="J44" s="28"/>
      <c r="K44" s="28"/>
      <c r="L44" s="28"/>
    </row>
    <row r="45" spans="3:12" ht="5.25" customHeight="1">
      <c r="C45" s="49"/>
      <c r="D45" s="49"/>
      <c r="E45" s="50"/>
      <c r="F45" s="28"/>
      <c r="G45" s="28"/>
      <c r="H45" s="28"/>
      <c r="I45" s="28"/>
      <c r="J45" s="28"/>
      <c r="K45" s="28"/>
      <c r="L45" s="28"/>
    </row>
  </sheetData>
  <mergeCells count="3">
    <mergeCell ref="A1:L1"/>
    <mergeCell ref="A3:C3"/>
    <mergeCell ref="A2:L2"/>
  </mergeCells>
  <printOptions horizontalCentered="1" verticalCentered="1"/>
  <pageMargins left="0.4" right="0.4" top="0.25" bottom="0.25" header="0.31496062992126" footer="0.31496062992126"/>
  <pageSetup scale="75"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1" tint="0.34998626667073579"/>
    <pageSetUpPr fitToPage="1"/>
  </sheetPr>
  <dimension ref="A1:L33"/>
  <sheetViews>
    <sheetView showGridLines="0" view="pageBreakPreview" zoomScale="73" zoomScaleNormal="100" zoomScaleSheetLayoutView="73" workbookViewId="0">
      <selection activeCell="K6" sqref="K6"/>
    </sheetView>
  </sheetViews>
  <sheetFormatPr baseColWidth="10" defaultColWidth="11.5703125" defaultRowHeight="15"/>
  <cols>
    <col min="2" max="2" width="21.7109375" customWidth="1"/>
    <col min="3" max="3" width="16.7109375" customWidth="1"/>
    <col min="4" max="4" width="16.42578125" customWidth="1"/>
    <col min="5" max="5" width="17.85546875" customWidth="1"/>
    <col min="12" max="12" width="17" customWidth="1"/>
  </cols>
  <sheetData>
    <row r="1" spans="1:12" ht="66" customHeight="1">
      <c r="A1" s="2315" t="s">
        <v>998</v>
      </c>
      <c r="B1" s="2315"/>
      <c r="C1" s="2315"/>
      <c r="D1" s="2315"/>
      <c r="E1" s="2315"/>
      <c r="F1" s="2315"/>
      <c r="G1" s="2315"/>
      <c r="H1" s="2315"/>
      <c r="I1" s="2315"/>
      <c r="J1" s="2315"/>
      <c r="K1" s="2315"/>
      <c r="L1" s="2315"/>
    </row>
    <row r="2" spans="1:12" ht="38.25" customHeight="1">
      <c r="A2" s="2593" t="s">
        <v>829</v>
      </c>
      <c r="B2" s="2225"/>
      <c r="C2" s="2225"/>
      <c r="D2" s="2225"/>
      <c r="E2" s="2225"/>
      <c r="F2" s="2225"/>
      <c r="G2" s="2225"/>
      <c r="H2" s="2225"/>
      <c r="I2" s="2225"/>
      <c r="J2" s="2225"/>
      <c r="K2" s="2225"/>
      <c r="L2" s="2225"/>
    </row>
    <row r="3" spans="1:12" ht="11.25" customHeight="1">
      <c r="A3" s="2594"/>
      <c r="B3" s="2594"/>
      <c r="C3" s="2594"/>
      <c r="D3" s="2594"/>
      <c r="E3" s="2594"/>
      <c r="F3" s="2594"/>
      <c r="G3" s="2594"/>
      <c r="H3" s="2594"/>
      <c r="I3" s="2594"/>
      <c r="J3" s="2594"/>
      <c r="K3" s="2594"/>
      <c r="L3" s="2594"/>
    </row>
    <row r="4" spans="1:12" ht="19.5" customHeight="1">
      <c r="A4" s="2595" t="s">
        <v>163</v>
      </c>
      <c r="B4" s="2595"/>
      <c r="C4" s="2595"/>
      <c r="D4" s="2595"/>
      <c r="E4" s="23"/>
      <c r="F4" s="23"/>
      <c r="G4" s="23"/>
      <c r="H4" s="23"/>
      <c r="I4" s="23"/>
      <c r="J4" s="23"/>
      <c r="K4" s="27"/>
      <c r="L4" s="27"/>
    </row>
    <row r="5" spans="1:12" ht="47.25">
      <c r="A5" s="715" t="s">
        <v>52</v>
      </c>
      <c r="B5" s="674" t="s">
        <v>220</v>
      </c>
      <c r="C5" s="674" t="s">
        <v>164</v>
      </c>
      <c r="D5" s="674" t="s">
        <v>208</v>
      </c>
      <c r="E5" s="23"/>
      <c r="F5" s="23"/>
      <c r="G5" s="23"/>
      <c r="H5" s="23"/>
      <c r="I5" s="23"/>
      <c r="J5" s="23"/>
      <c r="K5" s="27"/>
      <c r="L5" s="27"/>
    </row>
    <row r="6" spans="1:12" ht="15.75">
      <c r="A6" s="675" t="s">
        <v>1382</v>
      </c>
      <c r="B6" s="174">
        <v>542</v>
      </c>
      <c r="C6" s="175">
        <f>[10]RL!F306/B6</f>
        <v>7147.8413284132839</v>
      </c>
      <c r="D6" s="167">
        <f>B6*C6</f>
        <v>3874130</v>
      </c>
      <c r="E6" s="23"/>
      <c r="F6" s="23"/>
      <c r="G6" s="23"/>
      <c r="H6" s="23"/>
      <c r="I6" s="23"/>
      <c r="J6" s="23"/>
      <c r="K6" s="27"/>
      <c r="L6" s="27"/>
    </row>
    <row r="7" spans="1:12" ht="15.75">
      <c r="A7" s="675" t="s">
        <v>1383</v>
      </c>
      <c r="B7" s="174">
        <v>963</v>
      </c>
      <c r="C7" s="175">
        <f>[10]RL!F307/B7</f>
        <v>6727.2637590861887</v>
      </c>
      <c r="D7" s="167">
        <f t="shared" ref="D7:D16" si="0">B7*C7</f>
        <v>6478355</v>
      </c>
      <c r="E7" s="23"/>
      <c r="F7" s="23"/>
      <c r="G7" s="23"/>
      <c r="H7" s="23"/>
      <c r="I7" s="23"/>
      <c r="J7" s="23"/>
      <c r="K7" s="27"/>
      <c r="L7" s="27"/>
    </row>
    <row r="8" spans="1:12" ht="15.75">
      <c r="A8" s="675" t="s">
        <v>1384</v>
      </c>
      <c r="B8" s="174">
        <v>1084</v>
      </c>
      <c r="C8" s="175">
        <f>[10]RL!F308/B8</f>
        <v>9070.9151291512917</v>
      </c>
      <c r="D8" s="167">
        <f t="shared" si="0"/>
        <v>9832872</v>
      </c>
      <c r="E8" s="23"/>
      <c r="F8" s="23"/>
      <c r="G8" s="23"/>
      <c r="H8" s="23"/>
      <c r="I8" s="23"/>
      <c r="J8" s="23"/>
      <c r="K8" s="27"/>
      <c r="L8" s="27"/>
    </row>
    <row r="9" spans="1:12" ht="15.75">
      <c r="A9" s="675" t="s">
        <v>1385</v>
      </c>
      <c r="B9" s="174">
        <v>1057</v>
      </c>
      <c r="C9" s="175">
        <f>[10]RL!F309/B9</f>
        <v>8336.9082308420057</v>
      </c>
      <c r="D9" s="167">
        <f t="shared" si="0"/>
        <v>8812112</v>
      </c>
      <c r="E9" s="23"/>
      <c r="F9" s="23"/>
      <c r="G9" s="23"/>
      <c r="H9" s="23"/>
      <c r="I9" s="23"/>
      <c r="J9" s="23"/>
      <c r="K9" s="27"/>
      <c r="L9" s="27"/>
    </row>
    <row r="10" spans="1:12" ht="15.75">
      <c r="A10" s="675" t="s">
        <v>1386</v>
      </c>
      <c r="B10" s="174">
        <v>1156</v>
      </c>
      <c r="C10" s="175">
        <f>[10]RL!F310/B10</f>
        <v>8132.0493079584776</v>
      </c>
      <c r="D10" s="167">
        <f t="shared" si="0"/>
        <v>9400649</v>
      </c>
      <c r="E10" s="23"/>
      <c r="F10" s="23"/>
      <c r="G10" s="23"/>
      <c r="H10" s="23"/>
      <c r="I10" s="23"/>
      <c r="J10" s="23"/>
      <c r="K10" s="27"/>
      <c r="L10" s="27"/>
    </row>
    <row r="11" spans="1:12" ht="15.75">
      <c r="A11" s="675" t="s">
        <v>1387</v>
      </c>
      <c r="B11" s="174">
        <v>1275</v>
      </c>
      <c r="C11" s="175">
        <f>[10]RL!F311/B11</f>
        <v>6523.5647058823533</v>
      </c>
      <c r="D11" s="167">
        <f t="shared" si="0"/>
        <v>8317545.0000000009</v>
      </c>
      <c r="E11" s="23"/>
      <c r="F11" s="23"/>
      <c r="G11" s="23"/>
      <c r="H11" s="23"/>
      <c r="I11" s="23"/>
      <c r="J11" s="23"/>
      <c r="K11" s="27"/>
      <c r="L11" s="27"/>
    </row>
    <row r="12" spans="1:12" ht="15.75">
      <c r="A12" s="675" t="s">
        <v>1388</v>
      </c>
      <c r="B12" s="174">
        <v>1187</v>
      </c>
      <c r="C12" s="175">
        <f>[10]RL!F312/B12</f>
        <v>7298.6630160067398</v>
      </c>
      <c r="D12" s="167">
        <f t="shared" si="0"/>
        <v>8663513</v>
      </c>
      <c r="E12" s="23"/>
      <c r="F12" s="23"/>
      <c r="G12" s="23"/>
      <c r="H12" s="23"/>
      <c r="I12" s="23"/>
      <c r="J12" s="23"/>
      <c r="K12" s="27"/>
      <c r="L12" s="27"/>
    </row>
    <row r="13" spans="1:12" ht="15.75">
      <c r="A13" s="675" t="s">
        <v>1389</v>
      </c>
      <c r="B13" s="174">
        <v>1708</v>
      </c>
      <c r="C13" s="175">
        <f>[10]RL!F313/B13</f>
        <v>6591.3758782201403</v>
      </c>
      <c r="D13" s="167">
        <f t="shared" si="0"/>
        <v>11258070</v>
      </c>
      <c r="E13" s="23"/>
      <c r="F13" s="23"/>
      <c r="G13" s="23"/>
      <c r="H13" s="23"/>
      <c r="I13" s="23"/>
      <c r="J13" s="23"/>
      <c r="K13" s="27"/>
      <c r="L13" s="27"/>
    </row>
    <row r="14" spans="1:12" ht="15.75">
      <c r="A14" s="675" t="s">
        <v>1390</v>
      </c>
      <c r="B14" s="174">
        <v>1085</v>
      </c>
      <c r="C14" s="175">
        <f>[10]RL!F314/B14</f>
        <v>7169.0838709677419</v>
      </c>
      <c r="D14" s="167">
        <f t="shared" si="0"/>
        <v>7778456</v>
      </c>
      <c r="E14" s="23"/>
      <c r="F14" s="23"/>
      <c r="G14" s="23"/>
      <c r="H14" s="23"/>
      <c r="I14" s="23"/>
      <c r="J14" s="23"/>
      <c r="K14" s="27"/>
      <c r="L14" s="27"/>
    </row>
    <row r="15" spans="1:12" ht="15.75">
      <c r="A15" s="675" t="s">
        <v>1391</v>
      </c>
      <c r="B15" s="174">
        <v>1477</v>
      </c>
      <c r="C15" s="175">
        <f>[10]RL!F315/B15</f>
        <v>6771.2024373730537</v>
      </c>
      <c r="D15" s="167">
        <f t="shared" si="0"/>
        <v>10001066</v>
      </c>
      <c r="E15" s="23"/>
      <c r="F15" s="23"/>
      <c r="G15" s="23"/>
      <c r="H15" s="23"/>
      <c r="I15" s="23"/>
      <c r="J15" s="23"/>
      <c r="K15" s="27"/>
      <c r="L15" s="27"/>
    </row>
    <row r="16" spans="1:12" ht="15.75">
      <c r="A16" s="675" t="s">
        <v>1392</v>
      </c>
      <c r="B16" s="174">
        <v>1032</v>
      </c>
      <c r="C16" s="175">
        <f>[10]RL!F316/B16</f>
        <v>6552.7664728682166</v>
      </c>
      <c r="D16" s="167">
        <f t="shared" si="0"/>
        <v>6762455</v>
      </c>
      <c r="E16" s="23"/>
      <c r="F16" s="23"/>
      <c r="G16" s="23"/>
      <c r="H16" s="23"/>
      <c r="I16" s="23"/>
      <c r="J16" s="23"/>
      <c r="K16" s="27"/>
      <c r="L16" s="27"/>
    </row>
    <row r="17" spans="1:12" ht="15.75">
      <c r="A17" s="675" t="s">
        <v>114</v>
      </c>
      <c r="B17" s="753">
        <f>SUM(B6:B16)</f>
        <v>12566</v>
      </c>
      <c r="C17" s="754">
        <f>[10]RL!F318/B17</f>
        <v>7256.0260226006685</v>
      </c>
      <c r="D17" s="754">
        <f>SUM(D6:D16)</f>
        <v>91179223</v>
      </c>
      <c r="E17" s="23"/>
      <c r="F17" s="23"/>
      <c r="G17" s="23"/>
      <c r="H17" s="23"/>
      <c r="I17" s="23"/>
      <c r="J17" s="23"/>
      <c r="K17" s="27"/>
      <c r="L17" s="27"/>
    </row>
    <row r="18" spans="1:12">
      <c r="A18" s="27"/>
      <c r="B18" s="48"/>
      <c r="C18" s="23"/>
      <c r="D18" s="23"/>
      <c r="E18" s="23"/>
      <c r="F18" s="23"/>
      <c r="G18" s="23"/>
      <c r="H18" s="23"/>
      <c r="I18" s="23"/>
      <c r="J18" s="23"/>
      <c r="K18" s="23"/>
      <c r="L18" s="23"/>
    </row>
    <row r="19" spans="1:12">
      <c r="A19" s="27"/>
      <c r="B19" s="48"/>
      <c r="C19" s="23"/>
      <c r="D19" s="23"/>
      <c r="E19" s="23"/>
      <c r="F19" s="23"/>
      <c r="G19" s="23"/>
      <c r="H19" s="23"/>
      <c r="I19" s="23"/>
      <c r="J19" s="23"/>
      <c r="K19" s="23"/>
      <c r="L19" s="23"/>
    </row>
    <row r="20" spans="1:12">
      <c r="B20" s="48"/>
      <c r="C20" s="28"/>
      <c r="D20" s="28"/>
      <c r="E20" s="28"/>
      <c r="F20" s="28"/>
      <c r="G20" s="28"/>
      <c r="H20" s="28"/>
      <c r="I20" s="28"/>
      <c r="J20" s="28"/>
      <c r="K20" s="28"/>
      <c r="L20" s="28"/>
    </row>
    <row r="21" spans="1:12">
      <c r="B21" s="48"/>
      <c r="C21" s="28"/>
      <c r="D21" s="28"/>
      <c r="E21" s="28"/>
      <c r="F21" s="28"/>
      <c r="G21" s="28"/>
      <c r="H21" s="28"/>
      <c r="I21" s="28"/>
      <c r="J21" s="28"/>
      <c r="K21" s="28"/>
      <c r="L21" s="28"/>
    </row>
    <row r="22" spans="1:12">
      <c r="B22" s="48"/>
      <c r="C22" s="28"/>
      <c r="D22" s="28"/>
      <c r="E22" s="28"/>
      <c r="F22" s="28"/>
      <c r="G22" s="28"/>
      <c r="H22" s="28"/>
      <c r="I22" s="28"/>
      <c r="J22" s="28"/>
      <c r="K22" s="28"/>
      <c r="L22" s="28"/>
    </row>
    <row r="23" spans="1:12">
      <c r="B23" s="48"/>
      <c r="C23" s="28"/>
      <c r="D23" s="28"/>
      <c r="E23" s="28"/>
      <c r="F23" s="28"/>
      <c r="G23" s="28"/>
      <c r="H23" s="28"/>
      <c r="I23" s="28"/>
      <c r="J23" s="28"/>
      <c r="K23" s="28"/>
      <c r="L23" s="28"/>
    </row>
    <row r="24" spans="1:12">
      <c r="B24" s="48"/>
      <c r="C24" s="28"/>
      <c r="D24" s="28"/>
      <c r="E24" s="28"/>
      <c r="F24" s="28"/>
      <c r="G24" s="28"/>
      <c r="H24" s="28"/>
      <c r="I24" s="28"/>
      <c r="J24" s="28"/>
      <c r="K24" s="28"/>
      <c r="L24" s="28"/>
    </row>
    <row r="25" spans="1:12">
      <c r="B25" s="48"/>
      <c r="C25" s="28"/>
      <c r="D25" s="28"/>
      <c r="E25" s="28"/>
      <c r="F25" s="28"/>
      <c r="G25" s="28"/>
      <c r="H25" s="28"/>
      <c r="I25" s="28"/>
      <c r="J25" s="28"/>
      <c r="K25" s="28"/>
      <c r="L25" s="28"/>
    </row>
    <row r="26" spans="1:12">
      <c r="B26" s="48"/>
      <c r="C26" s="28"/>
      <c r="D26" s="28"/>
      <c r="E26" s="28"/>
      <c r="F26" s="28"/>
      <c r="G26" s="28"/>
      <c r="H26" s="28"/>
      <c r="I26" s="28"/>
      <c r="J26" s="28"/>
      <c r="K26" s="28"/>
      <c r="L26" s="28"/>
    </row>
    <row r="27" spans="1:12">
      <c r="B27" s="48"/>
      <c r="C27" s="28"/>
      <c r="D27" s="28"/>
      <c r="E27" s="28"/>
      <c r="F27" s="28"/>
      <c r="G27" s="28"/>
      <c r="H27" s="28"/>
      <c r="I27" s="28"/>
      <c r="J27" s="28"/>
      <c r="K27" s="28"/>
      <c r="L27" s="28"/>
    </row>
    <row r="28" spans="1:12">
      <c r="B28" s="48"/>
      <c r="C28" s="49"/>
      <c r="D28" s="49"/>
      <c r="E28" s="50"/>
      <c r="F28" s="28"/>
      <c r="G28" s="28"/>
      <c r="H28" s="28"/>
      <c r="I28" s="28"/>
      <c r="J28" s="28"/>
      <c r="K28" s="28"/>
      <c r="L28" s="28"/>
    </row>
    <row r="29" spans="1:12">
      <c r="B29" s="48"/>
      <c r="C29" s="49"/>
      <c r="D29" s="49"/>
      <c r="E29" s="50"/>
      <c r="F29" s="28"/>
      <c r="G29" s="28"/>
      <c r="H29" s="28"/>
      <c r="I29" s="28"/>
      <c r="J29" s="28"/>
      <c r="K29" s="28"/>
      <c r="L29" s="28"/>
    </row>
    <row r="30" spans="1:12">
      <c r="B30" s="48"/>
      <c r="C30" s="49"/>
      <c r="D30" s="49"/>
      <c r="E30" s="50"/>
      <c r="F30" s="28"/>
      <c r="G30" s="28"/>
      <c r="H30" s="28"/>
      <c r="I30" s="28"/>
      <c r="J30" s="28"/>
      <c r="K30" s="28"/>
      <c r="L30" s="28"/>
    </row>
    <row r="31" spans="1:12">
      <c r="B31" s="48"/>
      <c r="C31" s="49"/>
      <c r="D31" s="49"/>
      <c r="E31" s="50"/>
      <c r="F31" s="28"/>
      <c r="G31" s="28"/>
      <c r="H31" s="28"/>
      <c r="I31" s="28"/>
      <c r="J31" s="28"/>
      <c r="K31" s="28"/>
      <c r="L31" s="28"/>
    </row>
    <row r="32" spans="1:12">
      <c r="B32" s="48"/>
      <c r="C32" s="49"/>
      <c r="D32" s="49"/>
      <c r="E32" s="50"/>
      <c r="F32" s="28"/>
      <c r="G32" s="28"/>
      <c r="H32" s="28"/>
      <c r="I32" s="28"/>
      <c r="J32" s="28"/>
      <c r="K32" s="28"/>
      <c r="L32" s="28"/>
    </row>
    <row r="33" spans="2:12">
      <c r="B33" s="48"/>
      <c r="C33" s="49"/>
      <c r="D33" s="49"/>
      <c r="E33" s="50"/>
      <c r="F33" s="28"/>
      <c r="G33" s="28"/>
      <c r="H33" s="28"/>
      <c r="I33" s="28"/>
      <c r="J33" s="28"/>
      <c r="K33" s="28"/>
      <c r="L33" s="28"/>
    </row>
  </sheetData>
  <mergeCells count="3">
    <mergeCell ref="A1:L1"/>
    <mergeCell ref="A2:L3"/>
    <mergeCell ref="A4:D4"/>
  </mergeCells>
  <printOptions horizontalCentered="1" verticalCentered="1"/>
  <pageMargins left="0.4" right="0.4" top="0.25" bottom="0.25" header="0.31496062992126" footer="0.31496062992126"/>
  <pageSetup scale="70"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1" tint="0.499984740745262"/>
    <pageSetUpPr fitToPage="1"/>
  </sheetPr>
  <dimension ref="A1:L43"/>
  <sheetViews>
    <sheetView showGridLines="0" view="pageBreakPreview" zoomScale="71" zoomScaleNormal="100" zoomScaleSheetLayoutView="71" workbookViewId="0">
      <selection activeCell="I13" sqref="I13"/>
    </sheetView>
  </sheetViews>
  <sheetFormatPr baseColWidth="10" defaultColWidth="11.5703125" defaultRowHeight="15"/>
  <cols>
    <col min="2" max="2" width="18.140625" customWidth="1"/>
    <col min="3" max="3" width="19.42578125" customWidth="1"/>
    <col min="4" max="4" width="16.42578125" customWidth="1"/>
    <col min="5" max="5" width="17.5703125" customWidth="1"/>
    <col min="6" max="6" width="18.85546875" customWidth="1"/>
  </cols>
  <sheetData>
    <row r="1" spans="1:12" ht="69" customHeight="1">
      <c r="A1" s="2379" t="s">
        <v>461</v>
      </c>
      <c r="B1" s="2379"/>
      <c r="C1" s="2379"/>
      <c r="D1" s="2379"/>
      <c r="E1" s="2379"/>
      <c r="F1" s="2379"/>
      <c r="G1" s="2379"/>
      <c r="H1" s="2379"/>
      <c r="I1" s="2379"/>
      <c r="J1" s="2379"/>
      <c r="K1" s="2379"/>
      <c r="L1" s="2379"/>
    </row>
    <row r="2" spans="1:12" s="59" customFormat="1" ht="6.75" customHeight="1">
      <c r="A2" s="702"/>
      <c r="B2" s="702"/>
      <c r="C2" s="702"/>
      <c r="D2" s="702"/>
      <c r="E2" s="702"/>
      <c r="F2" s="702"/>
      <c r="G2" s="702"/>
      <c r="H2" s="702"/>
      <c r="I2" s="702"/>
      <c r="J2" s="702"/>
      <c r="K2" s="702"/>
      <c r="L2" s="702"/>
    </row>
    <row r="3" spans="1:12" ht="27" customHeight="1">
      <c r="A3" s="2533" t="s">
        <v>179</v>
      </c>
      <c r="B3" s="2533"/>
      <c r="C3" s="2533"/>
      <c r="D3" s="2533"/>
      <c r="E3" s="23"/>
      <c r="F3" s="23"/>
      <c r="G3" s="23"/>
      <c r="H3" s="23"/>
      <c r="I3" s="23"/>
      <c r="J3" s="46"/>
      <c r="K3" s="23"/>
      <c r="L3" s="23"/>
    </row>
    <row r="4" spans="1:12" ht="31.5">
      <c r="A4" s="1126" t="s">
        <v>52</v>
      </c>
      <c r="B4" s="1231" t="s">
        <v>180</v>
      </c>
      <c r="C4" s="1231" t="s">
        <v>164</v>
      </c>
      <c r="D4" s="1231" t="s">
        <v>221</v>
      </c>
      <c r="E4" s="23"/>
      <c r="F4" s="23"/>
      <c r="G4" s="23"/>
      <c r="H4" s="23"/>
      <c r="I4" s="23"/>
      <c r="J4" s="23"/>
      <c r="K4" s="23"/>
      <c r="L4" s="23"/>
    </row>
    <row r="5" spans="1:12" ht="15.75">
      <c r="A5" s="1125" t="s">
        <v>1382</v>
      </c>
      <c r="B5" s="174">
        <v>23</v>
      </c>
      <c r="C5" s="175">
        <f>[10]RL!J290/B5</f>
        <v>53178.03391304348</v>
      </c>
      <c r="D5" s="167">
        <f>B5*C5</f>
        <v>1223094.78</v>
      </c>
      <c r="E5" s="23"/>
      <c r="F5" s="23"/>
      <c r="G5" s="23"/>
      <c r="H5" s="23"/>
      <c r="I5" s="23"/>
      <c r="J5" s="23"/>
      <c r="K5" s="23"/>
      <c r="L5" s="23"/>
    </row>
    <row r="6" spans="1:12" ht="15.75">
      <c r="A6" s="1125" t="s">
        <v>1383</v>
      </c>
      <c r="B6" s="174">
        <v>11</v>
      </c>
      <c r="C6" s="175">
        <f>[10]RL!J291/B6</f>
        <v>55908.727272727272</v>
      </c>
      <c r="D6" s="167">
        <f t="shared" ref="D6:D16" si="0">B6*C6</f>
        <v>614996</v>
      </c>
      <c r="E6" s="23"/>
      <c r="F6" s="23"/>
      <c r="G6" s="23"/>
      <c r="H6" s="23"/>
      <c r="I6" s="23"/>
      <c r="J6" s="23"/>
      <c r="K6" s="23"/>
      <c r="L6" s="23"/>
    </row>
    <row r="7" spans="1:12" ht="15.75">
      <c r="A7" s="1125" t="s">
        <v>1384</v>
      </c>
      <c r="B7" s="174">
        <v>3</v>
      </c>
      <c r="C7" s="175">
        <f>[10]RL!J292/B7</f>
        <v>68808.666666666672</v>
      </c>
      <c r="D7" s="167">
        <f t="shared" si="0"/>
        <v>206426</v>
      </c>
      <c r="E7" s="23"/>
      <c r="F7" s="23"/>
      <c r="G7" s="23"/>
      <c r="H7" s="23"/>
      <c r="I7" s="23"/>
      <c r="J7" s="23"/>
      <c r="K7" s="23"/>
      <c r="L7" s="23"/>
    </row>
    <row r="8" spans="1:12" ht="15.75">
      <c r="A8" s="1125" t="s">
        <v>1385</v>
      </c>
      <c r="B8" s="174">
        <v>1</v>
      </c>
      <c r="C8" s="175">
        <f>[10]RL!J293/B8</f>
        <v>46875</v>
      </c>
      <c r="D8" s="167">
        <f t="shared" si="0"/>
        <v>46875</v>
      </c>
      <c r="E8" s="23"/>
      <c r="F8" s="23"/>
      <c r="G8" s="23"/>
      <c r="H8" s="23"/>
      <c r="I8" s="23"/>
      <c r="J8" s="23"/>
      <c r="K8" s="23"/>
      <c r="L8" s="23"/>
    </row>
    <row r="9" spans="1:12" ht="15.75">
      <c r="A9" s="1125" t="s">
        <v>1386</v>
      </c>
      <c r="B9" s="174">
        <v>1</v>
      </c>
      <c r="C9" s="175">
        <f>[10]RL!J294/B9</f>
        <v>38255</v>
      </c>
      <c r="D9" s="167">
        <f t="shared" si="0"/>
        <v>38255</v>
      </c>
      <c r="E9" s="23"/>
      <c r="F9" s="23"/>
      <c r="G9" s="23"/>
      <c r="H9" s="23"/>
      <c r="I9" s="23"/>
      <c r="J9" s="23"/>
      <c r="K9" s="23"/>
      <c r="L9" s="23"/>
    </row>
    <row r="10" spans="1:12" ht="15.75">
      <c r="A10" s="1125" t="s">
        <v>1387</v>
      </c>
      <c r="B10" s="174">
        <v>22</v>
      </c>
      <c r="C10" s="175">
        <f>[10]RL!J295/B10</f>
        <v>50877.727272727272</v>
      </c>
      <c r="D10" s="167">
        <f t="shared" si="0"/>
        <v>1119310</v>
      </c>
      <c r="E10" s="23"/>
      <c r="F10" s="23"/>
      <c r="G10" s="23"/>
      <c r="H10" s="23"/>
      <c r="I10" s="23"/>
      <c r="J10" s="23"/>
      <c r="K10" s="23"/>
      <c r="L10" s="23"/>
    </row>
    <row r="11" spans="1:12" ht="15.75">
      <c r="A11" s="1125" t="s">
        <v>1388</v>
      </c>
      <c r="B11" s="174">
        <v>19</v>
      </c>
      <c r="C11" s="175">
        <f>[10]RL!J296/B11</f>
        <v>56671.26315789474</v>
      </c>
      <c r="D11" s="167">
        <f t="shared" si="0"/>
        <v>1076754</v>
      </c>
      <c r="E11" s="23"/>
      <c r="F11" s="23"/>
      <c r="G11" s="23"/>
      <c r="H11" s="23"/>
      <c r="I11" s="23"/>
      <c r="J11" s="23"/>
      <c r="K11" s="23"/>
      <c r="L11" s="23"/>
    </row>
    <row r="12" spans="1:12" ht="15.75">
      <c r="A12" s="1125" t="s">
        <v>1389</v>
      </c>
      <c r="B12" s="174">
        <v>37</v>
      </c>
      <c r="C12" s="175">
        <f>[10]RL!J297/B12</f>
        <v>69492.621621621627</v>
      </c>
      <c r="D12" s="167">
        <f t="shared" si="0"/>
        <v>2571227</v>
      </c>
      <c r="E12" s="23"/>
      <c r="F12" s="23"/>
      <c r="G12" s="23"/>
      <c r="H12" s="23"/>
      <c r="I12" s="23"/>
      <c r="J12" s="23"/>
      <c r="K12" s="23"/>
      <c r="L12" s="23"/>
    </row>
    <row r="13" spans="1:12" ht="15.75">
      <c r="A13" s="1125" t="s">
        <v>1390</v>
      </c>
      <c r="B13" s="174">
        <v>1</v>
      </c>
      <c r="C13" s="175">
        <f>[10]RL!J298/B13</f>
        <v>98000</v>
      </c>
      <c r="D13" s="167">
        <f t="shared" si="0"/>
        <v>98000</v>
      </c>
      <c r="E13" s="23"/>
      <c r="F13" s="23"/>
      <c r="G13" s="23"/>
      <c r="H13" s="23"/>
      <c r="I13" s="23"/>
      <c r="J13" s="23"/>
      <c r="K13" s="23"/>
      <c r="L13" s="23"/>
    </row>
    <row r="14" spans="1:12" ht="15.75">
      <c r="A14" s="1125" t="s">
        <v>1391</v>
      </c>
      <c r="B14" s="174">
        <v>34</v>
      </c>
      <c r="C14" s="175">
        <f>[10]RL!J299/B14</f>
        <v>62239.51176470588</v>
      </c>
      <c r="D14" s="167">
        <f t="shared" si="0"/>
        <v>2116143.4</v>
      </c>
      <c r="E14" s="23"/>
      <c r="F14" s="23"/>
      <c r="G14" s="23"/>
      <c r="H14" s="23"/>
      <c r="I14" s="23"/>
      <c r="J14" s="23"/>
      <c r="K14" s="23"/>
      <c r="L14" s="23"/>
    </row>
    <row r="15" spans="1:12" ht="15.75">
      <c r="A15" s="1125" t="s">
        <v>1392</v>
      </c>
      <c r="B15" s="174">
        <v>18</v>
      </c>
      <c r="C15" s="175">
        <f>[10]RL!J300/B15</f>
        <v>62219.444444444445</v>
      </c>
      <c r="D15" s="167">
        <f t="shared" si="0"/>
        <v>1119950</v>
      </c>
      <c r="E15" s="23"/>
      <c r="F15" s="23"/>
      <c r="G15" s="23"/>
      <c r="H15" s="23"/>
      <c r="I15" s="23"/>
      <c r="J15" s="23"/>
      <c r="K15" s="23"/>
      <c r="L15" s="23"/>
    </row>
    <row r="16" spans="1:12" ht="15.75">
      <c r="A16" s="1125" t="s">
        <v>114</v>
      </c>
      <c r="B16" s="1236">
        <f>SUM(B5:B15)</f>
        <v>170</v>
      </c>
      <c r="C16" s="1237">
        <f>[10]RL!J301/B16</f>
        <v>60182.536352941177</v>
      </c>
      <c r="D16" s="1237">
        <f t="shared" si="0"/>
        <v>10231031.18</v>
      </c>
      <c r="E16" s="23"/>
      <c r="F16" s="23"/>
      <c r="G16" s="23"/>
      <c r="H16" s="23"/>
      <c r="I16" s="23"/>
      <c r="J16" s="23"/>
      <c r="K16" s="23"/>
      <c r="L16" s="23"/>
    </row>
    <row r="17" spans="1:12">
      <c r="A17" s="23"/>
      <c r="B17" s="23"/>
      <c r="C17" s="23"/>
      <c r="D17" s="23"/>
      <c r="E17" s="23"/>
      <c r="F17" s="23"/>
      <c r="G17" s="23"/>
      <c r="H17" s="23"/>
      <c r="I17" s="23"/>
      <c r="J17" s="23"/>
      <c r="K17" s="23"/>
      <c r="L17" s="23"/>
    </row>
    <row r="18" spans="1:12">
      <c r="D18" s="28"/>
      <c r="E18" s="28"/>
      <c r="F18" s="28"/>
      <c r="G18" s="28"/>
      <c r="H18" s="28"/>
      <c r="I18" s="28"/>
      <c r="J18" s="28"/>
      <c r="K18" s="28"/>
      <c r="L18" s="28"/>
    </row>
    <row r="19" spans="1:12">
      <c r="D19" s="28"/>
      <c r="E19" s="28"/>
      <c r="F19" s="28"/>
      <c r="G19" s="28"/>
      <c r="H19" s="28"/>
      <c r="I19" s="28"/>
      <c r="J19" s="28"/>
      <c r="K19" s="28"/>
      <c r="L19" s="28"/>
    </row>
    <row r="20" spans="1:12">
      <c r="D20" s="28"/>
      <c r="E20" s="28"/>
      <c r="F20" s="28"/>
      <c r="G20" s="28"/>
      <c r="H20" s="28"/>
      <c r="I20" s="28"/>
      <c r="J20" s="28"/>
      <c r="K20" s="28"/>
      <c r="L20" s="28"/>
    </row>
    <row r="21" spans="1:12">
      <c r="D21" s="28"/>
      <c r="E21" s="28"/>
      <c r="F21" s="28"/>
      <c r="G21" s="28"/>
      <c r="H21" s="28"/>
      <c r="I21" s="28"/>
      <c r="J21" s="28"/>
      <c r="K21" s="28"/>
      <c r="L21" s="28"/>
    </row>
    <row r="22" spans="1:12">
      <c r="D22" s="28"/>
      <c r="E22" s="28"/>
      <c r="F22" s="28"/>
      <c r="G22" s="28"/>
      <c r="H22" s="28"/>
      <c r="I22" s="28"/>
      <c r="J22" s="28"/>
      <c r="K22" s="28"/>
      <c r="L22" s="28"/>
    </row>
    <row r="23" spans="1:12">
      <c r="D23" s="28"/>
      <c r="E23" s="28"/>
      <c r="F23" s="28"/>
      <c r="G23" s="28"/>
      <c r="H23" s="28"/>
      <c r="I23" s="28"/>
      <c r="J23" s="28"/>
      <c r="K23" s="28"/>
      <c r="L23" s="28"/>
    </row>
    <row r="24" spans="1:12">
      <c r="D24" s="28"/>
      <c r="E24" s="28"/>
      <c r="F24" s="28"/>
      <c r="G24" s="28"/>
      <c r="H24" s="28"/>
      <c r="I24" s="28"/>
      <c r="J24" s="28"/>
      <c r="K24" s="28"/>
      <c r="L24" s="28"/>
    </row>
    <row r="25" spans="1:12">
      <c r="D25" s="28"/>
      <c r="E25" s="28"/>
      <c r="F25" s="28"/>
      <c r="G25" s="28"/>
      <c r="H25" s="28"/>
      <c r="I25" s="28"/>
      <c r="J25" s="28"/>
      <c r="K25" s="28"/>
      <c r="L25" s="28"/>
    </row>
    <row r="26" spans="1:12">
      <c r="D26" s="49"/>
      <c r="E26" s="49"/>
      <c r="F26" s="50"/>
      <c r="G26" s="28"/>
      <c r="H26" s="28"/>
      <c r="I26" s="28"/>
      <c r="J26" s="28"/>
      <c r="K26" s="28"/>
      <c r="L26" s="28"/>
    </row>
    <row r="27" spans="1:12">
      <c r="D27" s="49"/>
      <c r="E27" s="49"/>
      <c r="F27" s="50"/>
      <c r="G27" s="28"/>
      <c r="H27" s="28"/>
      <c r="I27" s="28"/>
      <c r="J27" s="28"/>
      <c r="K27" s="28"/>
      <c r="L27" s="28"/>
    </row>
    <row r="28" spans="1:12">
      <c r="D28" s="49"/>
      <c r="E28" s="49"/>
      <c r="F28" s="50"/>
      <c r="G28" s="28"/>
      <c r="H28" s="28"/>
      <c r="I28" s="28"/>
      <c r="J28" s="28"/>
      <c r="K28" s="28"/>
      <c r="L28" s="28"/>
    </row>
    <row r="29" spans="1:12">
      <c r="D29" s="49"/>
      <c r="E29" s="49"/>
      <c r="F29" s="50"/>
      <c r="G29" s="28"/>
      <c r="H29" s="28"/>
      <c r="I29" s="28"/>
      <c r="J29" s="28"/>
      <c r="K29" s="28"/>
      <c r="L29" s="28"/>
    </row>
    <row r="30" spans="1:12">
      <c r="D30" s="49"/>
      <c r="E30" s="49"/>
      <c r="F30" s="50"/>
      <c r="G30" s="28"/>
      <c r="H30" s="28"/>
      <c r="I30" s="28"/>
      <c r="J30" s="28"/>
      <c r="K30" s="28"/>
      <c r="L30" s="28"/>
    </row>
    <row r="31" spans="1:12">
      <c r="D31" s="49"/>
      <c r="E31" s="49"/>
      <c r="F31" s="50"/>
      <c r="G31" s="28"/>
      <c r="H31" s="28"/>
      <c r="I31" s="28"/>
      <c r="J31" s="28"/>
      <c r="K31" s="28"/>
      <c r="L31" s="28"/>
    </row>
    <row r="32" spans="1:12">
      <c r="D32" s="49"/>
      <c r="E32" s="49"/>
      <c r="F32" s="50"/>
      <c r="G32" s="28"/>
      <c r="H32" s="28"/>
      <c r="I32" s="28"/>
      <c r="J32" s="28"/>
      <c r="K32" s="28"/>
      <c r="L32" s="28"/>
    </row>
    <row r="33" spans="4:12">
      <c r="D33" s="49"/>
      <c r="E33" s="49"/>
      <c r="F33" s="50"/>
      <c r="G33" s="28"/>
      <c r="H33" s="28"/>
      <c r="I33" s="28"/>
      <c r="J33" s="28"/>
      <c r="K33" s="28"/>
      <c r="L33" s="28"/>
    </row>
    <row r="34" spans="4:12">
      <c r="D34" s="49"/>
      <c r="E34" s="49"/>
      <c r="F34" s="50"/>
      <c r="G34" s="28"/>
      <c r="H34" s="28"/>
      <c r="I34" s="28"/>
      <c r="J34" s="28"/>
      <c r="K34" s="28"/>
      <c r="L34" s="28"/>
    </row>
    <row r="35" spans="4:12">
      <c r="D35" s="49"/>
      <c r="E35" s="49"/>
      <c r="F35" s="50"/>
      <c r="G35" s="28"/>
      <c r="H35" s="28"/>
      <c r="I35" s="28"/>
      <c r="J35" s="28"/>
      <c r="K35" s="28"/>
      <c r="L35" s="28"/>
    </row>
    <row r="36" spans="4:12">
      <c r="D36" s="49"/>
      <c r="E36" s="49"/>
      <c r="F36" s="50"/>
      <c r="G36" s="28"/>
      <c r="H36" s="28"/>
      <c r="I36" s="28"/>
      <c r="J36" s="28"/>
      <c r="K36" s="28"/>
      <c r="L36" s="28"/>
    </row>
    <row r="37" spans="4:12">
      <c r="D37" s="49"/>
      <c r="E37" s="49"/>
      <c r="F37" s="50"/>
      <c r="G37" s="28"/>
      <c r="H37" s="28"/>
      <c r="I37" s="28"/>
      <c r="J37" s="28"/>
      <c r="K37" s="28"/>
      <c r="L37" s="28"/>
    </row>
    <row r="38" spans="4:12">
      <c r="D38" s="49"/>
      <c r="E38" s="49"/>
      <c r="F38" s="50"/>
      <c r="G38" s="28"/>
      <c r="H38" s="28"/>
      <c r="I38" s="28"/>
      <c r="J38" s="28"/>
      <c r="K38" s="28"/>
      <c r="L38" s="28"/>
    </row>
    <row r="39" spans="4:12">
      <c r="D39" s="49"/>
      <c r="E39" s="49"/>
      <c r="F39" s="50"/>
      <c r="G39" s="28"/>
      <c r="H39" s="28"/>
      <c r="I39" s="28"/>
      <c r="J39" s="28"/>
      <c r="K39" s="28"/>
      <c r="L39" s="28"/>
    </row>
    <row r="40" spans="4:12">
      <c r="D40" s="49"/>
      <c r="E40" s="49"/>
      <c r="F40" s="50"/>
      <c r="G40" s="28"/>
      <c r="H40" s="28"/>
      <c r="I40" s="28"/>
      <c r="J40" s="28"/>
      <c r="K40" s="28"/>
      <c r="L40" s="28"/>
    </row>
    <row r="41" spans="4:12">
      <c r="D41" s="49"/>
      <c r="E41" s="49"/>
      <c r="F41" s="50"/>
      <c r="G41" s="28"/>
      <c r="H41" s="28"/>
      <c r="I41" s="28"/>
      <c r="J41" s="28"/>
      <c r="K41" s="28"/>
      <c r="L41" s="28"/>
    </row>
    <row r="42" spans="4:12">
      <c r="D42" s="49"/>
      <c r="E42" s="49"/>
      <c r="F42" s="50"/>
      <c r="G42" s="28"/>
      <c r="H42" s="28"/>
      <c r="I42" s="28"/>
      <c r="J42" s="28"/>
      <c r="K42" s="28"/>
      <c r="L42" s="28"/>
    </row>
    <row r="43" spans="4:12">
      <c r="D43" s="49"/>
      <c r="E43" s="49"/>
      <c r="F43" s="50"/>
      <c r="G43" s="28"/>
      <c r="H43" s="28"/>
      <c r="I43" s="28"/>
      <c r="J43" s="28"/>
      <c r="K43" s="28"/>
      <c r="L43" s="28"/>
    </row>
  </sheetData>
  <mergeCells count="2">
    <mergeCell ref="A1:L1"/>
    <mergeCell ref="A3:D3"/>
  </mergeCells>
  <printOptions horizontalCentered="1" verticalCentered="1"/>
  <pageMargins left="0.4" right="0.4" top="0.25" bottom="0.25" header="0.31496062992126" footer="0.31496062992126"/>
  <pageSetup scale="76"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1" tint="0.34998626667073579"/>
    <pageSetUpPr fitToPage="1"/>
  </sheetPr>
  <dimension ref="A1:N29"/>
  <sheetViews>
    <sheetView showGridLines="0" view="pageBreakPreview" zoomScale="73" zoomScaleNormal="100" zoomScaleSheetLayoutView="73" workbookViewId="0">
      <selection activeCell="B44" sqref="B44"/>
    </sheetView>
  </sheetViews>
  <sheetFormatPr baseColWidth="10" defaultColWidth="11.42578125" defaultRowHeight="15"/>
  <cols>
    <col min="1" max="1" width="21.28515625" style="128" customWidth="1"/>
    <col min="2" max="2" width="23.42578125" style="128" customWidth="1"/>
    <col min="3" max="3" width="16.85546875" style="128" customWidth="1"/>
    <col min="4" max="4" width="15.85546875" style="128" customWidth="1"/>
    <col min="5" max="5" width="17.85546875" style="128" customWidth="1"/>
    <col min="6" max="6" width="14.5703125" style="128" customWidth="1"/>
    <col min="7" max="7" width="17.85546875" style="128" customWidth="1"/>
    <col min="8" max="8" width="31.28515625" style="128" customWidth="1"/>
    <col min="9" max="9" width="8.42578125" style="128" customWidth="1"/>
    <col min="10" max="10" width="7.85546875" style="128" customWidth="1"/>
    <col min="11" max="11" width="6.85546875" style="128" customWidth="1"/>
    <col min="12" max="12" width="9.140625" style="128" customWidth="1"/>
    <col min="13" max="14" width="16.28515625" style="128" bestFit="1" customWidth="1"/>
    <col min="15" max="16384" width="11.42578125" style="128"/>
  </cols>
  <sheetData>
    <row r="1" spans="1:13" ht="75" customHeight="1">
      <c r="A1" s="2389" t="s">
        <v>935</v>
      </c>
      <c r="B1" s="2389"/>
      <c r="C1" s="2389"/>
      <c r="D1" s="2389"/>
      <c r="E1" s="2389"/>
      <c r="F1" s="2389"/>
      <c r="G1" s="2389"/>
      <c r="H1" s="2389"/>
      <c r="I1" s="2389"/>
      <c r="J1" s="2389"/>
      <c r="K1" s="2389"/>
      <c r="L1"/>
    </row>
    <row r="2" spans="1:13" s="59" customFormat="1" ht="6" customHeight="1">
      <c r="A2" s="575"/>
      <c r="B2" s="575"/>
      <c r="C2" s="575"/>
      <c r="D2" s="575"/>
      <c r="E2" s="575"/>
      <c r="F2" s="575"/>
      <c r="G2" s="575"/>
      <c r="H2" s="575"/>
      <c r="I2" s="575"/>
      <c r="J2" s="575"/>
      <c r="K2" s="575"/>
    </row>
    <row r="3" spans="1:13" ht="19.5" customHeight="1">
      <c r="A3" s="2533" t="s">
        <v>368</v>
      </c>
      <c r="B3" s="2533"/>
      <c r="C3"/>
      <c r="D3"/>
      <c r="E3" s="23"/>
      <c r="F3" s="2596" t="s">
        <v>371</v>
      </c>
      <c r="G3" s="2596"/>
      <c r="H3" s="2596"/>
      <c r="I3" s="23"/>
      <c r="J3" s="23"/>
      <c r="K3" s="148"/>
      <c r="L3" s="148"/>
    </row>
    <row r="4" spans="1:13" ht="31.5">
      <c r="A4" s="1231" t="s">
        <v>353</v>
      </c>
      <c r="B4" s="1231" t="s">
        <v>354</v>
      </c>
      <c r="D4"/>
      <c r="E4" s="23"/>
      <c r="F4" s="1231" t="s">
        <v>369</v>
      </c>
      <c r="G4" s="1231" t="s">
        <v>370</v>
      </c>
      <c r="H4" s="1231" t="s">
        <v>372</v>
      </c>
      <c r="I4" s="23"/>
      <c r="J4" s="23"/>
      <c r="K4" s="148"/>
      <c r="L4" s="148"/>
    </row>
    <row r="5" spans="1:13" ht="15.75" customHeight="1">
      <c r="A5" s="174">
        <v>217</v>
      </c>
      <c r="B5" s="210">
        <v>440</v>
      </c>
      <c r="D5"/>
      <c r="E5" s="23"/>
      <c r="F5" s="174">
        <v>421</v>
      </c>
      <c r="G5" s="210">
        <v>19</v>
      </c>
      <c r="H5" s="211">
        <v>338</v>
      </c>
      <c r="I5" s="23"/>
      <c r="J5" s="23"/>
      <c r="K5" s="148"/>
      <c r="L5" s="148"/>
    </row>
    <row r="6" spans="1:13">
      <c r="A6"/>
      <c r="B6"/>
      <c r="D6"/>
      <c r="E6" s="23"/>
      <c r="F6"/>
      <c r="G6"/>
      <c r="H6" s="23"/>
      <c r="I6" s="23"/>
      <c r="J6" s="23"/>
      <c r="K6" s="148"/>
      <c r="L6" s="148"/>
    </row>
    <row r="7" spans="1:13">
      <c r="A7"/>
      <c r="B7"/>
      <c r="D7"/>
      <c r="E7" s="23"/>
      <c r="F7" s="23"/>
      <c r="G7" s="23"/>
      <c r="H7" s="23"/>
      <c r="I7" s="23"/>
      <c r="J7" s="23"/>
      <c r="K7" s="148"/>
      <c r="L7" s="148"/>
    </row>
    <row r="8" spans="1:13">
      <c r="A8" s="148"/>
      <c r="B8" s="48"/>
      <c r="C8" s="23"/>
      <c r="D8" s="23"/>
      <c r="E8" s="23"/>
      <c r="F8" s="23"/>
      <c r="G8" s="23"/>
      <c r="H8" s="23"/>
      <c r="I8" s="23"/>
      <c r="J8" s="23"/>
      <c r="K8" s="23"/>
      <c r="L8" s="23"/>
    </row>
    <row r="9" spans="1:13">
      <c r="A9" s="148"/>
      <c r="B9" s="48"/>
      <c r="C9" s="23"/>
      <c r="D9" s="23"/>
      <c r="E9" s="23"/>
      <c r="F9" s="23"/>
      <c r="G9" s="23"/>
      <c r="H9" s="23"/>
      <c r="I9" s="23"/>
      <c r="J9" s="23"/>
      <c r="K9" s="23"/>
      <c r="L9" s="23"/>
    </row>
    <row r="10" spans="1:13">
      <c r="B10" s="48"/>
      <c r="C10" s="28"/>
      <c r="D10" s="28"/>
      <c r="E10" s="28"/>
      <c r="F10" s="28"/>
      <c r="G10" s="28"/>
      <c r="H10" s="28"/>
      <c r="I10" s="28"/>
      <c r="J10" s="28"/>
      <c r="K10" s="28"/>
      <c r="L10" s="28"/>
    </row>
    <row r="11" spans="1:13">
      <c r="B11" s="48"/>
      <c r="C11" s="28"/>
      <c r="D11" s="28"/>
      <c r="E11" s="28"/>
      <c r="F11" s="28"/>
      <c r="G11" s="28"/>
      <c r="H11" s="28"/>
      <c r="I11" s="28"/>
      <c r="J11" s="28"/>
      <c r="K11" s="28"/>
      <c r="L11" s="28"/>
    </row>
    <row r="12" spans="1:13">
      <c r="B12" s="48"/>
      <c r="C12" s="28"/>
      <c r="D12" s="28"/>
      <c r="E12" s="28"/>
      <c r="F12" s="28"/>
      <c r="G12" s="28"/>
      <c r="H12" s="28"/>
      <c r="I12" s="28"/>
      <c r="J12" s="28"/>
      <c r="K12" s="28"/>
      <c r="L12" s="28"/>
    </row>
    <row r="13" spans="1:13">
      <c r="B13" s="48"/>
      <c r="C13" s="28"/>
      <c r="D13" s="28"/>
      <c r="E13" s="28"/>
      <c r="F13" s="28"/>
      <c r="G13" s="28"/>
      <c r="H13" s="28"/>
      <c r="I13" s="28"/>
      <c r="J13" s="28"/>
      <c r="K13" s="28"/>
      <c r="L13" s="28"/>
    </row>
    <row r="14" spans="1:13">
      <c r="B14" s="48"/>
      <c r="C14" s="28"/>
      <c r="D14" s="28"/>
      <c r="E14" s="28"/>
      <c r="F14" s="28"/>
      <c r="G14" s="28"/>
      <c r="H14" s="28"/>
      <c r="I14" s="28"/>
      <c r="J14" s="28"/>
      <c r="K14" s="28"/>
      <c r="L14" s="28"/>
    </row>
    <row r="15" spans="1:13">
      <c r="B15" s="48"/>
      <c r="C15" s="28"/>
      <c r="D15" s="28"/>
      <c r="E15" s="28"/>
      <c r="F15" s="28"/>
      <c r="G15" s="28"/>
      <c r="H15" s="28"/>
      <c r="I15" s="28"/>
      <c r="J15" s="28"/>
      <c r="K15" s="28"/>
      <c r="L15" s="28"/>
    </row>
    <row r="16" spans="1:13">
      <c r="B16" s="48"/>
      <c r="C16" s="28"/>
      <c r="D16" s="28"/>
      <c r="E16" s="28"/>
      <c r="F16" s="28"/>
      <c r="G16" s="28"/>
      <c r="H16" s="28"/>
      <c r="I16" s="28"/>
      <c r="J16" s="28"/>
      <c r="K16" s="28"/>
      <c r="L16" s="28"/>
      <c r="M16" s="22"/>
    </row>
    <row r="17" spans="2:14">
      <c r="B17" s="48"/>
      <c r="C17" s="28"/>
      <c r="D17" s="28"/>
      <c r="E17" s="28"/>
      <c r="F17" s="28"/>
      <c r="G17" s="28"/>
      <c r="H17" s="28"/>
      <c r="I17" s="28"/>
      <c r="J17" s="28"/>
      <c r="K17" s="28"/>
      <c r="L17" s="28"/>
    </row>
    <row r="18" spans="2:14">
      <c r="B18" s="48"/>
      <c r="C18" s="49"/>
      <c r="D18" s="49"/>
      <c r="E18" s="50"/>
      <c r="F18" s="28"/>
      <c r="G18" s="28"/>
      <c r="H18" s="28"/>
      <c r="I18" s="28"/>
      <c r="J18" s="28"/>
      <c r="K18" s="28"/>
      <c r="L18" s="28"/>
    </row>
    <row r="19" spans="2:14">
      <c r="B19" s="48"/>
      <c r="C19" s="49"/>
      <c r="D19" s="49"/>
      <c r="E19" s="50"/>
      <c r="F19" s="28"/>
      <c r="G19" s="28"/>
      <c r="H19" s="28"/>
      <c r="I19" s="28"/>
      <c r="J19" s="28"/>
      <c r="K19" s="28"/>
      <c r="L19" s="28"/>
    </row>
    <row r="20" spans="2:14">
      <c r="B20" s="48"/>
      <c r="C20" s="49"/>
      <c r="D20" s="49"/>
      <c r="E20" s="50"/>
      <c r="F20" s="28"/>
      <c r="G20" s="28"/>
      <c r="H20" s="28"/>
      <c r="I20" s="28"/>
      <c r="J20" s="28"/>
      <c r="K20" s="28"/>
      <c r="L20" s="28"/>
      <c r="M20" s="22"/>
    </row>
    <row r="21" spans="2:14">
      <c r="B21" s="48"/>
      <c r="C21" s="49"/>
      <c r="D21" s="49"/>
      <c r="E21" s="50"/>
      <c r="F21" s="28"/>
      <c r="G21" s="28"/>
      <c r="H21" s="28"/>
      <c r="I21" s="28"/>
      <c r="J21" s="28"/>
      <c r="K21" s="28"/>
      <c r="L21" s="28"/>
    </row>
    <row r="22" spans="2:14">
      <c r="B22" s="48"/>
      <c r="C22" s="49"/>
      <c r="D22" s="49"/>
      <c r="E22" s="50"/>
      <c r="F22" s="28"/>
      <c r="G22" s="28"/>
      <c r="H22" s="28"/>
      <c r="I22" s="28"/>
      <c r="J22" s="28"/>
      <c r="K22" s="28"/>
      <c r="L22" s="28"/>
    </row>
    <row r="23" spans="2:14">
      <c r="B23" s="48"/>
      <c r="C23" s="49"/>
      <c r="D23" s="49"/>
      <c r="E23" s="50"/>
      <c r="F23" s="28"/>
      <c r="G23" s="28"/>
      <c r="H23" s="28"/>
      <c r="I23" s="28"/>
      <c r="J23" s="28"/>
      <c r="K23" s="28"/>
      <c r="L23" s="28"/>
    </row>
    <row r="27" spans="2:14">
      <c r="N27" s="22"/>
    </row>
    <row r="29" spans="2:14">
      <c r="N29" s="22"/>
    </row>
  </sheetData>
  <mergeCells count="3">
    <mergeCell ref="F3:H3"/>
    <mergeCell ref="A3:B3"/>
    <mergeCell ref="A1:K1"/>
  </mergeCells>
  <printOptions horizontalCentered="1" verticalCentered="1"/>
  <pageMargins left="0.39370078740157483" right="0.39370078740157483" top="0.23622047244094491" bottom="0.23622047244094491" header="0.31496062992125984" footer="0.31496062992125984"/>
  <pageSetup scale="72"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L35"/>
  <sheetViews>
    <sheetView showGridLines="0" view="pageBreakPreview" zoomScaleNormal="84" zoomScaleSheetLayoutView="100" workbookViewId="0">
      <selection activeCell="M23" sqref="M23"/>
    </sheetView>
  </sheetViews>
  <sheetFormatPr baseColWidth="10" defaultColWidth="11.5703125" defaultRowHeight="15"/>
  <cols>
    <col min="1" max="1" width="11.42578125" customWidth="1"/>
    <col min="2" max="3" width="19.140625" customWidth="1"/>
    <col min="4" max="4" width="18.140625" customWidth="1"/>
    <col min="5" max="5" width="18.42578125" customWidth="1"/>
    <col min="6" max="6" width="9" customWidth="1"/>
    <col min="7" max="7" width="8" customWidth="1"/>
    <col min="8" max="8" width="6.42578125" customWidth="1"/>
    <col min="9" max="9" width="10" customWidth="1"/>
    <col min="10" max="10" width="10.28515625" customWidth="1"/>
    <col min="11" max="11" width="10.7109375" customWidth="1"/>
    <col min="12" max="12" width="6.42578125" customWidth="1"/>
    <col min="14" max="14" width="13.5703125" bestFit="1" customWidth="1"/>
    <col min="15" max="15" width="18.28515625" bestFit="1" customWidth="1"/>
    <col min="16" max="16" width="16.42578125" bestFit="1" customWidth="1"/>
  </cols>
  <sheetData>
    <row r="1" spans="1:12" ht="58.5" customHeight="1">
      <c r="A1" s="2315" t="s">
        <v>1746</v>
      </c>
      <c r="B1" s="2315"/>
      <c r="C1" s="2315"/>
      <c r="D1" s="2315"/>
      <c r="E1" s="2315"/>
      <c r="F1" s="2315"/>
      <c r="G1" s="2315"/>
      <c r="H1" s="2315"/>
      <c r="I1" s="2315"/>
      <c r="J1" s="2315"/>
      <c r="K1" s="2315"/>
      <c r="L1" s="2315"/>
    </row>
    <row r="2" spans="1:12" ht="17.25" customHeight="1">
      <c r="A2" s="2597" t="s">
        <v>967</v>
      </c>
      <c r="B2" s="2597"/>
      <c r="C2" s="2597"/>
      <c r="D2" s="2597"/>
      <c r="E2" s="2597"/>
      <c r="F2" s="2597"/>
      <c r="G2" s="2597"/>
      <c r="H2" s="2597"/>
      <c r="I2" s="2597"/>
      <c r="J2" s="2597"/>
      <c r="K2" s="2597"/>
      <c r="L2" s="2597"/>
    </row>
    <row r="3" spans="1:12">
      <c r="A3" s="653" t="s">
        <v>51</v>
      </c>
      <c r="B3" s="1238" t="s">
        <v>373</v>
      </c>
      <c r="C3" s="1238" t="s">
        <v>374</v>
      </c>
      <c r="D3" s="1238" t="s">
        <v>375</v>
      </c>
      <c r="E3" s="1238" t="s">
        <v>376</v>
      </c>
      <c r="F3" s="214"/>
      <c r="G3" s="148"/>
      <c r="H3" s="23"/>
      <c r="I3" s="23"/>
      <c r="J3" s="23"/>
      <c r="K3" s="23"/>
      <c r="L3" s="148"/>
    </row>
    <row r="4" spans="1:12">
      <c r="A4" s="755" t="s">
        <v>377</v>
      </c>
      <c r="B4" s="472">
        <v>139932946.46000001</v>
      </c>
      <c r="C4" s="472">
        <v>99835338.230000004</v>
      </c>
      <c r="D4" s="472">
        <v>11516600.18</v>
      </c>
      <c r="E4" s="472">
        <v>25198302.300000001</v>
      </c>
      <c r="F4" s="214"/>
      <c r="G4" s="148"/>
      <c r="H4" s="23"/>
      <c r="I4" s="23"/>
      <c r="J4" s="23"/>
      <c r="K4" s="23"/>
      <c r="L4" s="148"/>
    </row>
    <row r="5" spans="1:12">
      <c r="A5" s="755" t="s">
        <v>378</v>
      </c>
      <c r="B5" s="472">
        <v>195779654.12</v>
      </c>
      <c r="C5" s="472">
        <v>115943293</v>
      </c>
      <c r="D5" s="472">
        <v>10549777</v>
      </c>
      <c r="E5" s="472">
        <v>31770365.190000001</v>
      </c>
      <c r="F5" s="214"/>
      <c r="G5" s="148"/>
      <c r="H5" s="23"/>
      <c r="I5" s="23"/>
      <c r="J5" s="23"/>
      <c r="K5" s="23"/>
      <c r="L5" s="148"/>
    </row>
    <row r="6" spans="1:12">
      <c r="A6" s="755" t="s">
        <v>23</v>
      </c>
      <c r="B6" s="756">
        <f>SUM(B4:B5)</f>
        <v>335712600.58000004</v>
      </c>
      <c r="C6" s="756">
        <f>SUM(C4:C5)</f>
        <v>215778631.23000002</v>
      </c>
      <c r="D6" s="756">
        <f>SUM(D4:D5)</f>
        <v>22066377.18</v>
      </c>
      <c r="E6" s="756">
        <f>SUM(E4:E5)</f>
        <v>56968667.490000002</v>
      </c>
      <c r="F6" s="23"/>
      <c r="G6" s="23"/>
      <c r="H6" s="23"/>
      <c r="I6" s="23"/>
      <c r="J6" s="23"/>
      <c r="K6" s="23"/>
      <c r="L6" s="148"/>
    </row>
    <row r="7" spans="1:12">
      <c r="A7" s="148"/>
      <c r="B7" s="48"/>
      <c r="C7" s="23"/>
      <c r="D7" s="23"/>
      <c r="E7" s="23"/>
      <c r="F7" s="23"/>
      <c r="G7" s="23"/>
      <c r="H7" s="23"/>
      <c r="I7" s="23"/>
      <c r="J7" s="23"/>
      <c r="K7" s="23"/>
      <c r="L7" s="23"/>
    </row>
    <row r="8" spans="1:12">
      <c r="A8" s="148"/>
      <c r="B8" s="48"/>
      <c r="C8" s="23"/>
      <c r="D8" s="23"/>
      <c r="E8" s="23"/>
      <c r="F8" s="23"/>
      <c r="G8" s="23"/>
      <c r="H8" s="23"/>
      <c r="I8" s="23"/>
      <c r="J8" s="23"/>
      <c r="K8" s="23"/>
      <c r="L8" s="23"/>
    </row>
    <row r="9" spans="1:12">
      <c r="A9" s="148"/>
      <c r="B9" s="48"/>
      <c r="C9" s="23"/>
      <c r="D9" s="23"/>
      <c r="E9" s="23"/>
      <c r="F9" s="23"/>
      <c r="G9" s="23"/>
      <c r="H9" s="23"/>
      <c r="I9" s="23"/>
      <c r="J9" s="23"/>
      <c r="K9" s="23"/>
      <c r="L9" s="23"/>
    </row>
    <row r="10" spans="1:12">
      <c r="A10" s="148"/>
      <c r="B10" s="48"/>
      <c r="C10" s="23"/>
      <c r="D10" s="23"/>
      <c r="E10" s="23"/>
      <c r="F10" s="23"/>
      <c r="G10" s="23"/>
      <c r="H10" s="23"/>
      <c r="I10" s="23"/>
      <c r="J10" s="23"/>
      <c r="K10" s="23"/>
      <c r="L10" s="23"/>
    </row>
    <row r="11" spans="1:12">
      <c r="A11" s="148"/>
      <c r="B11" s="48"/>
      <c r="C11" s="23"/>
      <c r="D11" s="23"/>
      <c r="E11" s="23"/>
      <c r="F11" s="23"/>
      <c r="G11" s="23"/>
      <c r="H11" s="23"/>
      <c r="I11" s="23"/>
      <c r="J11" s="23"/>
      <c r="K11" s="23"/>
      <c r="L11" s="23"/>
    </row>
    <row r="12" spans="1:12">
      <c r="A12" s="148"/>
      <c r="B12" s="48"/>
      <c r="C12" s="23"/>
      <c r="D12" s="23"/>
      <c r="E12" s="23"/>
      <c r="F12" s="23"/>
      <c r="G12" s="23"/>
      <c r="H12" s="23"/>
      <c r="I12" s="23"/>
      <c r="J12" s="23"/>
      <c r="K12" s="23"/>
      <c r="L12" s="23"/>
    </row>
    <row r="13" spans="1:12">
      <c r="A13" s="148"/>
      <c r="B13" s="48"/>
      <c r="C13" s="23"/>
      <c r="D13" s="23"/>
      <c r="E13" s="23"/>
      <c r="F13" s="23"/>
      <c r="G13" s="23"/>
      <c r="H13" s="23"/>
      <c r="I13" s="23"/>
      <c r="J13" s="23"/>
      <c r="K13" s="23"/>
      <c r="L13" s="23"/>
    </row>
    <row r="14" spans="1:12">
      <c r="A14" s="148"/>
      <c r="B14" s="48"/>
      <c r="C14" s="23"/>
      <c r="D14" s="23"/>
      <c r="E14" s="23"/>
      <c r="F14" s="23"/>
      <c r="G14" s="23"/>
      <c r="H14" s="23"/>
      <c r="I14" s="23"/>
      <c r="J14" s="23"/>
      <c r="K14" s="23"/>
      <c r="L14" s="23"/>
    </row>
    <row r="15" spans="1:12">
      <c r="A15" s="148"/>
      <c r="B15" s="48"/>
      <c r="C15" s="23"/>
      <c r="D15" s="23"/>
      <c r="E15" s="23"/>
      <c r="F15" s="23"/>
      <c r="G15" s="23"/>
      <c r="H15" s="23"/>
      <c r="I15" s="23"/>
      <c r="J15" s="23"/>
      <c r="K15" s="23"/>
      <c r="L15" s="23"/>
    </row>
    <row r="16" spans="1:12">
      <c r="A16" s="148"/>
      <c r="B16" s="48"/>
      <c r="C16" s="23"/>
      <c r="D16" s="23"/>
      <c r="E16" s="23"/>
      <c r="F16" s="23"/>
      <c r="G16" s="23"/>
      <c r="H16" s="148"/>
      <c r="I16" s="148"/>
      <c r="J16" s="148"/>
      <c r="K16" s="148"/>
      <c r="L16" s="23"/>
    </row>
    <row r="17" spans="1:12">
      <c r="A17" s="148"/>
      <c r="B17" s="48"/>
      <c r="C17" s="212"/>
      <c r="D17" s="212"/>
      <c r="E17" s="213"/>
      <c r="F17" s="23"/>
      <c r="G17" s="23"/>
      <c r="H17" s="148"/>
      <c r="I17" s="148"/>
      <c r="J17" s="148"/>
      <c r="K17" s="148"/>
      <c r="L17" s="23"/>
    </row>
    <row r="18" spans="1:12">
      <c r="A18" s="148"/>
      <c r="B18" s="48"/>
      <c r="C18" s="212"/>
      <c r="D18" s="212"/>
      <c r="E18" s="213"/>
      <c r="F18" s="23"/>
      <c r="G18" s="23"/>
      <c r="H18" s="148"/>
      <c r="I18" s="148"/>
      <c r="J18" s="148"/>
      <c r="K18" s="148"/>
      <c r="L18" s="23"/>
    </row>
    <row r="19" spans="1:12">
      <c r="A19" s="148"/>
      <c r="B19" s="48"/>
      <c r="C19" s="212"/>
      <c r="D19" s="212"/>
      <c r="E19" s="213"/>
      <c r="F19" s="23"/>
      <c r="G19" s="23"/>
      <c r="H19" s="148"/>
      <c r="I19" s="148"/>
      <c r="J19" s="148"/>
      <c r="K19" s="148"/>
      <c r="L19" s="23"/>
    </row>
    <row r="20" spans="1:12">
      <c r="A20" s="148"/>
      <c r="B20" s="48"/>
      <c r="C20" s="212"/>
      <c r="D20" s="212"/>
      <c r="E20" s="213"/>
      <c r="F20" s="23"/>
      <c r="G20" s="23"/>
      <c r="H20" s="148"/>
      <c r="I20" s="148"/>
      <c r="J20" s="148"/>
      <c r="K20" s="148"/>
      <c r="L20" s="23"/>
    </row>
    <row r="21" spans="1:12">
      <c r="A21" s="148"/>
      <c r="B21" s="48"/>
      <c r="C21" s="212"/>
      <c r="D21" s="212"/>
      <c r="E21" s="213"/>
      <c r="F21" s="23"/>
      <c r="G21" s="23"/>
      <c r="H21" s="148"/>
      <c r="I21" s="148"/>
      <c r="J21" s="148"/>
      <c r="K21" s="148"/>
      <c r="L21" s="23"/>
    </row>
    <row r="22" spans="1:12">
      <c r="A22" s="148"/>
      <c r="B22" s="48"/>
      <c r="C22" s="212"/>
      <c r="D22" s="212"/>
      <c r="E22" s="213"/>
      <c r="F22" s="23"/>
      <c r="G22" s="23"/>
      <c r="H22" s="148"/>
      <c r="I22" s="148"/>
      <c r="J22" s="148"/>
      <c r="K22" s="148"/>
      <c r="L22" s="23"/>
    </row>
    <row r="23" spans="1:12">
      <c r="A23" s="148"/>
      <c r="B23" s="148"/>
      <c r="C23" s="148"/>
      <c r="D23" s="148"/>
      <c r="E23" s="148"/>
      <c r="F23" s="148"/>
      <c r="G23" s="148"/>
      <c r="H23" s="148"/>
      <c r="I23" s="148"/>
      <c r="J23" s="148"/>
      <c r="K23" s="148"/>
      <c r="L23" s="148"/>
    </row>
    <row r="24" spans="1:12">
      <c r="A24" s="148"/>
      <c r="B24" s="148"/>
      <c r="C24" s="148"/>
      <c r="D24" s="148"/>
      <c r="E24" s="148"/>
      <c r="F24" s="148"/>
      <c r="G24" s="148"/>
      <c r="H24" s="148"/>
      <c r="I24" s="148"/>
      <c r="J24" s="148"/>
      <c r="K24" s="148"/>
      <c r="L24" s="148"/>
    </row>
    <row r="25" spans="1:12">
      <c r="A25" s="148"/>
      <c r="B25" s="148"/>
      <c r="C25" s="148"/>
      <c r="D25" s="148"/>
      <c r="E25" s="148"/>
      <c r="F25" s="148"/>
      <c r="G25" s="148"/>
      <c r="H25" s="148"/>
      <c r="I25" s="148"/>
      <c r="J25" s="148"/>
      <c r="K25" s="148"/>
      <c r="L25" s="148"/>
    </row>
    <row r="26" spans="1:12">
      <c r="A26" s="148"/>
      <c r="B26" s="148"/>
      <c r="C26" s="148"/>
      <c r="D26" s="148"/>
      <c r="E26" s="148"/>
      <c r="F26" s="148"/>
      <c r="G26" s="148"/>
      <c r="H26" s="148"/>
      <c r="I26" s="148"/>
      <c r="J26" s="148"/>
      <c r="K26" s="148"/>
      <c r="L26" s="148"/>
    </row>
    <row r="27" spans="1:12">
      <c r="A27" s="148"/>
      <c r="B27" s="148"/>
      <c r="C27" s="148"/>
      <c r="D27" s="148"/>
      <c r="E27" s="148"/>
      <c r="F27" s="148"/>
      <c r="G27" s="148"/>
      <c r="H27" s="148"/>
      <c r="I27" s="148"/>
      <c r="J27" s="148"/>
      <c r="K27" s="148"/>
      <c r="L27" s="148"/>
    </row>
    <row r="28" spans="1:12">
      <c r="A28" s="148"/>
      <c r="B28" s="148"/>
      <c r="C28" s="148"/>
      <c r="D28" s="148"/>
      <c r="E28" s="148"/>
      <c r="F28" s="148"/>
      <c r="G28" s="148"/>
      <c r="H28" s="148"/>
      <c r="I28" s="148"/>
      <c r="J28" s="148"/>
      <c r="K28" s="148"/>
      <c r="L28" s="148"/>
    </row>
    <row r="29" spans="1:12">
      <c r="A29" s="148"/>
      <c r="B29" s="148"/>
      <c r="C29" s="148"/>
      <c r="D29" s="148"/>
      <c r="E29" s="148"/>
      <c r="F29" s="148"/>
      <c r="G29" s="148"/>
      <c r="H29" s="128"/>
      <c r="I29" s="128"/>
      <c r="J29" s="128"/>
      <c r="K29" s="128"/>
      <c r="L29" s="148"/>
    </row>
    <row r="30" spans="1:12">
      <c r="A30" s="148"/>
      <c r="B30" s="148"/>
      <c r="C30" s="148"/>
      <c r="D30" s="148"/>
      <c r="E30" s="148"/>
      <c r="F30" s="148"/>
      <c r="G30" s="148"/>
      <c r="H30" s="128"/>
      <c r="I30" s="128"/>
      <c r="J30" s="128"/>
      <c r="K30" s="128"/>
      <c r="L30" s="148"/>
    </row>
    <row r="31" spans="1:12">
      <c r="A31" s="148"/>
      <c r="B31" s="148"/>
      <c r="C31" s="148"/>
      <c r="D31" s="148"/>
      <c r="E31" s="148"/>
      <c r="F31" s="148"/>
      <c r="G31" s="148"/>
      <c r="H31" s="128"/>
      <c r="I31" s="128"/>
      <c r="J31" s="128"/>
      <c r="K31" s="128"/>
      <c r="L31" s="148"/>
    </row>
    <row r="32" spans="1:12">
      <c r="A32" s="148"/>
      <c r="B32" s="148"/>
      <c r="C32" s="148"/>
      <c r="D32" s="148"/>
      <c r="E32" s="148"/>
      <c r="F32" s="148"/>
      <c r="G32" s="148"/>
      <c r="L32" s="148"/>
    </row>
    <row r="33" spans="1:12">
      <c r="A33" s="148"/>
      <c r="B33" s="148"/>
      <c r="C33" s="148"/>
      <c r="D33" s="148"/>
      <c r="E33" s="148"/>
      <c r="F33" s="148"/>
      <c r="G33" s="148"/>
      <c r="L33" s="148"/>
    </row>
    <row r="35" spans="1:12" ht="15" customHeight="1"/>
  </sheetData>
  <mergeCells count="2">
    <mergeCell ref="A1:L1"/>
    <mergeCell ref="A2:L2"/>
  </mergeCells>
  <pageMargins left="0.70866141732283472" right="0.70866141732283472" top="0.74803149606299213" bottom="0.74803149606299213" header="0.31496062992125984" footer="0.31496062992125984"/>
  <pageSetup scale="68"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128"/>
    <col min="7" max="7" width="35.7109375" style="128" customWidth="1"/>
    <col min="8" max="9" width="11.42578125" style="128"/>
    <col min="10" max="10" width="17" style="128" customWidth="1"/>
    <col min="11" max="11" width="28.5703125" style="128" customWidth="1"/>
    <col min="12" max="16384" width="11.42578125" style="128"/>
  </cols>
  <sheetData/>
  <pageMargins left="0.7" right="0.7" top="0.75" bottom="0.75" header="0.3" footer="0.3"/>
  <pageSetup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C000"/>
    <pageSetUpPr fitToPage="1"/>
  </sheetPr>
  <dimension ref="A1:W45"/>
  <sheetViews>
    <sheetView showGridLines="0" view="pageBreakPreview" zoomScale="70" zoomScaleNormal="85" zoomScaleSheetLayoutView="70" workbookViewId="0">
      <selection activeCell="T23" sqref="T23"/>
    </sheetView>
  </sheetViews>
  <sheetFormatPr baseColWidth="10" defaultColWidth="11.42578125" defaultRowHeight="45.75" customHeight="1"/>
  <cols>
    <col min="1" max="1" width="14.140625" style="59" customWidth="1"/>
    <col min="2" max="2" width="12.42578125" style="59" customWidth="1"/>
    <col min="3" max="3" width="16.85546875" style="59" bestFit="1" customWidth="1"/>
    <col min="4" max="4" width="13.7109375" style="59" customWidth="1"/>
    <col min="5" max="5" width="15.5703125" style="59" customWidth="1"/>
    <col min="6" max="6" width="16.7109375" style="59" customWidth="1"/>
    <col min="7" max="7" width="14.85546875" style="59" customWidth="1"/>
    <col min="8" max="8" width="15.140625" style="59" customWidth="1"/>
    <col min="9" max="10" width="13.85546875" style="59" customWidth="1"/>
    <col min="11" max="11" width="14.28515625" style="59" customWidth="1"/>
    <col min="12" max="12" width="13.140625" style="59" customWidth="1"/>
    <col min="13" max="13" width="15.85546875" style="59" customWidth="1"/>
    <col min="14" max="14" width="12.140625" style="59" customWidth="1"/>
    <col min="15" max="15" width="15.5703125" style="59" customWidth="1"/>
    <col min="16" max="16" width="15.140625" style="59" customWidth="1"/>
    <col min="17" max="17" width="14.5703125" style="59" bestFit="1" customWidth="1"/>
    <col min="18" max="18" width="8" style="59" customWidth="1"/>
    <col min="19" max="16384" width="11.42578125" style="59"/>
  </cols>
  <sheetData>
    <row r="1" spans="1:23" s="128" customFormat="1" ht="74.25" customHeight="1">
      <c r="A1" s="2234" t="s">
        <v>1928</v>
      </c>
      <c r="B1" s="2234"/>
      <c r="C1" s="2234"/>
      <c r="D1" s="2234"/>
      <c r="E1" s="2234"/>
      <c r="F1" s="2234"/>
      <c r="G1" s="2234"/>
      <c r="H1" s="2234"/>
      <c r="I1" s="2234"/>
      <c r="J1" s="2234"/>
      <c r="K1" s="2234"/>
      <c r="L1" s="2234"/>
      <c r="M1" s="2234"/>
      <c r="N1" s="2234"/>
      <c r="O1" s="2234"/>
      <c r="P1" s="2234"/>
      <c r="Q1" s="2234"/>
      <c r="R1" s="2234"/>
    </row>
    <row r="2" spans="1:23" s="128" customFormat="1" ht="3.75" customHeight="1">
      <c r="A2" s="2235" t="s">
        <v>1040</v>
      </c>
      <c r="B2" s="2235"/>
      <c r="C2" s="2235"/>
      <c r="D2" s="2235"/>
      <c r="E2" s="2235"/>
      <c r="F2" s="2235"/>
      <c r="G2" s="2235"/>
      <c r="H2" s="2235"/>
      <c r="I2" s="2235"/>
      <c r="J2" s="2235"/>
      <c r="K2" s="2235"/>
      <c r="L2" s="2235"/>
      <c r="M2" s="2235"/>
      <c r="N2" s="2235"/>
      <c r="O2" s="2235"/>
      <c r="P2" s="2235"/>
      <c r="Q2" s="2235"/>
      <c r="R2" s="2235"/>
    </row>
    <row r="3" spans="1:23" s="430" customFormat="1" ht="62.25" customHeight="1">
      <c r="A3" s="931" t="s">
        <v>25</v>
      </c>
      <c r="B3" s="931" t="s">
        <v>450</v>
      </c>
      <c r="C3" s="931" t="s">
        <v>753</v>
      </c>
      <c r="D3" s="931" t="s">
        <v>470</v>
      </c>
      <c r="E3" s="931" t="s">
        <v>752</v>
      </c>
      <c r="F3" s="931" t="s">
        <v>471</v>
      </c>
      <c r="G3" s="931" t="s">
        <v>224</v>
      </c>
      <c r="H3" s="932" t="s">
        <v>754</v>
      </c>
      <c r="I3" s="749" t="s">
        <v>472</v>
      </c>
      <c r="J3" s="749" t="s">
        <v>752</v>
      </c>
      <c r="K3" s="749" t="s">
        <v>473</v>
      </c>
      <c r="L3" s="749" t="s">
        <v>752</v>
      </c>
      <c r="M3" s="749" t="s">
        <v>474</v>
      </c>
      <c r="N3" s="749" t="s">
        <v>754</v>
      </c>
      <c r="O3" s="933" t="s">
        <v>225</v>
      </c>
      <c r="P3" s="931" t="s">
        <v>753</v>
      </c>
      <c r="Q3" s="931" t="s">
        <v>475</v>
      </c>
      <c r="R3" s="131"/>
      <c r="S3" s="214"/>
    </row>
    <row r="4" spans="1:23" ht="15">
      <c r="A4" s="903" t="s">
        <v>1059</v>
      </c>
      <c r="B4" s="441">
        <v>41379</v>
      </c>
      <c r="C4" s="441"/>
      <c r="D4" s="441">
        <v>304</v>
      </c>
      <c r="E4" s="441"/>
      <c r="F4" s="441">
        <v>74</v>
      </c>
      <c r="G4" s="681">
        <f t="shared" ref="G4:G10" si="0">+F4+D4+B4</f>
        <v>41757</v>
      </c>
      <c r="H4" s="868"/>
      <c r="I4" s="441">
        <v>863333</v>
      </c>
      <c r="J4" s="441"/>
      <c r="K4" s="441">
        <v>123254</v>
      </c>
      <c r="L4" s="441"/>
      <c r="M4" s="441">
        <v>201642</v>
      </c>
      <c r="N4" s="441"/>
      <c r="O4" s="677">
        <f t="shared" ref="O4:O10" si="1">+M4+K4+I4</f>
        <v>1188229</v>
      </c>
      <c r="P4" s="678"/>
      <c r="Q4" s="679">
        <f t="shared" ref="Q4:Q9" si="2">O4/G4</f>
        <v>28.455803817324043</v>
      </c>
      <c r="R4" s="151"/>
      <c r="S4" s="803"/>
      <c r="T4" s="830"/>
      <c r="U4" s="29"/>
    </row>
    <row r="5" spans="1:23" ht="15">
      <c r="A5" s="903" t="s">
        <v>944</v>
      </c>
      <c r="B5" s="441">
        <v>41179</v>
      </c>
      <c r="C5" s="442">
        <f>B5/B4-1</f>
        <v>-4.8333695836052515E-3</v>
      </c>
      <c r="D5" s="441">
        <v>412</v>
      </c>
      <c r="E5" s="442">
        <f>D5/D4-1</f>
        <v>0.35526315789473695</v>
      </c>
      <c r="F5" s="441">
        <v>80</v>
      </c>
      <c r="G5" s="681">
        <f t="shared" si="0"/>
        <v>41671</v>
      </c>
      <c r="H5" s="868">
        <f>G5/G4-1</f>
        <v>-2.059534928275486E-3</v>
      </c>
      <c r="I5" s="441">
        <v>869750</v>
      </c>
      <c r="J5" s="442">
        <f>I5/I4-1</f>
        <v>7.4328214026337935E-3</v>
      </c>
      <c r="K5" s="441">
        <v>148220</v>
      </c>
      <c r="L5" s="442">
        <f>K5/K4-1</f>
        <v>0.20255732065490784</v>
      </c>
      <c r="M5" s="441">
        <v>209755</v>
      </c>
      <c r="N5" s="442">
        <f>M5/M4-1</f>
        <v>4.0234673331944748E-2</v>
      </c>
      <c r="O5" s="677">
        <f t="shared" si="1"/>
        <v>1227725</v>
      </c>
      <c r="P5" s="680">
        <f>O5/O4-1</f>
        <v>3.323938399079629E-2</v>
      </c>
      <c r="Q5" s="679">
        <f t="shared" si="2"/>
        <v>29.462335917064625</v>
      </c>
      <c r="R5" s="151"/>
      <c r="S5" s="486"/>
      <c r="T5" s="812"/>
      <c r="U5" s="29"/>
      <c r="V5" s="29"/>
      <c r="W5" s="29"/>
    </row>
    <row r="6" spans="1:23" ht="13.5" customHeight="1">
      <c r="A6" s="903" t="s">
        <v>945</v>
      </c>
      <c r="B6" s="441">
        <v>43682</v>
      </c>
      <c r="C6" s="442">
        <f>B6/B5-1</f>
        <v>6.078340901916035E-2</v>
      </c>
      <c r="D6" s="441">
        <v>418</v>
      </c>
      <c r="E6" s="442">
        <f>D6/D5-1</f>
        <v>1.4563106796116498E-2</v>
      </c>
      <c r="F6" s="441">
        <v>79</v>
      </c>
      <c r="G6" s="681">
        <f t="shared" si="0"/>
        <v>44179</v>
      </c>
      <c r="H6" s="868">
        <f>G6/G5-1</f>
        <v>6.0185740682968891E-2</v>
      </c>
      <c r="I6" s="441">
        <v>943828</v>
      </c>
      <c r="J6" s="442">
        <f>I6/I5-1</f>
        <v>8.5171601034780053E-2</v>
      </c>
      <c r="K6" s="441">
        <v>136553</v>
      </c>
      <c r="L6" s="442">
        <f>K6/K5-1</f>
        <v>-7.871407367426797E-2</v>
      </c>
      <c r="M6" s="441">
        <v>218706</v>
      </c>
      <c r="N6" s="442">
        <f>M6/M5-1</f>
        <v>4.2673595385092078E-2</v>
      </c>
      <c r="O6" s="677">
        <f t="shared" si="1"/>
        <v>1299087</v>
      </c>
      <c r="P6" s="680">
        <f>O6/O5-1</f>
        <v>5.8125394530534225E-2</v>
      </c>
      <c r="Q6" s="679">
        <f t="shared" si="2"/>
        <v>29.405079336336268</v>
      </c>
      <c r="R6" s="22"/>
      <c r="S6" s="486"/>
      <c r="T6" s="539"/>
      <c r="U6" s="29"/>
    </row>
    <row r="7" spans="1:23" ht="15" customHeight="1">
      <c r="A7" s="903" t="s">
        <v>946</v>
      </c>
      <c r="B7" s="1545">
        <v>46674</v>
      </c>
      <c r="C7" s="1546">
        <f>B7/B6-1</f>
        <v>6.8495032278741874E-2</v>
      </c>
      <c r="D7" s="1545">
        <v>469</v>
      </c>
      <c r="E7" s="1546">
        <f>D7/D6-1</f>
        <v>0.12200956937799035</v>
      </c>
      <c r="F7" s="1545">
        <v>79</v>
      </c>
      <c r="G7" s="681">
        <f t="shared" si="0"/>
        <v>47222</v>
      </c>
      <c r="H7" s="868">
        <f>G7/G6-1</f>
        <v>6.8878879105457314E-2</v>
      </c>
      <c r="I7" s="441">
        <v>998526</v>
      </c>
      <c r="J7" s="442">
        <f>I7/I6-1</f>
        <v>5.7953355908068049E-2</v>
      </c>
      <c r="K7" s="441">
        <v>143174</v>
      </c>
      <c r="L7" s="442">
        <f>K7/K6-1</f>
        <v>4.8486668180120596E-2</v>
      </c>
      <c r="M7" s="441">
        <v>226090</v>
      </c>
      <c r="N7" s="442">
        <f>M7/M6-1</f>
        <v>3.3762219600742549E-2</v>
      </c>
      <c r="O7" s="677">
        <f t="shared" si="1"/>
        <v>1367790</v>
      </c>
      <c r="P7" s="680">
        <f>O7/O6-1</f>
        <v>5.2885603504615242E-2</v>
      </c>
      <c r="Q7" s="679">
        <f t="shared" si="2"/>
        <v>28.965101012240059</v>
      </c>
      <c r="R7" s="22"/>
      <c r="S7" s="539"/>
      <c r="T7" s="504"/>
      <c r="U7" s="29"/>
    </row>
    <row r="8" spans="1:23" ht="13.5" customHeight="1">
      <c r="A8" s="903" t="s">
        <v>1060</v>
      </c>
      <c r="B8" s="1545">
        <v>50784</v>
      </c>
      <c r="C8" s="1546">
        <f>B8/B7-1</f>
        <v>8.8057590949993658E-2</v>
      </c>
      <c r="D8" s="1545">
        <v>488</v>
      </c>
      <c r="E8" s="1546">
        <f>D8/D7-1</f>
        <v>4.051172707889128E-2</v>
      </c>
      <c r="F8" s="1545">
        <v>79</v>
      </c>
      <c r="G8" s="681">
        <f t="shared" si="0"/>
        <v>51351</v>
      </c>
      <c r="H8" s="868">
        <f>G8/G7-1</f>
        <v>8.743805853204023E-2</v>
      </c>
      <c r="I8" s="1545">
        <v>1036568</v>
      </c>
      <c r="J8" s="1546">
        <f>I8/I7-1</f>
        <v>3.8098156682950579E-2</v>
      </c>
      <c r="K8" s="1545">
        <v>157207</v>
      </c>
      <c r="L8" s="1546">
        <f>K8/K7-1</f>
        <v>9.8013605822286243E-2</v>
      </c>
      <c r="M8" s="1545">
        <v>236498</v>
      </c>
      <c r="N8" s="1546">
        <f>M8/M7-1</f>
        <v>4.603476491662617E-2</v>
      </c>
      <c r="O8" s="677">
        <f t="shared" si="1"/>
        <v>1430273</v>
      </c>
      <c r="P8" s="680">
        <f>O8/O7-1</f>
        <v>4.5681720147098703E-2</v>
      </c>
      <c r="Q8" s="679">
        <f t="shared" si="2"/>
        <v>27.852875309146853</v>
      </c>
      <c r="R8" s="486"/>
      <c r="T8" s="504"/>
    </row>
    <row r="9" spans="1:23" ht="17.25" customHeight="1">
      <c r="A9" s="903" t="s">
        <v>1644</v>
      </c>
      <c r="B9" s="1545">
        <v>58768</v>
      </c>
      <c r="C9" s="1546">
        <f>B9/B8-1</f>
        <v>0.15721487082545682</v>
      </c>
      <c r="D9" s="1545">
        <v>489</v>
      </c>
      <c r="E9" s="1546">
        <f>D9/D8-1</f>
        <v>2.049180327868827E-3</v>
      </c>
      <c r="F9" s="1545">
        <v>78</v>
      </c>
      <c r="G9" s="681">
        <f t="shared" si="0"/>
        <v>59335</v>
      </c>
      <c r="H9" s="868">
        <f>G9/G8-1</f>
        <v>0.15547895854024274</v>
      </c>
      <c r="I9" s="1545">
        <v>1112920</v>
      </c>
      <c r="J9" s="1546">
        <f>I9/I8-1</f>
        <v>7.3658457525217935E-2</v>
      </c>
      <c r="K9" s="1545">
        <v>167156</v>
      </c>
      <c r="L9" s="1546">
        <f>K9/K8-1</f>
        <v>6.3285985992990179E-2</v>
      </c>
      <c r="M9" s="1545">
        <v>250246</v>
      </c>
      <c r="N9" s="1546">
        <f>M9/M8-1</f>
        <v>5.8131569823000717E-2</v>
      </c>
      <c r="O9" s="677">
        <f t="shared" si="1"/>
        <v>1530322</v>
      </c>
      <c r="P9" s="680">
        <f>O9/O8-1</f>
        <v>6.9950981386071032E-2</v>
      </c>
      <c r="Q9" s="679">
        <f t="shared" si="2"/>
        <v>25.791219347771129</v>
      </c>
      <c r="R9" s="486"/>
    </row>
    <row r="10" spans="1:23" ht="16.5" customHeight="1">
      <c r="A10" s="903" t="s">
        <v>1927</v>
      </c>
      <c r="B10" s="1545">
        <v>65073</v>
      </c>
      <c r="C10" s="1546"/>
      <c r="D10" s="1545">
        <v>519</v>
      </c>
      <c r="E10" s="1546"/>
      <c r="F10" s="1545">
        <v>74</v>
      </c>
      <c r="G10" s="681">
        <f t="shared" si="0"/>
        <v>65666</v>
      </c>
      <c r="H10" s="868"/>
      <c r="I10" s="1545">
        <v>1193568</v>
      </c>
      <c r="J10" s="1546"/>
      <c r="K10" s="1545">
        <v>176595</v>
      </c>
      <c r="L10" s="1546"/>
      <c r="M10" s="1545">
        <v>281039</v>
      </c>
      <c r="N10" s="1546"/>
      <c r="O10" s="677">
        <f t="shared" si="1"/>
        <v>1651202</v>
      </c>
      <c r="P10" s="680"/>
      <c r="Q10" s="679">
        <f>O10/G10</f>
        <v>25.145463405719855</v>
      </c>
      <c r="R10" s="29"/>
      <c r="T10" s="504"/>
    </row>
    <row r="11" spans="1:23" ht="19.5" customHeight="1">
      <c r="A11" s="151"/>
      <c r="B11" s="155"/>
      <c r="C11" s="155"/>
      <c r="D11" s="155"/>
      <c r="E11" s="155"/>
      <c r="F11" s="155"/>
      <c r="G11" s="151"/>
      <c r="I11" s="117"/>
      <c r="J11" s="117"/>
      <c r="K11" s="117"/>
      <c r="L11" s="117"/>
      <c r="M11" s="117"/>
      <c r="N11" s="117"/>
    </row>
    <row r="12" spans="1:23" ht="19.5" customHeight="1"/>
    <row r="13" spans="1:23" ht="19.5" customHeight="1">
      <c r="S13" s="505"/>
      <c r="T13" s="506"/>
    </row>
    <row r="14" spans="1:23" ht="19.5" customHeight="1">
      <c r="S14" s="505"/>
      <c r="T14" s="505"/>
    </row>
    <row r="15" spans="1:23" ht="19.5" customHeight="1">
      <c r="T15" s="505"/>
    </row>
    <row r="16" spans="1:23" ht="19.5" customHeight="1">
      <c r="T16" s="505"/>
    </row>
    <row r="17" spans="19:20" ht="19.5" customHeight="1">
      <c r="S17" s="504"/>
      <c r="T17" s="505"/>
    </row>
    <row r="18" spans="19:20" ht="19.5" customHeight="1">
      <c r="S18" s="504"/>
    </row>
    <row r="19" spans="19:20" ht="19.5" customHeight="1">
      <c r="S19" s="504"/>
    </row>
    <row r="20" spans="19:20" ht="19.5" customHeight="1"/>
    <row r="21" spans="19:20" ht="19.5" customHeight="1"/>
    <row r="22" spans="19:20" ht="19.5" customHeight="1">
      <c r="S22" s="504"/>
    </row>
    <row r="23" spans="19:20" ht="19.5" customHeight="1"/>
    <row r="24" spans="19:20" ht="19.5" customHeight="1"/>
    <row r="25" spans="19:20" ht="19.5" customHeight="1"/>
    <row r="26" spans="19:20" ht="19.5" customHeight="1"/>
    <row r="27" spans="19:20" ht="19.5" customHeight="1"/>
    <row r="28" spans="19:20" ht="19.5" customHeight="1"/>
    <row r="29" spans="19:20" ht="19.5" customHeight="1"/>
    <row r="30" spans="19:20" ht="19.5" customHeight="1"/>
    <row r="31" spans="19:20" ht="19.5" customHeight="1"/>
    <row r="32" spans="19:20" ht="19.5" customHeight="1"/>
    <row r="33" ht="19.5" customHeight="1"/>
    <row r="34" ht="19.5" customHeight="1"/>
    <row r="35" ht="19.5" customHeight="1"/>
    <row r="36" ht="19.5" customHeight="1"/>
    <row r="37" ht="19.5" customHeight="1"/>
    <row r="38" ht="19.5" customHeight="1"/>
    <row r="39" ht="19.5" customHeight="1"/>
    <row r="40" ht="19.5" customHeight="1"/>
    <row r="42" ht="15"/>
    <row r="43" ht="15"/>
    <row r="44" ht="15"/>
    <row r="45" ht="15"/>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0" orientation="landscape" r:id="rId1"/>
  <rowBreaks count="1" manualBreakCount="1">
    <brk id="3" max="19" man="1"/>
  </row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6" tint="-0.249977111117893"/>
  </sheetPr>
  <dimension ref="A1:L32"/>
  <sheetViews>
    <sheetView showGridLines="0" view="pageBreakPreview" zoomScale="70" zoomScaleNormal="70" zoomScaleSheetLayoutView="70" workbookViewId="0">
      <selection activeCell="G6" sqref="G6"/>
    </sheetView>
  </sheetViews>
  <sheetFormatPr baseColWidth="10" defaultColWidth="11.42578125" defaultRowHeight="19.5" customHeight="1"/>
  <cols>
    <col min="1" max="1" width="17.85546875" style="59" customWidth="1"/>
    <col min="2" max="2" width="18.42578125" style="59" customWidth="1"/>
    <col min="3" max="3" width="17.42578125" style="59" bestFit="1" customWidth="1"/>
    <col min="4" max="4" width="23.140625" style="59" customWidth="1"/>
    <col min="5" max="5" width="21.85546875" style="59" customWidth="1"/>
    <col min="6" max="6" width="19.5703125" style="59" customWidth="1"/>
    <col min="7" max="7" width="15" style="59" customWidth="1"/>
    <col min="8" max="8" width="14.7109375" style="59" customWidth="1"/>
    <col min="9" max="9" width="13.28515625" style="59" customWidth="1"/>
    <col min="10" max="10" width="11.42578125" style="59"/>
    <col min="11" max="11" width="14" style="59" customWidth="1"/>
    <col min="12" max="12" width="12.140625" style="59" customWidth="1"/>
    <col min="13" max="13" width="13.42578125" style="59" bestFit="1" customWidth="1"/>
    <col min="14" max="16384" width="11.42578125" style="59"/>
  </cols>
  <sheetData>
    <row r="1" spans="1:12" s="128" customFormat="1" ht="60.75" customHeight="1">
      <c r="A1" s="2598" t="s">
        <v>954</v>
      </c>
      <c r="B1" s="2598"/>
      <c r="C1" s="2598"/>
      <c r="D1" s="2598"/>
      <c r="E1" s="2598"/>
      <c r="F1" s="2598"/>
      <c r="G1" s="2598"/>
      <c r="H1" s="2598"/>
      <c r="I1" s="2598"/>
      <c r="J1" s="2598"/>
      <c r="K1" s="2598"/>
      <c r="L1" s="2598"/>
    </row>
    <row r="2" spans="1:12" ht="4.5" customHeight="1">
      <c r="A2" s="149"/>
      <c r="B2" s="149"/>
      <c r="C2" s="149"/>
      <c r="D2" s="149"/>
      <c r="E2" s="149"/>
      <c r="F2" s="149"/>
      <c r="G2" s="590"/>
      <c r="H2" s="590"/>
      <c r="I2" s="590"/>
      <c r="J2" s="590"/>
      <c r="K2" s="590"/>
      <c r="L2" s="590"/>
    </row>
    <row r="3" spans="1:12" ht="42">
      <c r="A3" s="1240" t="s">
        <v>52</v>
      </c>
      <c r="B3" s="1241" t="s">
        <v>166</v>
      </c>
      <c r="C3" s="1241" t="s">
        <v>263</v>
      </c>
      <c r="D3" s="1241" t="s">
        <v>367</v>
      </c>
      <c r="E3" s="76"/>
      <c r="F3" s="76"/>
      <c r="G3" s="76"/>
      <c r="H3" s="76"/>
      <c r="I3" s="76"/>
      <c r="J3" s="76"/>
      <c r="K3" s="76"/>
      <c r="L3" s="76"/>
    </row>
    <row r="4" spans="1:12" ht="19.5" customHeight="1">
      <c r="A4" s="1242">
        <v>2008</v>
      </c>
      <c r="B4" s="1243">
        <v>107</v>
      </c>
      <c r="C4" s="1244">
        <v>36</v>
      </c>
      <c r="D4" s="1245">
        <f t="shared" ref="D4:D9" si="0">C4/B4</f>
        <v>0.3364485981308411</v>
      </c>
      <c r="E4" s="76"/>
      <c r="F4" s="128"/>
      <c r="G4" s="76"/>
      <c r="H4" s="76"/>
      <c r="I4" s="76"/>
      <c r="J4" s="76"/>
      <c r="K4" s="76"/>
      <c r="L4" s="76"/>
    </row>
    <row r="5" spans="1:12" ht="19.5" customHeight="1">
      <c r="A5" s="1239">
        <v>2009</v>
      </c>
      <c r="B5" s="1243">
        <v>1018</v>
      </c>
      <c r="C5" s="1244">
        <v>828</v>
      </c>
      <c r="D5" s="1245">
        <f t="shared" si="0"/>
        <v>0.81335952848722981</v>
      </c>
      <c r="E5" s="76"/>
      <c r="F5" s="76"/>
      <c r="G5" s="76"/>
      <c r="H5" s="76"/>
      <c r="I5" s="76"/>
      <c r="J5" s="76"/>
      <c r="K5" s="76"/>
      <c r="L5" s="76"/>
    </row>
    <row r="6" spans="1:12" ht="19.5" customHeight="1">
      <c r="A6" s="1239">
        <v>2010</v>
      </c>
      <c r="B6" s="1243">
        <v>1500</v>
      </c>
      <c r="C6" s="1246">
        <v>1062</v>
      </c>
      <c r="D6" s="1245">
        <f t="shared" si="0"/>
        <v>0.70799999999999996</v>
      </c>
      <c r="E6" s="76"/>
      <c r="F6" s="76"/>
      <c r="G6" s="76"/>
      <c r="H6" s="76"/>
      <c r="I6" s="76"/>
      <c r="J6" s="76"/>
      <c r="K6" s="76"/>
      <c r="L6" s="76"/>
    </row>
    <row r="7" spans="1:12" ht="21.75" customHeight="1">
      <c r="A7" s="1239">
        <v>2011</v>
      </c>
      <c r="B7" s="1243">
        <v>2058</v>
      </c>
      <c r="C7" s="1246">
        <v>1076</v>
      </c>
      <c r="D7" s="1245">
        <f t="shared" si="0"/>
        <v>0.52283770651117589</v>
      </c>
      <c r="E7" s="76"/>
      <c r="F7" s="76"/>
      <c r="G7" s="76"/>
      <c r="H7" s="76"/>
      <c r="I7" s="76"/>
      <c r="J7" s="76"/>
      <c r="K7" s="76"/>
      <c r="L7" s="76"/>
    </row>
    <row r="8" spans="1:12" ht="21.75" customHeight="1">
      <c r="A8" s="1239" t="s">
        <v>943</v>
      </c>
      <c r="B8" s="1243">
        <f>109+165+194</f>
        <v>468</v>
      </c>
      <c r="C8" s="1246">
        <f>104+95+126</f>
        <v>325</v>
      </c>
      <c r="D8" s="1245">
        <f t="shared" si="0"/>
        <v>0.69444444444444442</v>
      </c>
      <c r="E8" s="149"/>
      <c r="F8" s="149"/>
      <c r="G8" s="149"/>
      <c r="H8" s="149"/>
      <c r="I8" s="149"/>
      <c r="J8" s="149"/>
      <c r="K8" s="149"/>
      <c r="L8" s="149"/>
    </row>
    <row r="9" spans="1:12" ht="19.5" customHeight="1">
      <c r="A9" s="1239" t="s">
        <v>167</v>
      </c>
      <c r="B9" s="1247">
        <f>SUM(B4:B8)</f>
        <v>5151</v>
      </c>
      <c r="C9" s="1247">
        <f>SUM(C4:C8)</f>
        <v>3327</v>
      </c>
      <c r="D9" s="1248">
        <f t="shared" si="0"/>
        <v>0.64589400116482232</v>
      </c>
      <c r="E9" s="120"/>
      <c r="F9" s="76"/>
      <c r="G9" s="76"/>
      <c r="H9" s="76"/>
      <c r="I9" s="76"/>
      <c r="J9" s="76"/>
      <c r="K9" s="76"/>
      <c r="L9" s="76"/>
    </row>
    <row r="10" spans="1:12" ht="19.5" customHeight="1">
      <c r="A10" s="76"/>
      <c r="B10" s="76"/>
      <c r="C10" s="131"/>
      <c r="D10" s="131"/>
      <c r="E10" s="76"/>
      <c r="F10" s="76"/>
      <c r="G10" s="76"/>
      <c r="H10" s="76"/>
      <c r="I10" s="76"/>
      <c r="J10" s="76"/>
      <c r="K10" s="76"/>
      <c r="L10" s="76"/>
    </row>
    <row r="11" spans="1:12" ht="19.5" customHeight="1">
      <c r="A11" s="76"/>
      <c r="B11" s="76"/>
      <c r="C11" s="76"/>
      <c r="D11" s="76"/>
      <c r="E11" s="76"/>
      <c r="F11" s="76"/>
      <c r="G11" s="76"/>
      <c r="H11" s="76"/>
      <c r="I11" s="76"/>
      <c r="J11" s="76"/>
      <c r="K11" s="76"/>
      <c r="L11" s="76"/>
    </row>
    <row r="12" spans="1:12" ht="19.5" customHeight="1">
      <c r="A12" s="76"/>
      <c r="B12" s="76"/>
      <c r="C12" s="76"/>
      <c r="D12" s="76"/>
      <c r="E12" s="76"/>
      <c r="F12" s="76"/>
      <c r="G12" s="76"/>
      <c r="H12" s="76"/>
      <c r="I12" s="76"/>
      <c r="J12" s="76"/>
      <c r="K12" s="76"/>
      <c r="L12" s="76"/>
    </row>
    <row r="13" spans="1:12" ht="19.5" customHeight="1">
      <c r="A13" s="68"/>
      <c r="B13" s="68"/>
      <c r="C13" s="77"/>
      <c r="D13" s="68"/>
      <c r="E13" s="68"/>
      <c r="F13" s="68"/>
      <c r="G13" s="68"/>
      <c r="H13" s="68"/>
      <c r="I13" s="68"/>
      <c r="J13" s="68"/>
      <c r="K13" s="68"/>
      <c r="L13" s="68"/>
    </row>
    <row r="14" spans="1:12" ht="19.5" customHeight="1">
      <c r="A14" s="68"/>
      <c r="B14" s="68"/>
      <c r="C14" s="68"/>
      <c r="D14" s="68"/>
      <c r="E14" s="68"/>
      <c r="F14" s="68"/>
      <c r="G14" s="68"/>
      <c r="H14" s="68"/>
      <c r="I14" s="68"/>
      <c r="J14" s="68"/>
      <c r="K14" s="68"/>
      <c r="L14" s="68"/>
    </row>
    <row r="15" spans="1:12" ht="19.5" customHeight="1">
      <c r="A15" s="68"/>
      <c r="B15" s="68"/>
      <c r="C15" s="68"/>
      <c r="D15" s="68"/>
      <c r="E15" s="68"/>
      <c r="F15" s="68"/>
      <c r="G15" s="68"/>
      <c r="H15" s="68"/>
      <c r="I15" s="68"/>
      <c r="J15" s="68"/>
      <c r="K15" s="68"/>
      <c r="L15" s="68"/>
    </row>
    <row r="16" spans="1:12" ht="19.5" customHeight="1">
      <c r="A16" s="68"/>
      <c r="B16" s="68"/>
      <c r="C16" s="68"/>
      <c r="D16" s="68"/>
      <c r="E16" s="68"/>
      <c r="F16" s="68"/>
      <c r="G16" s="68"/>
      <c r="H16" s="68"/>
      <c r="I16" s="68"/>
      <c r="J16" s="68"/>
      <c r="K16" s="68"/>
      <c r="L16" s="68"/>
    </row>
    <row r="17" spans="1:12" ht="19.5" customHeight="1">
      <c r="A17" s="68"/>
      <c r="B17" s="68"/>
      <c r="C17" s="68"/>
      <c r="D17" s="68"/>
      <c r="E17" s="68"/>
      <c r="F17" s="68"/>
      <c r="G17" s="68"/>
      <c r="H17" s="68"/>
      <c r="I17" s="68"/>
      <c r="J17" s="68"/>
      <c r="K17" s="68"/>
      <c r="L17" s="68"/>
    </row>
    <row r="18" spans="1:12" ht="19.5" customHeight="1">
      <c r="A18" s="68"/>
      <c r="B18" s="68"/>
      <c r="C18" s="68"/>
      <c r="D18" s="68"/>
      <c r="E18" s="68"/>
      <c r="F18" s="68"/>
      <c r="G18" s="68"/>
      <c r="H18" s="68"/>
      <c r="I18" s="68"/>
      <c r="J18" s="68"/>
      <c r="K18" s="68"/>
      <c r="L18" s="68"/>
    </row>
    <row r="19" spans="1:12" ht="19.5" customHeight="1">
      <c r="A19" s="68"/>
      <c r="B19" s="68"/>
      <c r="C19" s="68"/>
      <c r="D19" s="68"/>
      <c r="E19" s="68"/>
      <c r="F19" s="68"/>
      <c r="G19" s="68"/>
      <c r="H19" s="68"/>
      <c r="I19" s="68"/>
      <c r="J19" s="68"/>
      <c r="K19" s="68"/>
      <c r="L19" s="68"/>
    </row>
    <row r="20" spans="1:12" ht="19.5" customHeight="1">
      <c r="A20" s="68"/>
      <c r="B20" s="68"/>
      <c r="C20" s="68"/>
      <c r="D20" s="68"/>
      <c r="E20" s="68"/>
      <c r="F20" s="68"/>
      <c r="G20" s="68"/>
      <c r="H20" s="68"/>
      <c r="I20" s="68"/>
      <c r="J20" s="68"/>
      <c r="K20" s="68"/>
      <c r="L20" s="68"/>
    </row>
    <row r="21" spans="1:12" ht="19.5" customHeight="1">
      <c r="A21" s="68"/>
      <c r="B21" s="68"/>
      <c r="C21" s="68"/>
      <c r="D21" s="68"/>
      <c r="E21" s="68"/>
      <c r="F21" s="68"/>
      <c r="G21" s="68"/>
      <c r="H21" s="68"/>
      <c r="I21" s="68"/>
      <c r="J21" s="68"/>
      <c r="K21" s="68"/>
      <c r="L21" s="68"/>
    </row>
    <row r="22" spans="1:12" ht="19.5" customHeight="1">
      <c r="A22" s="68"/>
      <c r="B22" s="68"/>
      <c r="C22" s="68"/>
      <c r="D22" s="68"/>
      <c r="E22" s="68"/>
      <c r="F22" s="68"/>
      <c r="G22" s="68"/>
      <c r="H22" s="68"/>
      <c r="I22" s="68"/>
      <c r="J22" s="68"/>
      <c r="K22" s="68"/>
      <c r="L22" s="68"/>
    </row>
    <row r="23" spans="1:12" ht="19.5" customHeight="1">
      <c r="A23" s="68"/>
      <c r="B23" s="68"/>
      <c r="C23" s="68"/>
      <c r="D23" s="68"/>
      <c r="E23" s="68"/>
      <c r="F23" s="68"/>
      <c r="G23" s="68"/>
      <c r="H23" s="68"/>
      <c r="I23" s="68"/>
      <c r="J23" s="68"/>
      <c r="K23" s="68"/>
      <c r="L23" s="68"/>
    </row>
    <row r="24" spans="1:12" ht="19.5" customHeight="1">
      <c r="A24" s="68"/>
      <c r="B24" s="68"/>
      <c r="C24" s="68"/>
      <c r="D24" s="68"/>
      <c r="E24" s="68"/>
      <c r="F24" s="68"/>
      <c r="G24" s="68"/>
      <c r="H24" s="68"/>
      <c r="I24" s="68"/>
      <c r="J24" s="68"/>
      <c r="K24" s="68"/>
      <c r="L24" s="68"/>
    </row>
    <row r="25" spans="1:12" ht="19.5" customHeight="1">
      <c r="A25" s="68"/>
      <c r="B25" s="68"/>
      <c r="C25" s="68"/>
      <c r="D25" s="68"/>
      <c r="E25" s="68"/>
      <c r="F25" s="68"/>
      <c r="G25" s="68"/>
      <c r="H25" s="68"/>
      <c r="I25" s="68"/>
      <c r="J25" s="68"/>
      <c r="K25" s="68"/>
      <c r="L25" s="68"/>
    </row>
    <row r="26" spans="1:12" ht="19.5" customHeight="1">
      <c r="A26" s="68"/>
      <c r="B26" s="68"/>
      <c r="C26" s="68"/>
      <c r="D26" s="68"/>
      <c r="E26" s="68"/>
      <c r="F26" s="68"/>
      <c r="G26" s="68"/>
      <c r="H26" s="68"/>
      <c r="I26" s="68"/>
      <c r="J26" s="68"/>
      <c r="K26" s="68"/>
      <c r="L26" s="68"/>
    </row>
    <row r="27" spans="1:12" ht="19.5" customHeight="1">
      <c r="A27" s="68"/>
      <c r="B27" s="68"/>
      <c r="C27" s="68"/>
      <c r="D27" s="68"/>
      <c r="E27" s="68"/>
      <c r="F27" s="68"/>
      <c r="G27" s="68"/>
      <c r="H27" s="68"/>
      <c r="I27" s="68"/>
      <c r="J27" s="68"/>
      <c r="K27" s="68"/>
      <c r="L27" s="68"/>
    </row>
    <row r="28" spans="1:12" ht="19.5" customHeight="1">
      <c r="A28" s="68"/>
      <c r="B28" s="68"/>
      <c r="C28" s="68"/>
      <c r="D28" s="68"/>
      <c r="E28" s="68"/>
      <c r="F28" s="68"/>
      <c r="G28" s="68"/>
      <c r="H28" s="68"/>
      <c r="I28" s="68"/>
      <c r="J28" s="68"/>
      <c r="K28" s="68"/>
      <c r="L28" s="68"/>
    </row>
    <row r="29" spans="1:12" ht="19.5" customHeight="1">
      <c r="A29" s="68"/>
      <c r="B29" s="68"/>
      <c r="C29" s="68"/>
      <c r="D29" s="68"/>
      <c r="E29" s="68"/>
      <c r="F29" s="68"/>
      <c r="G29" s="68"/>
      <c r="H29" s="68"/>
      <c r="I29" s="68"/>
      <c r="J29" s="68"/>
      <c r="K29" s="68"/>
      <c r="L29" s="68"/>
    </row>
    <row r="30" spans="1:12" ht="19.5" customHeight="1">
      <c r="A30" s="68"/>
      <c r="B30" s="68"/>
      <c r="C30" s="68"/>
      <c r="D30" s="68"/>
      <c r="E30" s="68"/>
      <c r="F30" s="68"/>
      <c r="G30" s="68"/>
      <c r="H30" s="68"/>
      <c r="I30" s="68"/>
      <c r="J30" s="68"/>
      <c r="K30" s="68"/>
      <c r="L30" s="68"/>
    </row>
    <row r="31" spans="1:12" ht="19.5" customHeight="1">
      <c r="A31" s="68"/>
      <c r="B31" s="68"/>
      <c r="C31" s="68"/>
      <c r="D31" s="68"/>
      <c r="E31" s="68"/>
      <c r="F31" s="68"/>
      <c r="G31" s="68"/>
      <c r="H31" s="68"/>
      <c r="I31" s="68"/>
      <c r="J31" s="68"/>
      <c r="K31" s="68"/>
      <c r="L31" s="68"/>
    </row>
    <row r="32" spans="1:12" ht="19.5" customHeight="1">
      <c r="A32" s="68"/>
      <c r="B32" s="68"/>
      <c r="C32" s="68"/>
      <c r="D32" s="68"/>
      <c r="E32" s="68"/>
      <c r="F32" s="68"/>
      <c r="G32" s="68"/>
      <c r="H32" s="68"/>
      <c r="I32" s="68"/>
      <c r="J32" s="68"/>
      <c r="K32" s="68"/>
      <c r="L32" s="68"/>
    </row>
  </sheetData>
  <mergeCells count="1">
    <mergeCell ref="A1:L1"/>
  </mergeCells>
  <printOptions horizontalCentered="1"/>
  <pageMargins left="0.39370078740157483" right="0.39370078740157483" top="0.39370078740157483" bottom="0.23622047244094491" header="0.35433070866141736" footer="0.31496062992125984"/>
  <pageSetup scale="65"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33"/>
  <sheetViews>
    <sheetView showGridLines="0" view="pageBreakPreview" zoomScale="70" zoomScaleNormal="70" zoomScaleSheetLayoutView="70" workbookViewId="0">
      <selection activeCell="H6" sqref="H6"/>
    </sheetView>
  </sheetViews>
  <sheetFormatPr baseColWidth="10" defaultColWidth="11.42578125" defaultRowHeight="19.5" customHeight="1"/>
  <cols>
    <col min="1" max="1" width="19.28515625" style="1262" customWidth="1"/>
    <col min="2" max="2" width="18.42578125" style="1262" customWidth="1"/>
    <col min="3" max="3" width="17.42578125" style="1262" bestFit="1" customWidth="1"/>
    <col min="4" max="4" width="23.140625" style="1262" customWidth="1"/>
    <col min="5" max="5" width="21.85546875" style="1262" customWidth="1"/>
    <col min="6" max="6" width="19.5703125" style="1262" customWidth="1"/>
    <col min="7" max="7" width="15" style="1262" customWidth="1"/>
    <col min="8" max="8" width="14.7109375" style="1262" customWidth="1"/>
    <col min="9" max="9" width="13.28515625" style="1262" customWidth="1"/>
    <col min="10" max="10" width="11.42578125" style="1262"/>
    <col min="11" max="11" width="14" style="1262" customWidth="1"/>
    <col min="12" max="12" width="12.140625" style="1262" customWidth="1"/>
    <col min="13" max="13" width="13.42578125" style="1262" bestFit="1" customWidth="1"/>
    <col min="14" max="16384" width="11.42578125" style="1262"/>
  </cols>
  <sheetData>
    <row r="1" spans="1:13" s="1273" customFormat="1" ht="60.75" customHeight="1">
      <c r="A1" s="2599" t="s">
        <v>1377</v>
      </c>
      <c r="B1" s="2599"/>
      <c r="C1" s="2599"/>
      <c r="D1" s="2599"/>
      <c r="E1" s="2599"/>
      <c r="F1" s="2599"/>
      <c r="G1" s="2599"/>
      <c r="H1" s="2599"/>
      <c r="I1" s="2599"/>
      <c r="J1" s="2599"/>
      <c r="K1" s="2599"/>
      <c r="L1" s="2599"/>
    </row>
    <row r="2" spans="1:13" ht="4.5" customHeight="1">
      <c r="A2" s="1264"/>
      <c r="B2" s="1264"/>
      <c r="C2" s="1264"/>
      <c r="D2" s="1264"/>
      <c r="E2" s="1264"/>
      <c r="F2" s="1264"/>
      <c r="G2" s="1277"/>
      <c r="H2" s="1277"/>
      <c r="I2" s="1277"/>
      <c r="J2" s="1277"/>
      <c r="K2" s="1277"/>
      <c r="L2" s="1277"/>
    </row>
    <row r="3" spans="1:13" ht="42">
      <c r="A3" s="1276" t="s">
        <v>52</v>
      </c>
      <c r="B3" s="1275" t="s">
        <v>166</v>
      </c>
      <c r="C3" s="1275" t="s">
        <v>263</v>
      </c>
      <c r="D3" s="1275" t="s">
        <v>367</v>
      </c>
      <c r="E3" s="1264"/>
      <c r="F3" s="1264"/>
      <c r="G3" s="1264"/>
      <c r="H3" s="1264"/>
      <c r="I3" s="1264"/>
      <c r="J3" s="1264"/>
      <c r="K3" s="1264"/>
      <c r="L3" s="1264"/>
    </row>
    <row r="4" spans="1:13" ht="19.5" customHeight="1">
      <c r="A4" s="1274">
        <v>2008</v>
      </c>
      <c r="B4" s="1270">
        <v>107</v>
      </c>
      <c r="C4" s="1272">
        <v>36</v>
      </c>
      <c r="D4" s="1245">
        <f t="shared" ref="D4:D10" si="0">C4/B4</f>
        <v>0.3364485981308411</v>
      </c>
      <c r="E4" s="1264"/>
      <c r="F4" s="1273"/>
      <c r="G4" s="1264"/>
      <c r="H4" s="1264"/>
      <c r="I4" s="1264"/>
      <c r="J4" s="1264"/>
      <c r="K4" s="1264"/>
      <c r="L4" s="1264"/>
    </row>
    <row r="5" spans="1:13" ht="19.5" customHeight="1">
      <c r="A5" s="1268">
        <v>2009</v>
      </c>
      <c r="B5" s="1270">
        <v>1018</v>
      </c>
      <c r="C5" s="1272">
        <v>828</v>
      </c>
      <c r="D5" s="1245">
        <f t="shared" si="0"/>
        <v>0.81335952848722981</v>
      </c>
      <c r="E5" s="1264"/>
      <c r="F5" s="1264"/>
      <c r="G5" s="1264"/>
      <c r="H5" s="1264"/>
      <c r="I5" s="1264"/>
      <c r="J5" s="1264"/>
      <c r="K5" s="1264"/>
      <c r="L5" s="1264"/>
    </row>
    <row r="6" spans="1:13" ht="19.5" customHeight="1">
      <c r="A6" s="1268">
        <v>2010</v>
      </c>
      <c r="B6" s="1270">
        <v>1500</v>
      </c>
      <c r="C6" s="1269">
        <v>1062</v>
      </c>
      <c r="D6" s="1245">
        <f t="shared" si="0"/>
        <v>0.70799999999999996</v>
      </c>
      <c r="E6" s="1264"/>
      <c r="F6" s="1264"/>
      <c r="G6" s="1264"/>
      <c r="H6" s="1264"/>
      <c r="I6" s="1264"/>
      <c r="J6" s="1264"/>
      <c r="K6" s="1264"/>
      <c r="L6" s="1264"/>
    </row>
    <row r="7" spans="1:13" ht="21.75" customHeight="1">
      <c r="A7" s="1268">
        <v>2011</v>
      </c>
      <c r="B7" s="1270">
        <v>2058</v>
      </c>
      <c r="C7" s="1269">
        <v>1076</v>
      </c>
      <c r="D7" s="1245">
        <f t="shared" si="0"/>
        <v>0.52283770651117589</v>
      </c>
      <c r="E7" s="1264"/>
      <c r="F7" s="1264"/>
      <c r="G7" s="1264"/>
      <c r="H7" s="1264"/>
      <c r="I7" s="1264"/>
      <c r="J7" s="1264"/>
      <c r="K7" s="1264"/>
      <c r="L7" s="1264"/>
    </row>
    <row r="8" spans="1:13" ht="21.75" customHeight="1">
      <c r="A8" s="1268">
        <v>2012</v>
      </c>
      <c r="B8" s="1270">
        <v>2036</v>
      </c>
      <c r="C8" s="1269">
        <v>1821</v>
      </c>
      <c r="D8" s="1245">
        <f t="shared" si="0"/>
        <v>0.89440078585461691</v>
      </c>
      <c r="E8" s="1264"/>
      <c r="F8" s="1264"/>
      <c r="G8" s="1264"/>
      <c r="H8" s="1264"/>
      <c r="I8" s="1264"/>
      <c r="J8" s="1264"/>
      <c r="K8" s="1264"/>
      <c r="L8" s="1264"/>
    </row>
    <row r="9" spans="1:13" ht="21.75" customHeight="1">
      <c r="A9" s="1271" t="s">
        <v>1332</v>
      </c>
      <c r="B9" s="1270">
        <v>837</v>
      </c>
      <c r="C9" s="1269">
        <v>795</v>
      </c>
      <c r="D9" s="1245">
        <f t="shared" si="0"/>
        <v>0.94982078853046592</v>
      </c>
      <c r="E9" s="1264"/>
      <c r="F9" s="1264"/>
      <c r="G9" s="1264"/>
      <c r="H9" s="1264"/>
      <c r="I9" s="1264"/>
      <c r="J9" s="1264"/>
      <c r="K9" s="1264"/>
      <c r="L9" s="1264"/>
    </row>
    <row r="10" spans="1:13" ht="19.5" customHeight="1">
      <c r="A10" s="1268" t="s">
        <v>167</v>
      </c>
      <c r="B10" s="1267">
        <f>SUM(B4:B9)</f>
        <v>7556</v>
      </c>
      <c r="C10" s="1267">
        <f>SUM(C4:C9)</f>
        <v>5618</v>
      </c>
      <c r="D10" s="1248">
        <f t="shared" si="0"/>
        <v>0.74351508734780303</v>
      </c>
      <c r="E10" s="1266"/>
      <c r="F10" s="1264"/>
      <c r="G10" s="1264"/>
      <c r="H10" s="1264"/>
      <c r="I10" s="1264"/>
      <c r="J10" s="1264"/>
      <c r="K10" s="1264"/>
      <c r="L10" s="1264"/>
    </row>
    <row r="11" spans="1:13" ht="19.5" customHeight="1">
      <c r="A11" s="1264"/>
      <c r="B11" s="1264"/>
      <c r="C11" s="1265"/>
      <c r="D11" s="1265"/>
      <c r="E11" s="1264"/>
      <c r="F11" s="1264"/>
      <c r="G11" s="1264"/>
      <c r="H11" s="1264"/>
      <c r="I11" s="1264"/>
      <c r="J11" s="1264"/>
      <c r="K11" s="1264"/>
      <c r="L11" s="1264"/>
    </row>
    <row r="12" spans="1:13" ht="19.5" customHeight="1">
      <c r="A12" s="1264"/>
      <c r="B12" s="1264"/>
      <c r="C12" s="1264"/>
      <c r="D12" s="1264"/>
      <c r="E12" s="1264"/>
      <c r="F12" s="1264"/>
      <c r="G12" s="1264"/>
      <c r="H12" s="1264"/>
      <c r="I12" s="1264"/>
      <c r="J12" s="1264"/>
      <c r="K12" s="1264"/>
      <c r="L12" s="1264"/>
    </row>
    <row r="13" spans="1:13" ht="19.5" customHeight="1">
      <c r="A13" s="1264"/>
      <c r="B13" s="1264"/>
      <c r="C13" s="1264"/>
      <c r="D13" s="1264"/>
      <c r="E13" s="1264"/>
      <c r="F13" s="1264"/>
      <c r="G13" s="1264"/>
      <c r="H13" s="1264"/>
      <c r="I13" s="1264"/>
      <c r="J13" s="1264"/>
      <c r="K13" s="1264"/>
      <c r="L13" s="1264"/>
    </row>
    <row r="14" spans="1:13" ht="19.5" customHeight="1">
      <c r="A14" s="1263"/>
      <c r="B14" s="1263"/>
      <c r="C14" s="77"/>
      <c r="D14" s="1263"/>
      <c r="E14" s="1263"/>
      <c r="F14" s="1263"/>
      <c r="G14" s="1263"/>
      <c r="H14" s="1263"/>
      <c r="I14" s="1263"/>
      <c r="J14" s="1263"/>
      <c r="K14" s="1263"/>
      <c r="L14" s="1263"/>
    </row>
    <row r="15" spans="1:13" ht="19.5" customHeight="1">
      <c r="A15" s="1263"/>
      <c r="B15" s="1263"/>
      <c r="C15" s="1263"/>
      <c r="D15" s="1263"/>
      <c r="E15" s="1263"/>
      <c r="F15" s="1263"/>
      <c r="G15" s="1263"/>
      <c r="H15" s="1263"/>
      <c r="I15" s="1263"/>
      <c r="J15" s="1263"/>
      <c r="K15" s="1263"/>
      <c r="L15" s="1263"/>
    </row>
    <row r="16" spans="1:13" ht="19.5" customHeight="1">
      <c r="A16" s="1263"/>
      <c r="B16" s="1263"/>
      <c r="C16" s="1263"/>
      <c r="D16" s="1263"/>
      <c r="E16" s="1263"/>
      <c r="F16" s="1263"/>
      <c r="G16" s="1263"/>
      <c r="H16" s="1263"/>
      <c r="I16" s="1263"/>
      <c r="J16" s="1263"/>
      <c r="K16" s="1263"/>
      <c r="L16" s="1263"/>
      <c r="M16" s="1262">
        <f>[11]Región1!C13-'VII.1 CMR '!C10</f>
        <v>0</v>
      </c>
    </row>
    <row r="17" spans="1:13" ht="19.5" customHeight="1">
      <c r="A17" s="1263"/>
      <c r="B17" s="1263"/>
      <c r="C17" s="1263"/>
      <c r="D17" s="1263"/>
      <c r="E17" s="1263"/>
      <c r="F17" s="1263"/>
      <c r="G17" s="1263"/>
      <c r="H17" s="1263"/>
      <c r="I17" s="1263"/>
      <c r="J17" s="1263"/>
      <c r="K17" s="1263"/>
      <c r="L17" s="1263"/>
      <c r="M17" s="1262">
        <f>[11]Región1!B13-'VII.1 CMR '!B10</f>
        <v>0</v>
      </c>
    </row>
    <row r="18" spans="1:13" ht="19.5" customHeight="1">
      <c r="A18" s="1263"/>
      <c r="B18" s="1263"/>
      <c r="C18" s="1263"/>
      <c r="D18" s="1263"/>
      <c r="E18" s="1263"/>
      <c r="F18" s="1263"/>
      <c r="G18" s="1263"/>
      <c r="H18" s="1263"/>
      <c r="I18" s="1263"/>
      <c r="J18" s="1263"/>
      <c r="K18" s="1263"/>
      <c r="L18" s="1263"/>
    </row>
    <row r="19" spans="1:13" ht="19.5" customHeight="1">
      <c r="A19" s="1263"/>
      <c r="B19" s="1263"/>
      <c r="C19" s="1263"/>
      <c r="D19" s="1263"/>
      <c r="E19" s="1263"/>
      <c r="F19" s="1263"/>
      <c r="G19" s="1263"/>
      <c r="H19" s="1263"/>
      <c r="I19" s="1263"/>
      <c r="J19" s="1263"/>
      <c r="K19" s="1263"/>
      <c r="L19" s="1263"/>
    </row>
    <row r="20" spans="1:13" ht="19.5" customHeight="1">
      <c r="A20" s="1263"/>
      <c r="B20" s="1263"/>
      <c r="C20" s="1263"/>
      <c r="D20" s="1263"/>
      <c r="E20" s="1263"/>
      <c r="F20" s="1263"/>
      <c r="G20" s="1263"/>
      <c r="H20" s="1263"/>
      <c r="I20" s="1263"/>
      <c r="J20" s="1263"/>
      <c r="K20" s="1263"/>
      <c r="L20" s="1263"/>
    </row>
    <row r="21" spans="1:13" ht="19.5" customHeight="1">
      <c r="A21" s="1263"/>
      <c r="B21" s="1263"/>
      <c r="C21" s="1263"/>
      <c r="D21" s="1263"/>
      <c r="E21" s="1263"/>
      <c r="F21" s="1263"/>
      <c r="G21" s="1263"/>
      <c r="H21" s="1263"/>
      <c r="I21" s="1263"/>
      <c r="J21" s="1263"/>
      <c r="K21" s="1263"/>
      <c r="L21" s="1263"/>
    </row>
    <row r="22" spans="1:13" ht="19.5" customHeight="1">
      <c r="A22" s="1263"/>
      <c r="B22" s="1263"/>
      <c r="C22" s="1263"/>
      <c r="D22" s="1263"/>
      <c r="E22" s="1263"/>
      <c r="F22" s="1263"/>
      <c r="G22" s="1263"/>
      <c r="H22" s="1263"/>
      <c r="I22" s="1263"/>
      <c r="J22" s="1263"/>
      <c r="K22" s="1263"/>
      <c r="L22" s="1263"/>
    </row>
    <row r="23" spans="1:13" ht="19.5" customHeight="1">
      <c r="A23" s="1263"/>
      <c r="B23" s="1263"/>
      <c r="C23" s="1263"/>
      <c r="D23" s="1263"/>
      <c r="E23" s="1263"/>
      <c r="F23" s="1263"/>
      <c r="G23" s="1263"/>
      <c r="H23" s="1263"/>
      <c r="I23" s="1263"/>
      <c r="J23" s="1263"/>
      <c r="K23" s="1263"/>
      <c r="L23" s="1263"/>
    </row>
    <row r="24" spans="1:13" ht="19.5" customHeight="1">
      <c r="A24" s="1263"/>
      <c r="B24" s="1263"/>
      <c r="C24" s="1263"/>
      <c r="D24" s="1263"/>
      <c r="E24" s="1263"/>
      <c r="F24" s="1263"/>
      <c r="G24" s="1263"/>
      <c r="H24" s="1263"/>
      <c r="I24" s="1263"/>
      <c r="J24" s="1263"/>
      <c r="K24" s="1263"/>
      <c r="L24" s="1263"/>
    </row>
    <row r="25" spans="1:13" ht="19.5" customHeight="1">
      <c r="A25" s="1263"/>
      <c r="B25" s="1263"/>
      <c r="C25" s="1263"/>
      <c r="D25" s="1263"/>
      <c r="E25" s="1263"/>
      <c r="F25" s="1263"/>
      <c r="G25" s="1263"/>
      <c r="H25" s="1263"/>
      <c r="I25" s="1263"/>
      <c r="J25" s="1263"/>
      <c r="K25" s="1263"/>
      <c r="L25" s="1263"/>
    </row>
    <row r="26" spans="1:13" ht="19.5" customHeight="1">
      <c r="A26" s="1263"/>
      <c r="B26" s="1263"/>
      <c r="C26" s="1263"/>
      <c r="D26" s="1263"/>
      <c r="E26" s="1263"/>
      <c r="F26" s="1263"/>
      <c r="G26" s="1263"/>
      <c r="H26" s="1263"/>
      <c r="I26" s="1263"/>
      <c r="J26" s="1263"/>
      <c r="K26" s="1263"/>
      <c r="L26" s="1263"/>
    </row>
    <row r="27" spans="1:13" ht="19.5" customHeight="1">
      <c r="A27" s="1263"/>
      <c r="B27" s="1263"/>
      <c r="C27" s="1263"/>
      <c r="D27" s="1263"/>
      <c r="E27" s="1263"/>
      <c r="F27" s="1263"/>
      <c r="G27" s="1263"/>
      <c r="H27" s="1263"/>
      <c r="I27" s="1263"/>
      <c r="J27" s="1263"/>
      <c r="K27" s="1263"/>
      <c r="L27" s="1263"/>
    </row>
    <row r="28" spans="1:13" ht="19.5" customHeight="1">
      <c r="A28" s="1263"/>
      <c r="B28" s="1263"/>
      <c r="C28" s="1263"/>
      <c r="D28" s="1263"/>
      <c r="E28" s="1263"/>
      <c r="F28" s="1263"/>
      <c r="G28" s="1263"/>
      <c r="H28" s="1263"/>
      <c r="I28" s="1263"/>
      <c r="J28" s="1263"/>
      <c r="K28" s="1263"/>
      <c r="L28" s="1263"/>
    </row>
    <row r="29" spans="1:13" ht="19.5" customHeight="1">
      <c r="A29" s="1263"/>
      <c r="B29" s="1263"/>
      <c r="C29" s="1263"/>
      <c r="D29" s="1263"/>
      <c r="E29" s="1263"/>
      <c r="F29" s="1263"/>
      <c r="G29" s="1263"/>
      <c r="H29" s="1263"/>
      <c r="I29" s="1263"/>
      <c r="J29" s="1263"/>
      <c r="K29" s="1263"/>
      <c r="L29" s="1263"/>
    </row>
    <row r="30" spans="1:13" ht="19.5" customHeight="1">
      <c r="A30" s="1263"/>
      <c r="B30" s="1263"/>
      <c r="C30" s="1263"/>
      <c r="D30" s="1263"/>
      <c r="E30" s="1263"/>
      <c r="F30" s="1263"/>
      <c r="G30" s="1263"/>
      <c r="H30" s="1263"/>
      <c r="I30" s="1263"/>
      <c r="J30" s="1263"/>
      <c r="K30" s="1263"/>
      <c r="L30" s="1263"/>
    </row>
    <row r="31" spans="1:13" ht="19.5" customHeight="1">
      <c r="A31" s="1263"/>
      <c r="B31" s="1263"/>
      <c r="C31" s="1263"/>
      <c r="D31" s="1263"/>
      <c r="E31" s="1263"/>
      <c r="F31" s="1263"/>
      <c r="G31" s="1263"/>
      <c r="H31" s="1263"/>
      <c r="I31" s="1263"/>
      <c r="J31" s="1263"/>
      <c r="K31" s="1263"/>
      <c r="L31" s="1263"/>
    </row>
    <row r="32" spans="1:13" ht="19.5" customHeight="1">
      <c r="A32" s="1263"/>
      <c r="B32" s="1263"/>
      <c r="C32" s="1263"/>
      <c r="D32" s="1263"/>
      <c r="E32" s="1263"/>
      <c r="F32" s="1263"/>
      <c r="G32" s="1263"/>
      <c r="H32" s="1263"/>
      <c r="I32" s="1263"/>
      <c r="J32" s="1263"/>
      <c r="K32" s="1263"/>
      <c r="L32" s="1263"/>
    </row>
    <row r="33" spans="1:12" ht="19.5" customHeight="1">
      <c r="A33" s="1263"/>
      <c r="B33" s="1263"/>
      <c r="C33" s="1263"/>
      <c r="D33" s="1263"/>
      <c r="E33" s="1263"/>
      <c r="F33" s="1263"/>
      <c r="G33" s="1263"/>
      <c r="H33" s="1263"/>
      <c r="I33" s="1263"/>
      <c r="J33" s="1263"/>
      <c r="K33" s="1263"/>
      <c r="L33" s="1263"/>
    </row>
  </sheetData>
  <mergeCells count="1">
    <mergeCell ref="A1:L1"/>
  </mergeCells>
  <printOptions horizontalCentered="1"/>
  <pageMargins left="0.39370078740157483" right="0.39370078740157483" top="0.39370078740157483" bottom="0.23622047244094491" header="0.35433070866141736" footer="0.31496062992125984"/>
  <pageSetup scale="65"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33"/>
  <sheetViews>
    <sheetView showGridLines="0" view="pageBreakPreview" zoomScale="70" zoomScaleNormal="70" zoomScaleSheetLayoutView="70" workbookViewId="0">
      <selection activeCell="O7" sqref="O7"/>
    </sheetView>
  </sheetViews>
  <sheetFormatPr baseColWidth="10" defaultColWidth="11.42578125" defaultRowHeight="19.5" customHeight="1"/>
  <cols>
    <col min="1" max="1" width="19.28515625" style="1262" customWidth="1"/>
    <col min="2" max="2" width="18.42578125" style="1262" customWidth="1"/>
    <col min="3" max="3" width="17.42578125" style="1262" bestFit="1" customWidth="1"/>
    <col min="4" max="4" width="23.140625" style="1262" customWidth="1"/>
    <col min="5" max="5" width="21.85546875" style="1262" customWidth="1"/>
    <col min="6" max="6" width="19.5703125" style="1262" customWidth="1"/>
    <col min="7" max="7" width="15" style="1262" customWidth="1"/>
    <col min="8" max="8" width="14.7109375" style="1262" customWidth="1"/>
    <col min="9" max="9" width="13.28515625" style="1262" customWidth="1"/>
    <col min="10" max="10" width="11.42578125" style="1262"/>
    <col min="11" max="11" width="14" style="1262" customWidth="1"/>
    <col min="12" max="12" width="12.140625" style="1262" customWidth="1"/>
    <col min="13" max="13" width="13.42578125" style="1262" bestFit="1" customWidth="1"/>
    <col min="14" max="16384" width="11.42578125" style="1262"/>
  </cols>
  <sheetData>
    <row r="1" spans="1:13" s="1273" customFormat="1" ht="60.75" customHeight="1">
      <c r="A1" s="2599" t="s">
        <v>1333</v>
      </c>
      <c r="B1" s="2599"/>
      <c r="C1" s="2599"/>
      <c r="D1" s="2599"/>
      <c r="E1" s="2599"/>
      <c r="F1" s="2599"/>
      <c r="G1" s="2599"/>
      <c r="H1" s="2599"/>
      <c r="I1" s="2599"/>
      <c r="J1" s="2599"/>
      <c r="K1" s="2599"/>
      <c r="L1" s="2599"/>
    </row>
    <row r="2" spans="1:13" ht="4.5" customHeight="1">
      <c r="A2" s="1264"/>
      <c r="B2" s="1264"/>
      <c r="C2" s="1264"/>
      <c r="D2" s="1264"/>
      <c r="E2" s="1264"/>
      <c r="F2" s="1264"/>
      <c r="G2" s="1277"/>
      <c r="H2" s="1277"/>
      <c r="I2" s="1277"/>
      <c r="J2" s="1277"/>
      <c r="K2" s="1277"/>
      <c r="L2" s="1277"/>
    </row>
    <row r="3" spans="1:13" ht="42">
      <c r="A3" s="1276" t="s">
        <v>52</v>
      </c>
      <c r="B3" s="1275" t="s">
        <v>166</v>
      </c>
      <c r="C3" s="1275" t="s">
        <v>263</v>
      </c>
      <c r="D3" s="1275" t="s">
        <v>367</v>
      </c>
      <c r="E3" s="1264"/>
      <c r="F3" s="1264"/>
      <c r="G3" s="1264"/>
      <c r="H3" s="1264"/>
      <c r="I3" s="1264"/>
      <c r="J3" s="1264"/>
      <c r="K3" s="1264"/>
      <c r="L3" s="1264"/>
    </row>
    <row r="4" spans="1:13" ht="19.5" customHeight="1">
      <c r="A4" s="1274">
        <v>2008</v>
      </c>
      <c r="B4" s="1270">
        <v>107</v>
      </c>
      <c r="C4" s="1272">
        <v>36</v>
      </c>
      <c r="D4" s="1245">
        <f t="shared" ref="D4:D10" si="0">C4/B4</f>
        <v>0.3364485981308411</v>
      </c>
      <c r="E4" s="1264"/>
      <c r="F4" s="1273"/>
      <c r="G4" s="1264"/>
      <c r="H4" s="1264"/>
      <c r="I4" s="1264"/>
      <c r="J4" s="1264"/>
      <c r="K4" s="1264"/>
      <c r="L4" s="1264"/>
    </row>
    <row r="5" spans="1:13" ht="19.5" customHeight="1">
      <c r="A5" s="1268">
        <v>2009</v>
      </c>
      <c r="B5" s="1270">
        <v>1018</v>
      </c>
      <c r="C5" s="1272">
        <v>828</v>
      </c>
      <c r="D5" s="1245">
        <f t="shared" si="0"/>
        <v>0.81335952848722981</v>
      </c>
      <c r="E5" s="1264"/>
      <c r="F5" s="1264"/>
      <c r="G5" s="1264"/>
      <c r="H5" s="1264"/>
      <c r="I5" s="1264"/>
      <c r="J5" s="1264"/>
      <c r="K5" s="1264"/>
      <c r="L5" s="1264"/>
    </row>
    <row r="6" spans="1:13" ht="19.5" customHeight="1">
      <c r="A6" s="1268">
        <v>2010</v>
      </c>
      <c r="B6" s="1270">
        <v>1500</v>
      </c>
      <c r="C6" s="1269">
        <v>1062</v>
      </c>
      <c r="D6" s="1245">
        <f t="shared" si="0"/>
        <v>0.70799999999999996</v>
      </c>
      <c r="E6" s="1264"/>
      <c r="F6" s="1264"/>
      <c r="G6" s="1264"/>
      <c r="H6" s="1264"/>
      <c r="I6" s="1264"/>
      <c r="J6" s="1264"/>
      <c r="K6" s="1264"/>
      <c r="L6" s="1264"/>
    </row>
    <row r="7" spans="1:13" ht="21.75" customHeight="1">
      <c r="A7" s="1268">
        <v>2011</v>
      </c>
      <c r="B7" s="1270">
        <v>2058</v>
      </c>
      <c r="C7" s="1269">
        <v>1076</v>
      </c>
      <c r="D7" s="1245">
        <f t="shared" si="0"/>
        <v>0.52283770651117589</v>
      </c>
      <c r="E7" s="1264"/>
      <c r="F7" s="1264"/>
      <c r="G7" s="1264"/>
      <c r="H7" s="1264"/>
      <c r="I7" s="1264"/>
      <c r="J7" s="1264"/>
      <c r="K7" s="1264"/>
      <c r="L7" s="1264"/>
    </row>
    <row r="8" spans="1:13" ht="21.75" customHeight="1">
      <c r="A8" s="1268">
        <v>2012</v>
      </c>
      <c r="B8" s="1270">
        <v>2036</v>
      </c>
      <c r="C8" s="1269">
        <v>1821</v>
      </c>
      <c r="D8" s="1245">
        <f t="shared" si="0"/>
        <v>0.89440078585461691</v>
      </c>
      <c r="E8" s="1264"/>
      <c r="F8" s="1264"/>
      <c r="G8" s="1264"/>
      <c r="H8" s="1264"/>
      <c r="I8" s="1264"/>
      <c r="J8" s="1264"/>
      <c r="K8" s="1264"/>
      <c r="L8" s="1264"/>
    </row>
    <row r="9" spans="1:13" ht="21.75" customHeight="1">
      <c r="A9" s="1271" t="s">
        <v>1332</v>
      </c>
      <c r="B9" s="1270">
        <v>837</v>
      </c>
      <c r="C9" s="1269">
        <v>795</v>
      </c>
      <c r="D9" s="1245">
        <f t="shared" si="0"/>
        <v>0.94982078853046592</v>
      </c>
      <c r="E9" s="1264"/>
      <c r="F9" s="1264"/>
      <c r="G9" s="1264"/>
      <c r="H9" s="1264"/>
      <c r="I9" s="1264"/>
      <c r="J9" s="1264"/>
      <c r="K9" s="1264"/>
      <c r="L9" s="1264"/>
    </row>
    <row r="10" spans="1:13" ht="19.5" customHeight="1">
      <c r="A10" s="1268" t="s">
        <v>167</v>
      </c>
      <c r="B10" s="1267">
        <f>SUM(B4:B9)</f>
        <v>7556</v>
      </c>
      <c r="C10" s="1267">
        <f>SUM(C4:C9)</f>
        <v>5618</v>
      </c>
      <c r="D10" s="1248">
        <f t="shared" si="0"/>
        <v>0.74351508734780303</v>
      </c>
      <c r="E10" s="1266"/>
      <c r="F10" s="1264"/>
      <c r="G10" s="1264"/>
      <c r="H10" s="1264"/>
      <c r="I10" s="1264"/>
      <c r="J10" s="1264"/>
      <c r="K10" s="1264"/>
      <c r="L10" s="1264"/>
    </row>
    <row r="11" spans="1:13" ht="19.5" customHeight="1">
      <c r="A11" s="1264"/>
      <c r="B11" s="1264"/>
      <c r="C11" s="1265"/>
      <c r="D11" s="1265"/>
      <c r="E11" s="1264"/>
      <c r="F11" s="1264"/>
      <c r="G11" s="1264"/>
      <c r="H11" s="1264"/>
      <c r="I11" s="1264"/>
      <c r="J11" s="1264"/>
      <c r="K11" s="1264"/>
      <c r="L11" s="1264"/>
    </row>
    <row r="12" spans="1:13" ht="19.5" customHeight="1">
      <c r="A12" s="1264"/>
      <c r="B12" s="1264"/>
      <c r="C12" s="1264"/>
      <c r="D12" s="1264"/>
      <c r="E12" s="1264"/>
      <c r="F12" s="1264"/>
      <c r="G12" s="1264"/>
      <c r="H12" s="1264"/>
      <c r="I12" s="1264"/>
      <c r="J12" s="1264"/>
      <c r="K12" s="1264"/>
      <c r="L12" s="1264"/>
    </row>
    <row r="13" spans="1:13" ht="19.5" customHeight="1">
      <c r="A13" s="1264"/>
      <c r="B13" s="1264"/>
      <c r="C13" s="1264"/>
      <c r="D13" s="1264"/>
      <c r="E13" s="1264"/>
      <c r="F13" s="1264"/>
      <c r="G13" s="1264"/>
      <c r="H13" s="1264"/>
      <c r="I13" s="1264"/>
      <c r="J13" s="1264"/>
      <c r="K13" s="1264"/>
      <c r="L13" s="1264"/>
    </row>
    <row r="14" spans="1:13" ht="19.5" customHeight="1">
      <c r="A14" s="1263"/>
      <c r="B14" s="1263"/>
      <c r="C14" s="77"/>
      <c r="D14" s="1263"/>
      <c r="E14" s="1263"/>
      <c r="F14" s="1263"/>
      <c r="G14" s="1263"/>
      <c r="H14" s="1263"/>
      <c r="I14" s="1263"/>
      <c r="J14" s="1263"/>
      <c r="K14" s="1263"/>
      <c r="L14" s="1263"/>
    </row>
    <row r="15" spans="1:13" ht="19.5" customHeight="1">
      <c r="A15" s="1263"/>
      <c r="B15" s="1263"/>
      <c r="C15" s="1263"/>
      <c r="D15" s="1263"/>
      <c r="E15" s="1263"/>
      <c r="F15" s="1263"/>
      <c r="G15" s="1263"/>
      <c r="H15" s="1263"/>
      <c r="I15" s="1263"/>
      <c r="J15" s="1263"/>
      <c r="K15" s="1263"/>
      <c r="L15" s="1263"/>
    </row>
    <row r="16" spans="1:13" ht="19.5" customHeight="1">
      <c r="A16" s="1263"/>
      <c r="B16" s="1263"/>
      <c r="C16" s="1263"/>
      <c r="D16" s="1263"/>
      <c r="E16" s="1263"/>
      <c r="F16" s="1263"/>
      <c r="G16" s="1263"/>
      <c r="H16" s="1263"/>
      <c r="I16" s="1263"/>
      <c r="J16" s="1263"/>
      <c r="K16" s="1263"/>
      <c r="L16" s="1263"/>
      <c r="M16" s="1262">
        <f>[11]Región1!C13-'VII.1 CMR (2)'!C10</f>
        <v>0</v>
      </c>
    </row>
    <row r="17" spans="1:13" ht="19.5" customHeight="1">
      <c r="A17" s="1263"/>
      <c r="B17" s="1263"/>
      <c r="C17" s="1263"/>
      <c r="D17" s="1263"/>
      <c r="E17" s="1263"/>
      <c r="F17" s="1263"/>
      <c r="G17" s="1263"/>
      <c r="H17" s="1263"/>
      <c r="I17" s="1263"/>
      <c r="J17" s="1263"/>
      <c r="K17" s="1263"/>
      <c r="L17" s="1263"/>
      <c r="M17" s="1262">
        <f>[11]Región1!B13-'VII.1 CMR (2)'!B10</f>
        <v>0</v>
      </c>
    </row>
    <row r="18" spans="1:13" ht="19.5" customHeight="1">
      <c r="A18" s="1263"/>
      <c r="B18" s="1263"/>
      <c r="C18" s="1263"/>
      <c r="D18" s="1263"/>
      <c r="E18" s="1263"/>
      <c r="F18" s="1263"/>
      <c r="G18" s="1263"/>
      <c r="H18" s="1263"/>
      <c r="I18" s="1263"/>
      <c r="J18" s="1263"/>
      <c r="K18" s="1263"/>
      <c r="L18" s="1263"/>
    </row>
    <row r="19" spans="1:13" ht="19.5" customHeight="1">
      <c r="A19" s="1263"/>
      <c r="B19" s="1263"/>
      <c r="C19" s="1263"/>
      <c r="D19" s="1263"/>
      <c r="E19" s="1263"/>
      <c r="F19" s="1263"/>
      <c r="G19" s="1263"/>
      <c r="H19" s="1263"/>
      <c r="I19" s="1263"/>
      <c r="J19" s="1263"/>
      <c r="K19" s="1263"/>
      <c r="L19" s="1263"/>
    </row>
    <row r="20" spans="1:13" ht="19.5" customHeight="1">
      <c r="A20" s="1263"/>
      <c r="B20" s="1263"/>
      <c r="C20" s="1263"/>
      <c r="D20" s="1263"/>
      <c r="E20" s="1263"/>
      <c r="F20" s="1263"/>
      <c r="G20" s="1263"/>
      <c r="H20" s="1263"/>
      <c r="I20" s="1263"/>
      <c r="J20" s="1263"/>
      <c r="K20" s="1263"/>
      <c r="L20" s="1263"/>
    </row>
    <row r="21" spans="1:13" ht="19.5" customHeight="1">
      <c r="A21" s="1263"/>
      <c r="B21" s="1263"/>
      <c r="C21" s="1263"/>
      <c r="D21" s="1263"/>
      <c r="E21" s="1263"/>
      <c r="F21" s="1263"/>
      <c r="G21" s="1263"/>
      <c r="H21" s="1263"/>
      <c r="I21" s="1263"/>
      <c r="J21" s="1263"/>
      <c r="K21" s="1263"/>
      <c r="L21" s="1263"/>
    </row>
    <row r="22" spans="1:13" ht="19.5" customHeight="1">
      <c r="A22" s="1263"/>
      <c r="B22" s="1263"/>
      <c r="C22" s="1263"/>
      <c r="D22" s="1263"/>
      <c r="E22" s="1263"/>
      <c r="F22" s="1263"/>
      <c r="G22" s="1263"/>
      <c r="H22" s="1263"/>
      <c r="I22" s="1263"/>
      <c r="J22" s="1263"/>
      <c r="K22" s="1263"/>
      <c r="L22" s="1263"/>
    </row>
    <row r="23" spans="1:13" ht="19.5" customHeight="1">
      <c r="A23" s="1263"/>
      <c r="B23" s="1263"/>
      <c r="C23" s="1263"/>
      <c r="D23" s="1263"/>
      <c r="E23" s="1263"/>
      <c r="F23" s="1263"/>
      <c r="G23" s="1263"/>
      <c r="H23" s="1263"/>
      <c r="I23" s="1263"/>
      <c r="J23" s="1263"/>
      <c r="K23" s="1263"/>
      <c r="L23" s="1263"/>
    </row>
    <row r="24" spans="1:13" ht="19.5" customHeight="1">
      <c r="A24" s="1263"/>
      <c r="B24" s="1263"/>
      <c r="C24" s="1263"/>
      <c r="D24" s="1263"/>
      <c r="E24" s="1263"/>
      <c r="F24" s="1263"/>
      <c r="G24" s="1263"/>
      <c r="H24" s="1263"/>
      <c r="I24" s="1263"/>
      <c r="J24" s="1263"/>
      <c r="K24" s="1263"/>
      <c r="L24" s="1263"/>
    </row>
    <row r="25" spans="1:13" ht="19.5" customHeight="1">
      <c r="A25" s="1263"/>
      <c r="B25" s="1263"/>
      <c r="C25" s="1263"/>
      <c r="D25" s="1263"/>
      <c r="E25" s="1263"/>
      <c r="F25" s="1263"/>
      <c r="G25" s="1263"/>
      <c r="H25" s="1263"/>
      <c r="I25" s="1263"/>
      <c r="J25" s="1263"/>
      <c r="K25" s="1263"/>
      <c r="L25" s="1263"/>
    </row>
    <row r="26" spans="1:13" ht="19.5" customHeight="1">
      <c r="A26" s="1263"/>
      <c r="B26" s="1263"/>
      <c r="C26" s="1263"/>
      <c r="D26" s="1263"/>
      <c r="E26" s="1263"/>
      <c r="F26" s="1263"/>
      <c r="G26" s="1263"/>
      <c r="H26" s="1263"/>
      <c r="I26" s="1263"/>
      <c r="J26" s="1263"/>
      <c r="K26" s="1263"/>
      <c r="L26" s="1263"/>
    </row>
    <row r="27" spans="1:13" ht="19.5" customHeight="1">
      <c r="A27" s="1263"/>
      <c r="B27" s="1263"/>
      <c r="C27" s="1263"/>
      <c r="D27" s="1263"/>
      <c r="E27" s="1263"/>
      <c r="F27" s="1263"/>
      <c r="G27" s="1263"/>
      <c r="H27" s="1263"/>
      <c r="I27" s="1263"/>
      <c r="J27" s="1263"/>
      <c r="K27" s="1263"/>
      <c r="L27" s="1263"/>
    </row>
    <row r="28" spans="1:13" ht="19.5" customHeight="1">
      <c r="A28" s="1263"/>
      <c r="B28" s="1263"/>
      <c r="C28" s="1263"/>
      <c r="D28" s="1263"/>
      <c r="E28" s="1263"/>
      <c r="F28" s="1263"/>
      <c r="G28" s="1263"/>
      <c r="H28" s="1263"/>
      <c r="I28" s="1263"/>
      <c r="J28" s="1263"/>
      <c r="K28" s="1263"/>
      <c r="L28" s="1263"/>
    </row>
    <row r="29" spans="1:13" ht="19.5" customHeight="1">
      <c r="A29" s="1263"/>
      <c r="B29" s="1263"/>
      <c r="C29" s="1263"/>
      <c r="D29" s="1263"/>
      <c r="E29" s="1263"/>
      <c r="F29" s="1263"/>
      <c r="G29" s="1263"/>
      <c r="H29" s="1263"/>
      <c r="I29" s="1263"/>
      <c r="J29" s="1263"/>
      <c r="K29" s="1263"/>
      <c r="L29" s="1263"/>
    </row>
    <row r="30" spans="1:13" ht="19.5" customHeight="1">
      <c r="A30" s="1263"/>
      <c r="B30" s="1263"/>
      <c r="C30" s="1263"/>
      <c r="D30" s="1263"/>
      <c r="E30" s="1263"/>
      <c r="F30" s="1263"/>
      <c r="G30" s="1263"/>
      <c r="H30" s="1263"/>
      <c r="I30" s="1263"/>
      <c r="J30" s="1263"/>
      <c r="K30" s="1263"/>
      <c r="L30" s="1263"/>
    </row>
    <row r="31" spans="1:13" ht="19.5" customHeight="1">
      <c r="A31" s="1263"/>
      <c r="B31" s="1263"/>
      <c r="C31" s="1263"/>
      <c r="D31" s="1263"/>
      <c r="E31" s="1263"/>
      <c r="F31" s="1263"/>
      <c r="G31" s="1263"/>
      <c r="H31" s="1263"/>
      <c r="I31" s="1263"/>
      <c r="J31" s="1263"/>
      <c r="K31" s="1263"/>
      <c r="L31" s="1263"/>
    </row>
    <row r="32" spans="1:13" ht="19.5" customHeight="1">
      <c r="A32" s="1263"/>
      <c r="B32" s="1263"/>
      <c r="C32" s="1263"/>
      <c r="D32" s="1263"/>
      <c r="E32" s="1263"/>
      <c r="F32" s="1263"/>
      <c r="G32" s="1263"/>
      <c r="H32" s="1263"/>
      <c r="I32" s="1263"/>
      <c r="J32" s="1263"/>
      <c r="K32" s="1263"/>
      <c r="L32" s="1263"/>
    </row>
    <row r="33" spans="1:12" ht="19.5" customHeight="1">
      <c r="A33" s="1263"/>
      <c r="B33" s="1263"/>
      <c r="C33" s="1263"/>
      <c r="D33" s="1263"/>
      <c r="E33" s="1263"/>
      <c r="F33" s="1263"/>
      <c r="G33" s="1263"/>
      <c r="H33" s="1263"/>
      <c r="I33" s="1263"/>
      <c r="J33" s="1263"/>
      <c r="K33" s="1263"/>
      <c r="L33" s="1263"/>
    </row>
  </sheetData>
  <mergeCells count="1">
    <mergeCell ref="A1:L1"/>
  </mergeCells>
  <printOptions horizontalCentered="1"/>
  <pageMargins left="0.39370078740157483" right="0.39370078740157483" top="0.39370078740157483" bottom="0.23622047244094491" header="0.35433070866141736" footer="0.31496062992125984"/>
  <pageSetup scale="65"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
  <sheetViews>
    <sheetView showGridLines="0" view="pageBreakPreview" zoomScale="70" zoomScaleNormal="100" zoomScaleSheetLayoutView="70" workbookViewId="0">
      <selection activeCell="F4" sqref="F4"/>
    </sheetView>
  </sheetViews>
  <sheetFormatPr baseColWidth="10" defaultColWidth="11.42578125" defaultRowHeight="15"/>
  <cols>
    <col min="1" max="1" width="15.5703125" style="1289" customWidth="1"/>
    <col min="2" max="3" width="16.28515625" style="1289" customWidth="1"/>
    <col min="4" max="4" width="19.28515625" style="1289" customWidth="1"/>
    <col min="5" max="16384" width="11.42578125" style="1289"/>
  </cols>
  <sheetData>
    <row r="1" spans="1:16" ht="58.5" customHeight="1">
      <c r="A1" s="2600" t="s">
        <v>2024</v>
      </c>
      <c r="B1" s="2600"/>
      <c r="C1" s="2600"/>
      <c r="D1" s="2600"/>
      <c r="E1" s="2600"/>
      <c r="F1" s="2600"/>
      <c r="G1" s="2600"/>
      <c r="H1" s="2600"/>
      <c r="I1" s="2600"/>
      <c r="J1" s="2600"/>
      <c r="K1" s="2600"/>
      <c r="L1" s="2600"/>
    </row>
    <row r="2" spans="1:16" ht="4.5" customHeight="1">
      <c r="A2" s="2601"/>
      <c r="B2" s="2601"/>
      <c r="C2" s="2601"/>
      <c r="D2" s="2601"/>
      <c r="E2" s="2601"/>
    </row>
    <row r="3" spans="1:16" ht="49.5" customHeight="1">
      <c r="A3" s="1745" t="s">
        <v>51</v>
      </c>
      <c r="B3" s="1746" t="s">
        <v>1176</v>
      </c>
      <c r="C3" s="1746" t="s">
        <v>1378</v>
      </c>
      <c r="D3" s="1746" t="s">
        <v>1655</v>
      </c>
    </row>
    <row r="4" spans="1:16" ht="17.25" customHeight="1">
      <c r="A4" s="1745" t="s">
        <v>1654</v>
      </c>
      <c r="B4" s="1290">
        <v>107</v>
      </c>
      <c r="C4" s="1290">
        <v>16</v>
      </c>
      <c r="D4" s="2091">
        <f>C4/B4</f>
        <v>0.14953271028037382</v>
      </c>
    </row>
    <row r="5" spans="1:16" ht="17.25" customHeight="1">
      <c r="A5" s="1745">
        <v>2009</v>
      </c>
      <c r="B5" s="1290">
        <v>1018</v>
      </c>
      <c r="C5" s="1290">
        <v>659</v>
      </c>
      <c r="D5" s="2091">
        <f t="shared" ref="D5:D10" si="0">C5/B5</f>
        <v>0.6473477406679764</v>
      </c>
    </row>
    <row r="6" spans="1:16">
      <c r="A6" s="1745" t="s">
        <v>360</v>
      </c>
      <c r="B6" s="1290">
        <v>1491</v>
      </c>
      <c r="C6" s="1290">
        <v>785</v>
      </c>
      <c r="D6" s="2091">
        <f t="shared" si="0"/>
        <v>0.52649228705566731</v>
      </c>
    </row>
    <row r="7" spans="1:16">
      <c r="A7" s="1745" t="s">
        <v>469</v>
      </c>
      <c r="B7" s="1290">
        <v>2085</v>
      </c>
      <c r="C7" s="1290">
        <v>750</v>
      </c>
      <c r="D7" s="2091">
        <f t="shared" si="0"/>
        <v>0.35971223021582732</v>
      </c>
    </row>
    <row r="8" spans="1:16">
      <c r="A8" s="1745" t="s">
        <v>1058</v>
      </c>
      <c r="B8" s="1290">
        <v>2165</v>
      </c>
      <c r="C8" s="1290">
        <v>1830</v>
      </c>
      <c r="D8" s="2091">
        <f t="shared" si="0"/>
        <v>0.84526558891454961</v>
      </c>
    </row>
    <row r="9" spans="1:16">
      <c r="A9" s="1745" t="s">
        <v>1643</v>
      </c>
      <c r="B9" s="1290">
        <v>1670</v>
      </c>
      <c r="C9" s="1290">
        <v>2885</v>
      </c>
      <c r="D9" s="2091">
        <f t="shared" si="0"/>
        <v>1.7275449101796407</v>
      </c>
    </row>
    <row r="10" spans="1:16">
      <c r="A10" s="1745" t="s">
        <v>1907</v>
      </c>
      <c r="B10" s="2156">
        <v>1561</v>
      </c>
      <c r="C10" s="2156">
        <v>1731</v>
      </c>
      <c r="D10" s="2091">
        <f t="shared" si="0"/>
        <v>1.1089045483664317</v>
      </c>
    </row>
    <row r="11" spans="1:16">
      <c r="A11" s="1745" t="s">
        <v>23</v>
      </c>
      <c r="B11" s="1747">
        <f>SUM(B4:B10)</f>
        <v>10097</v>
      </c>
      <c r="C11" s="1747">
        <f>SUM(C4:C10)</f>
        <v>8656</v>
      </c>
      <c r="D11" s="2092">
        <f>C11/B11</f>
        <v>0.85728434188372782</v>
      </c>
      <c r="M11" s="1780"/>
      <c r="N11" s="1780"/>
    </row>
    <row r="13" spans="1:16">
      <c r="M13" s="1780"/>
    </row>
    <row r="14" spans="1:16">
      <c r="M14" s="1780"/>
    </row>
    <row r="16" spans="1:16">
      <c r="N16" s="2070"/>
      <c r="O16" s="2070"/>
      <c r="P16" s="2070"/>
    </row>
    <row r="17" spans="14:19">
      <c r="N17" s="2070"/>
      <c r="R17" s="2071"/>
      <c r="S17" s="2072"/>
    </row>
    <row r="18" spans="14:19">
      <c r="N18" s="2070"/>
      <c r="R18" s="2071"/>
      <c r="S18" s="2072"/>
    </row>
    <row r="19" spans="14:19">
      <c r="R19" s="2071"/>
      <c r="S19" s="2072"/>
    </row>
    <row r="20" spans="14:19">
      <c r="R20" s="2071"/>
      <c r="S20" s="2072"/>
    </row>
    <row r="21" spans="14:19">
      <c r="R21" s="2071"/>
      <c r="S21" s="2072"/>
    </row>
    <row r="22" spans="14:19">
      <c r="R22" s="2071"/>
      <c r="S22" s="2072"/>
    </row>
    <row r="23" spans="14:19">
      <c r="R23" s="2071"/>
      <c r="S23" s="2072"/>
    </row>
    <row r="24" spans="14:19">
      <c r="R24" s="2071"/>
      <c r="S24" s="2072"/>
    </row>
    <row r="25" spans="14:19">
      <c r="S25" s="2072"/>
    </row>
    <row r="28" spans="14:19">
      <c r="O28" s="2070"/>
    </row>
  </sheetData>
  <sortState ref="N16:N25">
    <sortCondition ref="N16"/>
  </sortState>
  <mergeCells count="2">
    <mergeCell ref="A1:L1"/>
    <mergeCell ref="A2:E2"/>
  </mergeCells>
  <pageMargins left="0.7" right="0.7" top="0.75" bottom="0.75" header="0.3" footer="0.3"/>
  <pageSetup scale="77"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showGridLines="0" view="pageBreakPreview" zoomScale="70" zoomScaleNormal="100" zoomScaleSheetLayoutView="70" workbookViewId="0">
      <selection activeCell="Q28" sqref="Q28"/>
    </sheetView>
  </sheetViews>
  <sheetFormatPr baseColWidth="10" defaultColWidth="11.42578125" defaultRowHeight="15"/>
  <cols>
    <col min="1" max="1" width="30" style="1278" customWidth="1"/>
    <col min="2" max="2" width="14.5703125" style="1278" customWidth="1"/>
    <col min="3" max="3" width="21.85546875" style="1278" customWidth="1"/>
    <col min="4" max="4" width="21" style="1278" customWidth="1"/>
    <col min="5" max="5" width="22.85546875" style="1278" customWidth="1"/>
    <col min="6" max="11" width="11.42578125" style="1278"/>
    <col min="12" max="12" width="18.85546875" style="1278" customWidth="1"/>
    <col min="13" max="13" width="8.85546875" style="1278" customWidth="1"/>
    <col min="14" max="16384" width="11.42578125" style="1278"/>
  </cols>
  <sheetData>
    <row r="1" spans="1:15" ht="81" customHeight="1">
      <c r="A1" s="2602" t="s">
        <v>2026</v>
      </c>
      <c r="B1" s="2602"/>
      <c r="C1" s="2602"/>
      <c r="D1" s="2602"/>
      <c r="E1" s="2602"/>
      <c r="F1" s="2602"/>
      <c r="G1" s="2602"/>
      <c r="H1" s="2602"/>
      <c r="I1" s="2602"/>
      <c r="J1" s="2602"/>
      <c r="K1" s="2602"/>
      <c r="L1" s="2602"/>
      <c r="M1" s="2602"/>
    </row>
    <row r="2" spans="1:15" ht="7.5" customHeight="1"/>
    <row r="3" spans="1:15" ht="21" customHeight="1">
      <c r="A3" s="2065"/>
      <c r="B3" s="2066" t="s">
        <v>1337</v>
      </c>
      <c r="C3" s="2067"/>
      <c r="D3" s="2067"/>
      <c r="E3" s="2068"/>
    </row>
    <row r="4" spans="1:15" ht="42">
      <c r="A4" s="2065" t="s">
        <v>0</v>
      </c>
      <c r="B4" s="2065" t="s">
        <v>1143</v>
      </c>
      <c r="C4" s="2065" t="s">
        <v>1394</v>
      </c>
      <c r="D4" s="2065" t="s">
        <v>1336</v>
      </c>
      <c r="E4" s="2065" t="s">
        <v>23</v>
      </c>
    </row>
    <row r="5" spans="1:15" ht="21">
      <c r="A5" s="1748">
        <v>2009</v>
      </c>
      <c r="B5" s="1751">
        <v>81</v>
      </c>
      <c r="C5" s="1751">
        <v>13</v>
      </c>
      <c r="D5" s="1751">
        <v>0</v>
      </c>
      <c r="E5" s="1751">
        <f t="shared" ref="E5:E12" si="0">SUM(B5:D5)</f>
        <v>94</v>
      </c>
    </row>
    <row r="6" spans="1:15" ht="21">
      <c r="A6" s="1748">
        <v>2010</v>
      </c>
      <c r="B6" s="1751">
        <v>61</v>
      </c>
      <c r="C6" s="1751">
        <v>25</v>
      </c>
      <c r="D6" s="1751">
        <v>0</v>
      </c>
      <c r="E6" s="1751">
        <f t="shared" si="0"/>
        <v>86</v>
      </c>
    </row>
    <row r="7" spans="1:15" ht="21">
      <c r="A7" s="1748">
        <v>2011</v>
      </c>
      <c r="B7" s="1751">
        <v>78</v>
      </c>
      <c r="C7" s="1751">
        <v>45</v>
      </c>
      <c r="D7" s="1751">
        <v>0</v>
      </c>
      <c r="E7" s="1751">
        <f t="shared" si="0"/>
        <v>123</v>
      </c>
    </row>
    <row r="8" spans="1:15" ht="21">
      <c r="A8" s="1748">
        <v>2012</v>
      </c>
      <c r="B8" s="1751">
        <v>313</v>
      </c>
      <c r="C8" s="1751">
        <v>186</v>
      </c>
      <c r="D8" s="1751">
        <v>60</v>
      </c>
      <c r="E8" s="1751">
        <f t="shared" si="0"/>
        <v>559</v>
      </c>
    </row>
    <row r="9" spans="1:15" ht="21">
      <c r="A9" s="1748">
        <v>2013</v>
      </c>
      <c r="B9" s="1751">
        <v>527</v>
      </c>
      <c r="C9" s="1751">
        <v>218</v>
      </c>
      <c r="D9" s="1751">
        <v>22</v>
      </c>
      <c r="E9" s="1751">
        <f t="shared" si="0"/>
        <v>767</v>
      </c>
    </row>
    <row r="10" spans="1:15" ht="21">
      <c r="A10" s="1749" t="s">
        <v>2025</v>
      </c>
      <c r="B10" s="2157">
        <v>287</v>
      </c>
      <c r="C10" s="2157">
        <v>99</v>
      </c>
      <c r="D10" s="2157">
        <v>2</v>
      </c>
      <c r="E10" s="2157">
        <f t="shared" si="0"/>
        <v>388</v>
      </c>
    </row>
    <row r="11" spans="1:15" ht="21">
      <c r="A11" s="1748" t="s">
        <v>1334</v>
      </c>
      <c r="B11" s="1751">
        <v>5</v>
      </c>
      <c r="C11" s="1751">
        <v>0</v>
      </c>
      <c r="D11" s="1751">
        <v>1</v>
      </c>
      <c r="E11" s="1751">
        <f t="shared" si="0"/>
        <v>6</v>
      </c>
      <c r="O11" s="2069"/>
    </row>
    <row r="12" spans="1:15" ht="21">
      <c r="A12" s="1748" t="s">
        <v>23</v>
      </c>
      <c r="B12" s="1750">
        <f>SUM(B5:B11)</f>
        <v>1352</v>
      </c>
      <c r="C12" s="1750">
        <f>SUM(C5:C11)</f>
        <v>586</v>
      </c>
      <c r="D12" s="1750">
        <f>SUM(D5:D11)</f>
        <v>85</v>
      </c>
      <c r="E12" s="1750">
        <f t="shared" si="0"/>
        <v>2023</v>
      </c>
    </row>
  </sheetData>
  <mergeCells count="1">
    <mergeCell ref="A1:M1"/>
  </mergeCells>
  <pageMargins left="0.70866141732283472" right="0.70866141732283472" top="0.74803149606299213" bottom="0.74803149606299213" header="0.31496062992125984" footer="0.31496062992125984"/>
  <pageSetup scale="59"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showGridLines="0" view="pageBreakPreview" topLeftCell="C1" zoomScale="60" zoomScaleNormal="100" workbookViewId="0">
      <selection activeCell="P49" sqref="P49"/>
    </sheetView>
  </sheetViews>
  <sheetFormatPr baseColWidth="10" defaultColWidth="11.42578125" defaultRowHeight="15"/>
  <cols>
    <col min="1" max="1" width="29.5703125" style="1279" customWidth="1"/>
    <col min="2" max="2" width="13.28515625" style="1279" customWidth="1"/>
    <col min="3" max="3" width="15.42578125" style="1279" customWidth="1"/>
    <col min="4" max="4" width="18.7109375" style="1279" customWidth="1"/>
    <col min="5" max="5" width="14" style="1279" customWidth="1"/>
    <col min="6" max="6" width="20" style="1279" customWidth="1"/>
    <col min="7" max="7" width="18.140625" style="1279" customWidth="1"/>
    <col min="8" max="8" width="17.42578125" style="1279" customWidth="1"/>
    <col min="9" max="9" width="11.42578125" style="1279"/>
    <col min="10" max="10" width="39.5703125" style="1279" customWidth="1"/>
    <col min="11" max="11" width="24.7109375" style="1279" customWidth="1"/>
    <col min="12" max="16384" width="11.42578125" style="1279"/>
  </cols>
  <sheetData>
    <row r="1" spans="1:12" ht="89.25" customHeight="1">
      <c r="A1" s="2603" t="s">
        <v>1376</v>
      </c>
      <c r="B1" s="2603"/>
      <c r="C1" s="2603"/>
      <c r="D1" s="2603"/>
      <c r="E1" s="2603"/>
      <c r="F1" s="2603"/>
      <c r="G1" s="2603"/>
      <c r="H1" s="2603"/>
      <c r="I1" s="2603"/>
      <c r="J1" s="2603"/>
      <c r="K1" s="2603"/>
      <c r="L1" s="2603"/>
    </row>
    <row r="2" spans="1:12" ht="5.25" customHeight="1"/>
    <row r="3" spans="1:12" s="1280" customFormat="1" ht="27" customHeight="1">
      <c r="A3" s="1287"/>
      <c r="B3" s="2604" t="s">
        <v>1344</v>
      </c>
      <c r="C3" s="2605"/>
      <c r="D3" s="2605"/>
      <c r="E3" s="2605"/>
      <c r="F3" s="2605"/>
      <c r="G3" s="2605"/>
      <c r="H3" s="2606"/>
    </row>
    <row r="4" spans="1:12" s="1280" customFormat="1" ht="63">
      <c r="A4" s="1287" t="s">
        <v>0</v>
      </c>
      <c r="B4" s="1287" t="s">
        <v>1343</v>
      </c>
      <c r="C4" s="1287" t="s">
        <v>1342</v>
      </c>
      <c r="D4" s="1287" t="s">
        <v>1341</v>
      </c>
      <c r="E4" s="1287" t="s">
        <v>1340</v>
      </c>
      <c r="F4" s="1287" t="s">
        <v>1339</v>
      </c>
      <c r="G4" s="1287" t="s">
        <v>1338</v>
      </c>
      <c r="H4" s="1287" t="s">
        <v>23</v>
      </c>
    </row>
    <row r="5" spans="1:12" ht="21">
      <c r="A5" s="1288">
        <v>2009</v>
      </c>
      <c r="B5" s="1291">
        <v>44</v>
      </c>
      <c r="C5" s="1291">
        <v>14</v>
      </c>
      <c r="D5" s="1291">
        <v>0</v>
      </c>
      <c r="E5" s="1291">
        <v>5</v>
      </c>
      <c r="F5" s="1291"/>
      <c r="G5" s="1291">
        <v>29</v>
      </c>
      <c r="H5" s="1292">
        <v>92</v>
      </c>
    </row>
    <row r="6" spans="1:12" ht="21">
      <c r="A6" s="1288">
        <v>2010</v>
      </c>
      <c r="B6" s="1291">
        <v>57</v>
      </c>
      <c r="C6" s="1291">
        <v>14</v>
      </c>
      <c r="D6" s="1291">
        <v>0</v>
      </c>
      <c r="E6" s="1291">
        <v>5</v>
      </c>
      <c r="F6" s="1291">
        <v>1</v>
      </c>
      <c r="G6" s="1291">
        <v>8</v>
      </c>
      <c r="H6" s="1291">
        <v>85</v>
      </c>
    </row>
    <row r="7" spans="1:12" ht="21">
      <c r="A7" s="1288">
        <v>2011</v>
      </c>
      <c r="B7" s="1291">
        <v>51</v>
      </c>
      <c r="C7" s="1291">
        <v>57</v>
      </c>
      <c r="D7" s="1291">
        <v>8</v>
      </c>
      <c r="E7" s="1291">
        <v>3</v>
      </c>
      <c r="F7" s="1291">
        <v>1</v>
      </c>
      <c r="G7" s="1291">
        <v>3</v>
      </c>
      <c r="H7" s="1291">
        <v>123</v>
      </c>
    </row>
    <row r="8" spans="1:12" ht="21">
      <c r="A8" s="1288">
        <v>2012</v>
      </c>
      <c r="B8" s="1291">
        <v>285</v>
      </c>
      <c r="C8" s="1291">
        <v>188</v>
      </c>
      <c r="D8" s="1291">
        <v>0</v>
      </c>
      <c r="E8" s="1291">
        <v>0</v>
      </c>
      <c r="F8" s="1291">
        <v>0</v>
      </c>
      <c r="G8" s="1291">
        <v>17</v>
      </c>
      <c r="H8" s="1291">
        <v>490</v>
      </c>
    </row>
    <row r="9" spans="1:12" ht="21">
      <c r="A9" s="1288" t="s">
        <v>1335</v>
      </c>
      <c r="B9" s="1291">
        <v>108</v>
      </c>
      <c r="C9" s="1291">
        <v>87</v>
      </c>
      <c r="D9" s="1291">
        <v>0</v>
      </c>
      <c r="E9" s="1291">
        <v>0</v>
      </c>
      <c r="F9" s="1291">
        <v>0</v>
      </c>
      <c r="G9" s="1291">
        <v>0</v>
      </c>
      <c r="H9" s="1291">
        <v>195</v>
      </c>
    </row>
    <row r="10" spans="1:12" ht="21">
      <c r="A10" s="1288" t="s">
        <v>1334</v>
      </c>
      <c r="B10" s="1291">
        <v>2</v>
      </c>
      <c r="C10" s="1291">
        <v>1</v>
      </c>
      <c r="D10" s="1291">
        <v>0</v>
      </c>
      <c r="E10" s="1291">
        <v>0</v>
      </c>
      <c r="F10" s="1291">
        <v>0</v>
      </c>
      <c r="G10" s="1291">
        <v>49</v>
      </c>
      <c r="H10" s="1291">
        <v>52</v>
      </c>
    </row>
    <row r="11" spans="1:12" ht="21">
      <c r="A11" s="1288" t="s">
        <v>23</v>
      </c>
      <c r="B11" s="1293">
        <f>SUM(B5:B10)</f>
        <v>547</v>
      </c>
      <c r="C11" s="1293">
        <f>SUM(C5:C10)</f>
        <v>361</v>
      </c>
      <c r="D11" s="1293"/>
      <c r="E11" s="1293">
        <f>SUM(E5:E10)</f>
        <v>13</v>
      </c>
      <c r="F11" s="1293"/>
      <c r="G11" s="1293">
        <f>SUM(G5:G10)</f>
        <v>106</v>
      </c>
      <c r="H11" s="1293">
        <f>SUM(B11:G11)</f>
        <v>1027</v>
      </c>
    </row>
  </sheetData>
  <mergeCells count="2">
    <mergeCell ref="A1:L1"/>
    <mergeCell ref="B3:H3"/>
  </mergeCells>
  <pageMargins left="0.70866141732283472" right="0.70866141732283472" top="0.74803149606299213" bottom="0.74803149606299213" header="0.31496062992125984" footer="0.31496062992125984"/>
  <pageSetup scale="52"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
  <sheetViews>
    <sheetView showGridLines="0" view="pageBreakPreview" zoomScale="115" zoomScaleNormal="100" zoomScaleSheetLayoutView="115" workbookViewId="0">
      <selection activeCell="K24" sqref="K24"/>
    </sheetView>
  </sheetViews>
  <sheetFormatPr baseColWidth="10" defaultColWidth="11.42578125" defaultRowHeight="15"/>
  <cols>
    <col min="1" max="1" width="11.7109375" style="1297" customWidth="1"/>
    <col min="2" max="2" width="20.140625" style="1297" customWidth="1"/>
    <col min="3" max="7" width="12.7109375" style="1297" customWidth="1"/>
    <col min="8" max="8" width="13.7109375" style="1297" customWidth="1"/>
    <col min="9" max="9" width="13.85546875" style="1297" customWidth="1"/>
    <col min="10" max="10" width="8.42578125" style="1297" customWidth="1"/>
    <col min="11" max="16384" width="11.42578125" style="1297"/>
  </cols>
  <sheetData>
    <row r="1" spans="1:17" s="1279" customFormat="1" ht="57.75" customHeight="1">
      <c r="A1" s="2607" t="s">
        <v>2027</v>
      </c>
      <c r="B1" s="2608"/>
      <c r="C1" s="2608"/>
      <c r="D1" s="2608"/>
      <c r="E1" s="2608"/>
      <c r="F1" s="2608"/>
      <c r="G1" s="2608"/>
      <c r="H1" s="2608"/>
      <c r="I1" s="2608"/>
      <c r="J1" s="2608"/>
    </row>
    <row r="2" spans="1:17" s="1279" customFormat="1" ht="3" customHeight="1"/>
    <row r="3" spans="1:17" s="1295" customFormat="1" ht="29.25" customHeight="1">
      <c r="A3" s="1316" t="s">
        <v>1395</v>
      </c>
      <c r="B3" s="1316" t="s">
        <v>1396</v>
      </c>
      <c r="C3" s="1299">
        <v>2009</v>
      </c>
      <c r="D3" s="1299">
        <v>2010</v>
      </c>
      <c r="E3" s="1299">
        <v>2011</v>
      </c>
      <c r="F3" s="1299">
        <v>2012</v>
      </c>
      <c r="G3" s="1299">
        <v>2013</v>
      </c>
      <c r="H3" s="1610" t="s">
        <v>1955</v>
      </c>
      <c r="I3" s="1610" t="s">
        <v>1847</v>
      </c>
      <c r="J3" s="1298" t="s">
        <v>23</v>
      </c>
    </row>
    <row r="4" spans="1:17">
      <c r="A4" s="2609" t="s">
        <v>1397</v>
      </c>
      <c r="B4" s="2098" t="s">
        <v>1398</v>
      </c>
      <c r="C4" s="1296">
        <v>80</v>
      </c>
      <c r="D4" s="1296">
        <v>53</v>
      </c>
      <c r="E4" s="1296">
        <v>66</v>
      </c>
      <c r="F4" s="1296">
        <v>271</v>
      </c>
      <c r="G4" s="1296">
        <v>471</v>
      </c>
      <c r="H4" s="2158">
        <v>273</v>
      </c>
      <c r="I4" s="1296">
        <v>5</v>
      </c>
      <c r="J4" s="1300">
        <f t="shared" ref="J4:J9" si="0">SUM(C4:I4)</f>
        <v>1219</v>
      </c>
    </row>
    <row r="5" spans="1:17">
      <c r="A5" s="2609"/>
      <c r="B5" s="2098" t="s">
        <v>1399</v>
      </c>
      <c r="C5" s="1296">
        <v>13</v>
      </c>
      <c r="D5" s="1296">
        <v>25</v>
      </c>
      <c r="E5" s="1296">
        <v>45</v>
      </c>
      <c r="F5" s="1296">
        <v>180</v>
      </c>
      <c r="G5" s="1296">
        <v>217</v>
      </c>
      <c r="H5" s="2158">
        <v>99</v>
      </c>
      <c r="I5" s="1296">
        <v>0</v>
      </c>
      <c r="J5" s="1300">
        <f t="shared" si="0"/>
        <v>579</v>
      </c>
    </row>
    <row r="6" spans="1:17">
      <c r="A6" s="2609"/>
      <c r="B6" s="2098" t="s">
        <v>1336</v>
      </c>
      <c r="C6" s="1296">
        <v>0</v>
      </c>
      <c r="D6" s="1296">
        <v>0</v>
      </c>
      <c r="E6" s="1296">
        <v>0</v>
      </c>
      <c r="F6" s="1296">
        <v>54</v>
      </c>
      <c r="G6" s="1296">
        <v>19</v>
      </c>
      <c r="H6" s="2158">
        <v>2</v>
      </c>
      <c r="I6" s="1296">
        <v>1</v>
      </c>
      <c r="J6" s="1300">
        <f t="shared" si="0"/>
        <v>76</v>
      </c>
    </row>
    <row r="7" spans="1:17">
      <c r="A7" s="2609" t="s">
        <v>1400</v>
      </c>
      <c r="B7" s="2098" t="s">
        <v>1398</v>
      </c>
      <c r="C7" s="1296">
        <v>0</v>
      </c>
      <c r="D7" s="1296">
        <v>8</v>
      </c>
      <c r="E7" s="1296">
        <v>12</v>
      </c>
      <c r="F7" s="1296">
        <v>43</v>
      </c>
      <c r="G7" s="1296">
        <v>56</v>
      </c>
      <c r="H7" s="2158">
        <v>14</v>
      </c>
      <c r="I7" s="1296">
        <v>0</v>
      </c>
      <c r="J7" s="1300">
        <f t="shared" si="0"/>
        <v>133</v>
      </c>
    </row>
    <row r="8" spans="1:17">
      <c r="A8" s="2609"/>
      <c r="B8" s="2098" t="s">
        <v>1399</v>
      </c>
      <c r="C8" s="1296">
        <v>0</v>
      </c>
      <c r="D8" s="1296">
        <v>0</v>
      </c>
      <c r="E8" s="1296">
        <v>0</v>
      </c>
      <c r="F8" s="1296">
        <v>5</v>
      </c>
      <c r="G8" s="1296">
        <v>2</v>
      </c>
      <c r="H8" s="2158">
        <v>0</v>
      </c>
      <c r="I8" s="1296">
        <v>0</v>
      </c>
      <c r="J8" s="1300">
        <f t="shared" si="0"/>
        <v>7</v>
      </c>
    </row>
    <row r="9" spans="1:17">
      <c r="A9" s="2609"/>
      <c r="B9" s="2098" t="s">
        <v>1336</v>
      </c>
      <c r="C9" s="1296">
        <v>1</v>
      </c>
      <c r="D9" s="1296">
        <v>0</v>
      </c>
      <c r="E9" s="1296">
        <v>0</v>
      </c>
      <c r="F9" s="1296">
        <v>6</v>
      </c>
      <c r="G9" s="1296">
        <v>2</v>
      </c>
      <c r="H9" s="2158">
        <v>0</v>
      </c>
      <c r="I9" s="1296">
        <v>0</v>
      </c>
      <c r="J9" s="1300">
        <f t="shared" si="0"/>
        <v>9</v>
      </c>
    </row>
    <row r="10" spans="1:17">
      <c r="A10" s="1318" t="s">
        <v>23</v>
      </c>
      <c r="B10" s="1317"/>
      <c r="C10" s="1300">
        <f t="shared" ref="C10:J10" si="1">SUM(C4:C9)</f>
        <v>94</v>
      </c>
      <c r="D10" s="1300">
        <f t="shared" si="1"/>
        <v>86</v>
      </c>
      <c r="E10" s="1300">
        <f t="shared" si="1"/>
        <v>123</v>
      </c>
      <c r="F10" s="1300">
        <f t="shared" si="1"/>
        <v>559</v>
      </c>
      <c r="G10" s="1300">
        <f t="shared" si="1"/>
        <v>767</v>
      </c>
      <c r="H10" s="1300">
        <f t="shared" si="1"/>
        <v>388</v>
      </c>
      <c r="I10" s="1300">
        <f t="shared" si="1"/>
        <v>6</v>
      </c>
      <c r="J10" s="1300">
        <f t="shared" si="1"/>
        <v>2023</v>
      </c>
      <c r="K10"/>
      <c r="L10"/>
      <c r="M10"/>
      <c r="N10"/>
      <c r="O10"/>
      <c r="P10"/>
      <c r="Q10"/>
    </row>
    <row r="11" spans="1:17">
      <c r="A11" s="1297" t="s">
        <v>1401</v>
      </c>
      <c r="K11"/>
      <c r="L11"/>
      <c r="M11"/>
      <c r="N11"/>
      <c r="O11"/>
      <c r="P11"/>
      <c r="Q11"/>
    </row>
    <row r="12" spans="1:17">
      <c r="K12"/>
      <c r="L12"/>
      <c r="M12"/>
      <c r="N12"/>
      <c r="O12"/>
      <c r="P12"/>
      <c r="Q12"/>
    </row>
    <row r="13" spans="1:17">
      <c r="K13"/>
      <c r="L13"/>
      <c r="M13"/>
      <c r="N13"/>
      <c r="O13"/>
      <c r="P13"/>
      <c r="Q13"/>
    </row>
    <row r="14" spans="1:17">
      <c r="K14"/>
      <c r="L14"/>
      <c r="M14"/>
      <c r="N14"/>
      <c r="O14"/>
      <c r="P14"/>
      <c r="Q14"/>
    </row>
    <row r="15" spans="1:17">
      <c r="K15"/>
      <c r="L15"/>
      <c r="M15"/>
      <c r="N15"/>
      <c r="O15"/>
      <c r="P15"/>
      <c r="Q15"/>
    </row>
  </sheetData>
  <mergeCells count="3">
    <mergeCell ref="A1:J1"/>
    <mergeCell ref="A4:A6"/>
    <mergeCell ref="A7:A9"/>
  </mergeCells>
  <pageMargins left="0.7" right="0.7" top="0.75" bottom="0.75" header="0.3" footer="0.3"/>
  <pageSetup scale="93"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
  <sheetViews>
    <sheetView showGridLines="0" view="pageBreakPreview" zoomScale="85" zoomScaleNormal="100" zoomScaleSheetLayoutView="85" workbookViewId="0">
      <selection activeCell="K10" sqref="K10"/>
    </sheetView>
  </sheetViews>
  <sheetFormatPr baseColWidth="10" defaultColWidth="11.5703125" defaultRowHeight="15"/>
  <cols>
    <col min="1" max="1" width="14.42578125" customWidth="1"/>
    <col min="2" max="2" width="19.140625" customWidth="1"/>
    <col min="3" max="3" width="20.42578125" customWidth="1"/>
    <col min="4" max="4" width="26.28515625" customWidth="1"/>
    <col min="5" max="5" width="22.140625" customWidth="1"/>
    <col min="6" max="6" width="18.28515625" customWidth="1"/>
    <col min="7" max="7" width="19.42578125" customWidth="1"/>
    <col min="8" max="8" width="22.5703125" customWidth="1"/>
  </cols>
  <sheetData>
    <row r="1" spans="1:10" ht="53.25" customHeight="1">
      <c r="A1" s="2234" t="s">
        <v>1737</v>
      </c>
      <c r="B1" s="2234"/>
      <c r="C1" s="2234"/>
      <c r="D1" s="2234"/>
      <c r="E1" s="2234"/>
      <c r="F1" s="2234"/>
      <c r="G1" s="2234"/>
      <c r="H1" s="2234"/>
      <c r="I1" s="2234"/>
      <c r="J1" s="2234"/>
    </row>
    <row r="2" spans="1:10" ht="74.25" customHeight="1">
      <c r="A2" s="1322" t="s">
        <v>53</v>
      </c>
      <c r="B2" s="1323" t="s">
        <v>1079</v>
      </c>
      <c r="C2" s="1323" t="s">
        <v>1080</v>
      </c>
      <c r="D2" s="1323" t="s">
        <v>1081</v>
      </c>
      <c r="E2" s="1323" t="s">
        <v>1082</v>
      </c>
      <c r="F2" s="1323" t="s">
        <v>1083</v>
      </c>
      <c r="G2" s="1323" t="s">
        <v>1316</v>
      </c>
      <c r="H2" s="1323" t="s">
        <v>1078</v>
      </c>
      <c r="I2" s="898" t="s">
        <v>114</v>
      </c>
    </row>
    <row r="3" spans="1:10" ht="18.75">
      <c r="A3" s="1322">
        <v>2009</v>
      </c>
      <c r="B3" s="1319">
        <v>0</v>
      </c>
      <c r="C3" s="1319">
        <v>0</v>
      </c>
      <c r="D3" s="1319">
        <v>0</v>
      </c>
      <c r="E3" s="1319" t="s">
        <v>1084</v>
      </c>
      <c r="F3" s="1319">
        <v>0</v>
      </c>
      <c r="G3" s="1319">
        <v>0</v>
      </c>
      <c r="H3" s="1319">
        <v>0</v>
      </c>
      <c r="I3" s="1321">
        <f t="shared" ref="I3:I8" si="0">+H3+G3+F3+E3+D3+C3+B3</f>
        <v>0</v>
      </c>
    </row>
    <row r="4" spans="1:10" ht="18.75">
      <c r="A4" s="1322">
        <v>2010</v>
      </c>
      <c r="B4" s="1319">
        <v>0</v>
      </c>
      <c r="C4" s="1319">
        <v>0</v>
      </c>
      <c r="D4" s="1319">
        <v>0</v>
      </c>
      <c r="E4" s="1319">
        <v>0</v>
      </c>
      <c r="F4" s="1319">
        <v>0</v>
      </c>
      <c r="G4" s="1319">
        <v>0</v>
      </c>
      <c r="H4" s="1319">
        <v>0</v>
      </c>
      <c r="I4" s="1321">
        <f t="shared" si="0"/>
        <v>0</v>
      </c>
    </row>
    <row r="5" spans="1:10" ht="18.75">
      <c r="A5" s="1322">
        <v>2011</v>
      </c>
      <c r="B5" s="1320">
        <v>0</v>
      </c>
      <c r="C5" s="1320">
        <v>63</v>
      </c>
      <c r="D5" s="1320">
        <v>22</v>
      </c>
      <c r="E5" s="1320">
        <v>25</v>
      </c>
      <c r="F5" s="1320">
        <v>17</v>
      </c>
      <c r="G5" s="1320">
        <v>11</v>
      </c>
      <c r="H5" s="1320" t="s">
        <v>1748</v>
      </c>
      <c r="I5" s="1321">
        <f t="shared" si="0"/>
        <v>154</v>
      </c>
    </row>
    <row r="6" spans="1:10" ht="18.75">
      <c r="A6" s="1322">
        <v>2012</v>
      </c>
      <c r="B6" s="1320">
        <v>3</v>
      </c>
      <c r="C6" s="1320">
        <v>0</v>
      </c>
      <c r="D6" s="1320">
        <v>0</v>
      </c>
      <c r="E6" s="1320">
        <v>0</v>
      </c>
      <c r="F6" s="1320">
        <v>2</v>
      </c>
      <c r="G6" s="1320" t="s">
        <v>1084</v>
      </c>
      <c r="H6" s="1320">
        <v>31</v>
      </c>
      <c r="I6" s="1321">
        <f t="shared" si="0"/>
        <v>36</v>
      </c>
    </row>
    <row r="7" spans="1:10" ht="18.75">
      <c r="A7" s="1322">
        <v>2013</v>
      </c>
      <c r="B7" s="1320" t="s">
        <v>1393</v>
      </c>
      <c r="C7" s="1320" t="s">
        <v>1634</v>
      </c>
      <c r="D7" s="1320"/>
      <c r="E7" s="1320"/>
      <c r="F7" s="1320" t="s">
        <v>1393</v>
      </c>
      <c r="G7" s="1320" t="s">
        <v>1646</v>
      </c>
      <c r="H7" s="1320" t="s">
        <v>1433</v>
      </c>
      <c r="I7" s="1321">
        <f t="shared" si="0"/>
        <v>58</v>
      </c>
    </row>
    <row r="8" spans="1:10" ht="18.75">
      <c r="A8" s="1322" t="s">
        <v>1734</v>
      </c>
      <c r="B8" s="1320"/>
      <c r="C8" s="1320" t="s">
        <v>1393</v>
      </c>
      <c r="D8" s="1320"/>
      <c r="E8" s="1320"/>
      <c r="F8" s="1320"/>
      <c r="G8" s="1320" t="s">
        <v>1638</v>
      </c>
      <c r="H8" s="1320" t="s">
        <v>1637</v>
      </c>
      <c r="I8" s="1321">
        <f t="shared" si="0"/>
        <v>10</v>
      </c>
    </row>
  </sheetData>
  <mergeCells count="1">
    <mergeCell ref="A1:J1"/>
  </mergeCells>
  <pageMargins left="0.7" right="0.7" top="0.75" bottom="0.75" header="0.3" footer="0.3"/>
  <pageSetup scale="65" orientation="landscape" r:id="rId1"/>
  <drawing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3"/>
  <sheetViews>
    <sheetView showGridLines="0" view="pageBreakPreview" zoomScale="85" zoomScaleNormal="100" zoomScaleSheetLayoutView="85" workbookViewId="0">
      <pane ySplit="1" topLeftCell="A2" activePane="bottomLeft" state="frozen"/>
      <selection pane="bottomLeft" activeCell="F3" sqref="F3"/>
    </sheetView>
  </sheetViews>
  <sheetFormatPr baseColWidth="10" defaultColWidth="11.42578125" defaultRowHeight="15"/>
  <cols>
    <col min="1" max="1" width="14" customWidth="1"/>
    <col min="2" max="2" width="18" customWidth="1"/>
    <col min="3" max="3" width="18.7109375" customWidth="1"/>
    <col min="4" max="4" width="13.85546875" customWidth="1"/>
    <col min="5" max="5" width="13.5703125" customWidth="1"/>
    <col min="6" max="6" width="18" customWidth="1"/>
    <col min="7" max="7" width="13.28515625" customWidth="1"/>
    <col min="8" max="8" width="11.7109375" customWidth="1"/>
    <col min="9" max="9" width="12.7109375" customWidth="1"/>
    <col min="10" max="10" width="26.7109375" customWidth="1"/>
    <col min="11" max="11" width="8" customWidth="1"/>
  </cols>
  <sheetData>
    <row r="1" spans="1:14" ht="54.75" customHeight="1">
      <c r="A1" s="2598" t="s">
        <v>1738</v>
      </c>
      <c r="B1" s="2598"/>
      <c r="C1" s="2598"/>
      <c r="D1" s="2598"/>
      <c r="E1" s="2598"/>
      <c r="F1" s="2598"/>
      <c r="G1" s="2598"/>
      <c r="H1" s="2598"/>
      <c r="I1" s="2598"/>
      <c r="J1" s="2598"/>
      <c r="K1" s="2598"/>
      <c r="L1" s="2598"/>
    </row>
    <row r="2" spans="1:14" ht="3" customHeight="1"/>
    <row r="3" spans="1:14" ht="73.5" customHeight="1">
      <c r="A3" s="898" t="s">
        <v>1085</v>
      </c>
      <c r="B3" s="898" t="s">
        <v>1086</v>
      </c>
      <c r="C3" s="898" t="s">
        <v>1087</v>
      </c>
      <c r="D3" s="898" t="s">
        <v>1088</v>
      </c>
      <c r="E3" s="898" t="s">
        <v>1089</v>
      </c>
      <c r="F3" s="898" t="s">
        <v>1090</v>
      </c>
      <c r="G3" s="898" t="s">
        <v>1091</v>
      </c>
      <c r="H3" s="898" t="s">
        <v>1092</v>
      </c>
      <c r="I3" s="898" t="s">
        <v>1093</v>
      </c>
      <c r="J3" s="898" t="s">
        <v>1094</v>
      </c>
      <c r="K3" s="898" t="s">
        <v>114</v>
      </c>
    </row>
    <row r="4" spans="1:14" ht="15.75">
      <c r="A4" s="1325" t="s">
        <v>468</v>
      </c>
      <c r="B4" s="1324">
        <v>47</v>
      </c>
      <c r="C4" s="1324">
        <v>0</v>
      </c>
      <c r="D4" s="1324">
        <v>0</v>
      </c>
      <c r="E4" s="1324">
        <v>0</v>
      </c>
      <c r="F4" s="1324">
        <v>1</v>
      </c>
      <c r="G4" s="1324">
        <v>0</v>
      </c>
      <c r="H4" s="1324">
        <v>0</v>
      </c>
      <c r="I4" s="1324">
        <v>0</v>
      </c>
      <c r="J4" s="1324">
        <v>0</v>
      </c>
      <c r="K4" s="897">
        <f t="shared" ref="K4:K9" si="0">+J4+I4+H4+G4+F4+E4+D4+C4+B4</f>
        <v>48</v>
      </c>
    </row>
    <row r="5" spans="1:14" ht="18.75">
      <c r="A5" s="1325" t="s">
        <v>360</v>
      </c>
      <c r="B5" s="1598">
        <v>128</v>
      </c>
      <c r="C5" s="1598">
        <v>0</v>
      </c>
      <c r="D5" s="1598">
        <v>5</v>
      </c>
      <c r="E5" s="1598">
        <v>0</v>
      </c>
      <c r="F5" s="1598">
        <v>15</v>
      </c>
      <c r="G5" s="1598">
        <v>58</v>
      </c>
      <c r="H5" s="1598">
        <v>0</v>
      </c>
      <c r="I5" s="1598">
        <v>0</v>
      </c>
      <c r="J5" s="1598">
        <v>0</v>
      </c>
      <c r="K5" s="897">
        <f t="shared" si="0"/>
        <v>206</v>
      </c>
      <c r="N5" s="1259">
        <v>25</v>
      </c>
    </row>
    <row r="6" spans="1:14" ht="18.75">
      <c r="A6" s="1325" t="s">
        <v>469</v>
      </c>
      <c r="B6" s="1598">
        <v>49</v>
      </c>
      <c r="C6" s="1598">
        <v>19</v>
      </c>
      <c r="D6" s="1598">
        <v>2</v>
      </c>
      <c r="E6" s="1598">
        <v>2</v>
      </c>
      <c r="F6" s="1598">
        <v>35</v>
      </c>
      <c r="G6" s="1598">
        <v>83</v>
      </c>
      <c r="H6" s="1598">
        <v>1</v>
      </c>
      <c r="I6" s="1598">
        <v>0</v>
      </c>
      <c r="J6" s="1598">
        <v>4</v>
      </c>
      <c r="K6" s="897">
        <f t="shared" si="0"/>
        <v>195</v>
      </c>
      <c r="N6" s="1259">
        <v>55</v>
      </c>
    </row>
    <row r="7" spans="1:14" ht="18.75">
      <c r="A7" s="1325" t="s">
        <v>1058</v>
      </c>
      <c r="B7" s="1598">
        <v>150</v>
      </c>
      <c r="C7" s="1598">
        <v>147</v>
      </c>
      <c r="D7" s="1598">
        <v>21</v>
      </c>
      <c r="E7" s="1598">
        <v>30</v>
      </c>
      <c r="F7" s="1598">
        <v>47</v>
      </c>
      <c r="G7" s="1598">
        <v>176</v>
      </c>
      <c r="H7" s="1598">
        <v>2</v>
      </c>
      <c r="I7" s="1598">
        <v>0</v>
      </c>
      <c r="J7" s="1598">
        <v>0</v>
      </c>
      <c r="K7" s="897">
        <f t="shared" si="0"/>
        <v>573</v>
      </c>
      <c r="N7" s="1259">
        <v>11</v>
      </c>
    </row>
    <row r="8" spans="1:14" ht="18.75">
      <c r="A8" s="1325" t="s">
        <v>1643</v>
      </c>
      <c r="B8" s="1598" t="s">
        <v>1647</v>
      </c>
      <c r="C8" s="1598" t="s">
        <v>1648</v>
      </c>
      <c r="D8" s="1598" t="s">
        <v>1649</v>
      </c>
      <c r="E8" s="1598" t="s">
        <v>1650</v>
      </c>
      <c r="F8" s="1598" t="s">
        <v>1635</v>
      </c>
      <c r="G8" s="1598" t="s">
        <v>1636</v>
      </c>
      <c r="H8" s="1598" t="s">
        <v>1239</v>
      </c>
      <c r="I8" s="1598" t="s">
        <v>1084</v>
      </c>
      <c r="J8" s="1598" t="s">
        <v>1634</v>
      </c>
      <c r="K8" s="897">
        <f t="shared" si="0"/>
        <v>429</v>
      </c>
      <c r="N8" s="1259">
        <v>12</v>
      </c>
    </row>
    <row r="9" spans="1:14" ht="18.75">
      <c r="A9" s="1325" t="s">
        <v>1735</v>
      </c>
      <c r="B9" s="1598" t="s">
        <v>1739</v>
      </c>
      <c r="C9" s="1598" t="s">
        <v>1740</v>
      </c>
      <c r="D9" s="1598" t="s">
        <v>1741</v>
      </c>
      <c r="E9" s="1598" t="s">
        <v>1741</v>
      </c>
      <c r="F9" s="1598" t="s">
        <v>1741</v>
      </c>
      <c r="G9" s="1598" t="s">
        <v>1742</v>
      </c>
      <c r="H9" s="1598" t="s">
        <v>1393</v>
      </c>
      <c r="I9" s="1598" t="s">
        <v>1084</v>
      </c>
      <c r="J9" s="1598" t="s">
        <v>1393</v>
      </c>
      <c r="K9" s="897">
        <f t="shared" si="0"/>
        <v>91</v>
      </c>
      <c r="N9" s="1259">
        <v>1</v>
      </c>
    </row>
    <row r="10" spans="1:14" ht="18.75">
      <c r="N10" s="1259">
        <v>17</v>
      </c>
    </row>
    <row r="11" spans="1:14" ht="18.75">
      <c r="N11" s="1259">
        <v>1</v>
      </c>
    </row>
    <row r="12" spans="1:14" ht="18.75">
      <c r="N12" s="1259">
        <v>0</v>
      </c>
    </row>
    <row r="13" spans="1:14" ht="18.75">
      <c r="N13" s="1259">
        <v>9</v>
      </c>
    </row>
  </sheetData>
  <mergeCells count="1">
    <mergeCell ref="A1:L1"/>
  </mergeCells>
  <pageMargins left="0.7" right="0.7" top="0.75" bottom="0.75" header="0.3" footer="0.3"/>
  <pageSetup scale="68" orientation="landscape" r:id="rId1"/>
  <drawing r:id="rId2"/>
  <legacy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
  <sheetViews>
    <sheetView showGridLines="0" view="pageBreakPreview" zoomScale="85" zoomScaleNormal="85" zoomScaleSheetLayoutView="85" workbookViewId="0">
      <selection activeCell="G3" sqref="G3"/>
    </sheetView>
  </sheetViews>
  <sheetFormatPr baseColWidth="10" defaultColWidth="11.42578125" defaultRowHeight="15"/>
  <cols>
    <col min="2" max="2" width="21.5703125" customWidth="1"/>
    <col min="3" max="3" width="0" hidden="1" customWidth="1"/>
    <col min="4" max="4" width="11.42578125" customWidth="1"/>
    <col min="5" max="5" width="10.85546875" customWidth="1"/>
    <col min="6" max="6" width="10.140625" customWidth="1"/>
    <col min="7" max="7" width="15.5703125" customWidth="1"/>
    <col min="8" max="8" width="11.7109375" customWidth="1"/>
    <col min="9" max="9" width="18.85546875" customWidth="1"/>
    <col min="10" max="10" width="16" customWidth="1"/>
    <col min="11" max="11" width="18" customWidth="1"/>
    <col min="12" max="12" width="17.85546875" customWidth="1"/>
    <col min="13" max="13" width="15.140625" customWidth="1"/>
    <col min="15" max="15" width="0" hidden="1" customWidth="1"/>
  </cols>
  <sheetData>
    <row r="1" spans="1:15" ht="61.5" customHeight="1">
      <c r="A1" s="2234" t="s">
        <v>1743</v>
      </c>
      <c r="B1" s="2234"/>
      <c r="C1" s="2234"/>
      <c r="D1" s="2234"/>
      <c r="E1" s="2234"/>
      <c r="F1" s="2234"/>
      <c r="G1" s="2234"/>
      <c r="H1" s="2234"/>
      <c r="I1" s="2234"/>
      <c r="J1" s="2234"/>
      <c r="K1" s="2234"/>
      <c r="L1" s="2234"/>
      <c r="M1" s="2234"/>
      <c r="N1" s="2234"/>
      <c r="O1" s="2234"/>
    </row>
    <row r="2" spans="1:15" ht="3" customHeight="1">
      <c r="A2" s="128"/>
      <c r="B2" s="128"/>
      <c r="C2" s="128"/>
      <c r="D2" s="128"/>
      <c r="E2" s="128"/>
      <c r="F2" s="128"/>
      <c r="G2" s="128"/>
      <c r="H2" s="128"/>
      <c r="I2" s="128"/>
      <c r="J2" s="128"/>
      <c r="K2" s="128"/>
    </row>
    <row r="3" spans="1:15" ht="63.75" customHeight="1">
      <c r="A3" s="898" t="s">
        <v>53</v>
      </c>
      <c r="B3" s="896" t="s">
        <v>1101</v>
      </c>
      <c r="C3" s="896" t="s">
        <v>1095</v>
      </c>
      <c r="D3" s="896" t="s">
        <v>1102</v>
      </c>
      <c r="E3" s="896" t="s">
        <v>1103</v>
      </c>
      <c r="F3" s="896" t="s">
        <v>1104</v>
      </c>
      <c r="G3" s="896" t="s">
        <v>1100</v>
      </c>
      <c r="H3" s="896" t="s">
        <v>1105</v>
      </c>
      <c r="I3" s="896" t="s">
        <v>1106</v>
      </c>
      <c r="J3" s="896" t="s">
        <v>1096</v>
      </c>
      <c r="K3" s="896" t="s">
        <v>1097</v>
      </c>
      <c r="L3" s="896" t="s">
        <v>1098</v>
      </c>
      <c r="M3" s="1781" t="s">
        <v>1099</v>
      </c>
    </row>
    <row r="4" spans="1:15">
      <c r="A4" s="901">
        <v>2009</v>
      </c>
      <c r="B4" s="899">
        <v>37</v>
      </c>
      <c r="C4" s="899">
        <v>32</v>
      </c>
      <c r="D4" s="899">
        <v>0</v>
      </c>
      <c r="E4" s="899">
        <v>0</v>
      </c>
      <c r="F4" s="899">
        <v>0</v>
      </c>
      <c r="G4" s="899">
        <v>0</v>
      </c>
      <c r="H4" s="899">
        <v>0</v>
      </c>
      <c r="I4" s="899">
        <v>0</v>
      </c>
      <c r="J4" s="899">
        <v>12</v>
      </c>
      <c r="K4" s="899">
        <v>0</v>
      </c>
      <c r="L4" s="899">
        <v>0</v>
      </c>
      <c r="M4" s="899">
        <v>0</v>
      </c>
    </row>
    <row r="5" spans="1:15">
      <c r="A5" s="901">
        <v>2010</v>
      </c>
      <c r="B5" s="899">
        <v>98</v>
      </c>
      <c r="C5" s="899">
        <v>98</v>
      </c>
      <c r="D5" s="899">
        <v>5</v>
      </c>
      <c r="E5" s="899">
        <v>81</v>
      </c>
      <c r="F5" s="899">
        <v>1</v>
      </c>
      <c r="G5" s="899">
        <v>11</v>
      </c>
      <c r="H5" s="899">
        <v>1</v>
      </c>
      <c r="I5" s="899">
        <v>1</v>
      </c>
      <c r="J5" s="899">
        <v>9</v>
      </c>
      <c r="K5" s="899">
        <v>0</v>
      </c>
      <c r="L5" s="899">
        <v>0</v>
      </c>
      <c r="M5" s="899">
        <v>0</v>
      </c>
    </row>
    <row r="6" spans="1:15">
      <c r="A6" s="901">
        <v>2011</v>
      </c>
      <c r="B6" s="902">
        <v>46</v>
      </c>
      <c r="C6" s="902">
        <v>46</v>
      </c>
      <c r="D6" s="902">
        <v>0</v>
      </c>
      <c r="E6" s="902">
        <v>0</v>
      </c>
      <c r="F6" s="902">
        <v>0</v>
      </c>
      <c r="G6" s="902">
        <v>0</v>
      </c>
      <c r="H6" s="902">
        <v>0</v>
      </c>
      <c r="I6" s="902">
        <v>0</v>
      </c>
      <c r="J6" s="902">
        <v>0</v>
      </c>
      <c r="K6" s="902">
        <v>18</v>
      </c>
      <c r="L6" s="902">
        <v>0</v>
      </c>
      <c r="M6" s="902">
        <v>19</v>
      </c>
    </row>
    <row r="7" spans="1:15">
      <c r="A7" s="901">
        <v>2012</v>
      </c>
      <c r="B7" s="900">
        <v>163</v>
      </c>
      <c r="C7" s="900">
        <v>163</v>
      </c>
      <c r="D7" s="900">
        <v>0</v>
      </c>
      <c r="E7" s="900">
        <v>0</v>
      </c>
      <c r="F7" s="900">
        <v>0</v>
      </c>
      <c r="G7" s="900">
        <v>0</v>
      </c>
      <c r="H7" s="900">
        <v>0</v>
      </c>
      <c r="I7" s="900">
        <v>0</v>
      </c>
      <c r="J7" s="900">
        <v>20</v>
      </c>
      <c r="K7" s="900">
        <v>30</v>
      </c>
      <c r="L7" s="900">
        <v>0</v>
      </c>
      <c r="M7" s="900" t="s">
        <v>1749</v>
      </c>
    </row>
    <row r="8" spans="1:15">
      <c r="A8" s="901" t="s">
        <v>1643</v>
      </c>
      <c r="B8" s="1599" t="s">
        <v>1651</v>
      </c>
      <c r="C8" s="1599"/>
      <c r="D8" s="1599" t="s">
        <v>1652</v>
      </c>
      <c r="E8" s="1599" t="s">
        <v>1239</v>
      </c>
      <c r="F8" s="1599">
        <v>0</v>
      </c>
      <c r="G8" s="1599">
        <v>0</v>
      </c>
      <c r="H8" s="1599">
        <v>0</v>
      </c>
      <c r="I8" s="1599" t="s">
        <v>1637</v>
      </c>
      <c r="J8" s="1599" t="s">
        <v>1638</v>
      </c>
      <c r="K8" s="1599" t="s">
        <v>1084</v>
      </c>
      <c r="L8" s="1599" t="s">
        <v>1084</v>
      </c>
      <c r="M8" s="1599" t="s">
        <v>1084</v>
      </c>
    </row>
    <row r="9" spans="1:15">
      <c r="A9" s="901" t="s">
        <v>1734</v>
      </c>
      <c r="B9" s="1599" t="s">
        <v>1634</v>
      </c>
      <c r="C9" s="1599"/>
      <c r="D9" s="1599"/>
      <c r="E9" s="1599"/>
      <c r="F9" s="1599"/>
      <c r="G9" s="1599"/>
      <c r="H9" s="1599"/>
      <c r="I9" s="1599"/>
      <c r="J9" s="1599" t="s">
        <v>1638</v>
      </c>
      <c r="K9" s="1599"/>
      <c r="L9" s="1599"/>
      <c r="M9" s="1599"/>
    </row>
  </sheetData>
  <mergeCells count="1">
    <mergeCell ref="A1:O1"/>
  </mergeCells>
  <pageMargins left="0.7" right="0.7" top="0.75" bottom="0.75" header="0.3" footer="0.3"/>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C000"/>
    <pageSetUpPr fitToPage="1"/>
  </sheetPr>
  <dimension ref="A1:Q40"/>
  <sheetViews>
    <sheetView showGridLines="0" view="pageBreakPreview" zoomScale="85" zoomScaleNormal="85" zoomScaleSheetLayoutView="85" workbookViewId="0">
      <selection activeCell="I10" sqref="I10"/>
    </sheetView>
  </sheetViews>
  <sheetFormatPr baseColWidth="10" defaultColWidth="11.42578125" defaultRowHeight="13.5" customHeight="1"/>
  <cols>
    <col min="1" max="1" width="16.85546875" style="111" customWidth="1"/>
    <col min="2" max="2" width="12.5703125" style="111" customWidth="1"/>
    <col min="3" max="3" width="11.28515625" style="111" customWidth="1"/>
    <col min="4" max="4" width="17.28515625" style="111" customWidth="1"/>
    <col min="5" max="5" width="14.140625" style="111" bestFit="1" customWidth="1"/>
    <col min="6" max="6" width="11.42578125" style="111"/>
    <col min="7" max="7" width="11.7109375" style="111" customWidth="1"/>
    <col min="8" max="8" width="12.5703125" style="111" customWidth="1"/>
    <col min="9" max="10" width="11.42578125" style="111"/>
    <col min="11" max="11" width="17.140625" style="111" customWidth="1"/>
    <col min="12" max="12" width="9.5703125" style="111" customWidth="1"/>
    <col min="13" max="13" width="10.28515625" style="111" customWidth="1"/>
    <col min="14" max="14" width="13.7109375" style="111" customWidth="1"/>
    <col min="15" max="16384" width="11.42578125" style="111"/>
  </cols>
  <sheetData>
    <row r="1" spans="1:17" ht="69.75" customHeight="1">
      <c r="A1" s="2236" t="s">
        <v>1929</v>
      </c>
      <c r="B1" s="2237"/>
      <c r="C1" s="2237"/>
      <c r="D1" s="2237"/>
      <c r="E1" s="2237"/>
      <c r="F1" s="2237"/>
      <c r="G1" s="2237"/>
      <c r="H1" s="2237"/>
      <c r="I1" s="2237"/>
      <c r="J1" s="2237"/>
      <c r="K1" s="2237"/>
      <c r="L1" s="2237"/>
      <c r="M1" s="2238"/>
    </row>
    <row r="2" spans="1:17" ht="13.5" customHeight="1">
      <c r="A2" s="2239" t="s">
        <v>1930</v>
      </c>
      <c r="B2" s="2239"/>
      <c r="C2" s="2239"/>
      <c r="D2" s="2239"/>
      <c r="E2" s="2239"/>
      <c r="F2" s="2239"/>
      <c r="G2" s="2239"/>
      <c r="H2" s="2239"/>
      <c r="I2" s="2239"/>
      <c r="J2" s="2239"/>
      <c r="K2" s="2239"/>
      <c r="L2" s="2239"/>
      <c r="M2" s="2239"/>
    </row>
    <row r="3" spans="1:17" ht="19.5" customHeight="1">
      <c r="A3" s="2240"/>
      <c r="B3" s="2240"/>
      <c r="C3" s="2240"/>
      <c r="D3" s="2240"/>
      <c r="E3" s="2240"/>
      <c r="F3" s="2240"/>
      <c r="G3" s="2240"/>
      <c r="H3" s="2240"/>
      <c r="I3" s="2240"/>
      <c r="J3" s="2240"/>
      <c r="K3" s="2240"/>
      <c r="L3" s="2240"/>
      <c r="M3" s="2240"/>
    </row>
    <row r="4" spans="1:17" ht="18" customHeight="1">
      <c r="A4" s="2240"/>
      <c r="B4" s="2240"/>
      <c r="C4" s="2240"/>
      <c r="D4" s="2240"/>
      <c r="E4" s="2240"/>
      <c r="F4" s="2240"/>
      <c r="G4" s="2240"/>
      <c r="H4" s="2240"/>
      <c r="I4" s="2240"/>
      <c r="J4" s="2240"/>
      <c r="K4" s="2240"/>
      <c r="L4" s="2240"/>
      <c r="M4" s="2240"/>
    </row>
    <row r="5" spans="1:17" ht="39" customHeight="1">
      <c r="A5" s="2240"/>
      <c r="B5" s="2240"/>
      <c r="C5" s="2240"/>
      <c r="D5" s="2240"/>
      <c r="E5" s="2240"/>
      <c r="F5" s="2240"/>
      <c r="G5" s="2240"/>
      <c r="H5" s="2240"/>
      <c r="I5" s="2240"/>
      <c r="J5" s="2240"/>
      <c r="K5" s="2240"/>
      <c r="L5" s="2240"/>
      <c r="M5" s="2240"/>
      <c r="N5" s="1195"/>
      <c r="Q5" s="507"/>
    </row>
    <row r="6" spans="1:17" ht="30.75" customHeight="1">
      <c r="A6" s="1050" t="s">
        <v>227</v>
      </c>
      <c r="B6" s="1050" t="s">
        <v>228</v>
      </c>
      <c r="C6" s="1050" t="s">
        <v>48</v>
      </c>
      <c r="D6" s="1051" t="s">
        <v>1026</v>
      </c>
      <c r="E6" s="1050" t="s">
        <v>48</v>
      </c>
      <c r="F6" s="115"/>
      <c r="G6" s="1914"/>
      <c r="H6" s="1919"/>
      <c r="I6" s="1919"/>
      <c r="J6" s="1919"/>
      <c r="K6" s="1920"/>
      <c r="L6" s="1917"/>
      <c r="M6" s="1915"/>
      <c r="N6" s="1195"/>
      <c r="Q6" s="507"/>
    </row>
    <row r="7" spans="1:17" ht="13.5" customHeight="1">
      <c r="A7" s="1052" t="s">
        <v>1114</v>
      </c>
      <c r="B7" s="344">
        <v>38332</v>
      </c>
      <c r="C7" s="1755">
        <f>B7/$B$16</f>
        <v>0.58374196692352209</v>
      </c>
      <c r="D7" s="344">
        <v>97875</v>
      </c>
      <c r="E7" s="1755">
        <f>+D7/$D$16</f>
        <v>5.927500087814816E-2</v>
      </c>
      <c r="F7"/>
      <c r="G7" s="247"/>
      <c r="H7" s="1921"/>
      <c r="I7" s="1919"/>
      <c r="J7" s="1919"/>
      <c r="K7" s="1920"/>
      <c r="L7" s="1918"/>
      <c r="M7" s="1915"/>
      <c r="Q7" s="507"/>
    </row>
    <row r="8" spans="1:17" ht="13.5" customHeight="1">
      <c r="A8" s="1052" t="s">
        <v>1115</v>
      </c>
      <c r="B8" s="344">
        <v>11618</v>
      </c>
      <c r="C8" s="1755">
        <f t="shared" ref="C8:C15" si="0">B8/$B$16</f>
        <v>0.17692565406755398</v>
      </c>
      <c r="D8" s="344">
        <v>88028</v>
      </c>
      <c r="E8" s="1755">
        <f t="shared" ref="E8:E15" si="1">+D8/$D$16</f>
        <v>5.3311466434754803E-2</v>
      </c>
      <c r="F8"/>
      <c r="G8" s="247"/>
      <c r="H8" s="1921"/>
      <c r="I8" s="1919"/>
      <c r="J8" s="1919"/>
      <c r="K8" s="1920"/>
      <c r="L8" s="1918"/>
      <c r="M8" s="1915"/>
      <c r="Q8" s="507"/>
    </row>
    <row r="9" spans="1:17" ht="13.5" customHeight="1">
      <c r="A9" s="1052" t="s">
        <v>1116</v>
      </c>
      <c r="B9" s="344">
        <v>7333</v>
      </c>
      <c r="C9" s="1755">
        <f t="shared" si="0"/>
        <v>0.11167118447903024</v>
      </c>
      <c r="D9" s="344">
        <v>106203</v>
      </c>
      <c r="E9" s="1755">
        <f t="shared" si="1"/>
        <v>6.431859942030109E-2</v>
      </c>
      <c r="F9"/>
      <c r="G9" s="247"/>
      <c r="H9" s="1921"/>
      <c r="I9" s="1919"/>
      <c r="J9" s="1919"/>
      <c r="K9" s="1920"/>
      <c r="L9" s="1918"/>
      <c r="M9" s="1915"/>
      <c r="N9" s="1553"/>
      <c r="Q9" s="507"/>
    </row>
    <row r="10" spans="1:17" ht="13.5" customHeight="1">
      <c r="A10" s="1052" t="s">
        <v>1117</v>
      </c>
      <c r="B10" s="344">
        <v>4886</v>
      </c>
      <c r="C10" s="1755">
        <f t="shared" si="0"/>
        <v>7.4406846770017965E-2</v>
      </c>
      <c r="D10" s="344">
        <v>152433</v>
      </c>
      <c r="E10" s="1755">
        <f t="shared" si="1"/>
        <v>9.2316385275696133E-2</v>
      </c>
      <c r="F10" s="345"/>
      <c r="G10" s="1915"/>
      <c r="H10" s="1922"/>
      <c r="I10" s="1919"/>
      <c r="J10" s="1919"/>
      <c r="K10" s="1920"/>
      <c r="L10" s="1918"/>
      <c r="M10" s="1915"/>
      <c r="N10" s="90"/>
    </row>
    <row r="11" spans="1:17" ht="13.5" customHeight="1">
      <c r="A11" s="1052" t="s">
        <v>1118</v>
      </c>
      <c r="B11" s="344">
        <v>1626</v>
      </c>
      <c r="C11" s="1755">
        <f t="shared" si="0"/>
        <v>2.4761672707337132E-2</v>
      </c>
      <c r="D11" s="344">
        <v>113775</v>
      </c>
      <c r="E11" s="1755">
        <f t="shared" si="1"/>
        <v>6.8904349679809018E-2</v>
      </c>
      <c r="F11" s="507"/>
      <c r="G11" s="1916"/>
      <c r="H11" s="1922"/>
      <c r="I11" s="1919"/>
      <c r="J11" s="1919"/>
      <c r="K11" s="1920"/>
      <c r="L11" s="1918"/>
      <c r="M11" s="1915"/>
      <c r="N11" s="90"/>
      <c r="Q11" s="507"/>
    </row>
    <row r="12" spans="1:17" ht="13.5" customHeight="1">
      <c r="A12" s="1052" t="s">
        <v>1119</v>
      </c>
      <c r="B12" s="344">
        <v>1456</v>
      </c>
      <c r="C12" s="1755">
        <f t="shared" si="0"/>
        <v>2.2172813937197333E-2</v>
      </c>
      <c r="D12" s="344">
        <v>296328</v>
      </c>
      <c r="E12" s="1755">
        <f t="shared" si="1"/>
        <v>0.17946199193072682</v>
      </c>
      <c r="F12"/>
      <c r="G12" s="247"/>
      <c r="H12" s="1922"/>
      <c r="I12" s="1919"/>
      <c r="J12" s="1919"/>
      <c r="K12" s="1920"/>
      <c r="L12" s="1918"/>
      <c r="M12" s="1915"/>
      <c r="N12" s="90"/>
    </row>
    <row r="13" spans="1:17" ht="14.25" customHeight="1">
      <c r="A13" s="1052" t="s">
        <v>1120</v>
      </c>
      <c r="B13" s="344">
        <v>217</v>
      </c>
      <c r="C13" s="1755">
        <f t="shared" si="0"/>
        <v>3.3046020771784483E-3</v>
      </c>
      <c r="D13" s="344">
        <v>148198</v>
      </c>
      <c r="E13" s="1755">
        <f t="shared" si="1"/>
        <v>8.975158702569401E-2</v>
      </c>
      <c r="F13"/>
      <c r="G13" s="247"/>
      <c r="H13" s="1922"/>
      <c r="I13" s="1919"/>
      <c r="J13" s="1919"/>
      <c r="K13" s="1920"/>
      <c r="L13" s="1916"/>
      <c r="M13" s="1915"/>
      <c r="N13" s="90"/>
    </row>
    <row r="14" spans="1:17" ht="15.75">
      <c r="A14" s="1052" t="s">
        <v>1121</v>
      </c>
      <c r="B14" s="344">
        <v>194</v>
      </c>
      <c r="C14" s="1755">
        <f t="shared" si="0"/>
        <v>2.9543447141595347E-3</v>
      </c>
      <c r="D14" s="344">
        <v>410751</v>
      </c>
      <c r="E14" s="1755">
        <f t="shared" si="1"/>
        <v>0.24875878299566012</v>
      </c>
      <c r="F14" s="113"/>
      <c r="G14" s="155"/>
      <c r="H14" s="1922"/>
      <c r="I14" s="1919"/>
      <c r="J14" s="1919"/>
      <c r="K14" s="1920"/>
      <c r="L14" s="507"/>
      <c r="N14" s="90"/>
    </row>
    <row r="15" spans="1:17" ht="15.75">
      <c r="A15" s="1052" t="s">
        <v>1122</v>
      </c>
      <c r="B15" s="344">
        <v>4</v>
      </c>
      <c r="C15" s="2122">
        <f t="shared" si="0"/>
        <v>6.0914324003289374E-5</v>
      </c>
      <c r="D15" s="344">
        <v>237611</v>
      </c>
      <c r="E15" s="1755">
        <f t="shared" si="1"/>
        <v>0.14390183635920983</v>
      </c>
      <c r="F15" s="113"/>
      <c r="G15" s="155"/>
      <c r="H15" s="1913"/>
      <c r="I15" s="1919"/>
      <c r="J15" s="1919"/>
      <c r="K15" s="1920"/>
      <c r="L15" s="507"/>
      <c r="N15" s="90"/>
    </row>
    <row r="16" spans="1:17" ht="13.5" customHeight="1">
      <c r="A16" s="1053" t="s">
        <v>23</v>
      </c>
      <c r="B16" s="1054">
        <f>SUM(B7:B15)</f>
        <v>65666</v>
      </c>
      <c r="C16" s="1055">
        <f>SUM(C7:C15)</f>
        <v>1</v>
      </c>
      <c r="D16" s="1054">
        <f>SUM(D7:D15)</f>
        <v>1651202</v>
      </c>
      <c r="E16" s="1055">
        <f>SUM(E7:E15)</f>
        <v>0.99999999999999989</v>
      </c>
      <c r="F16" s="113"/>
      <c r="G16" s="155"/>
      <c r="H16" s="1913"/>
      <c r="I16" s="1919"/>
      <c r="J16" s="1919"/>
      <c r="K16" s="1920"/>
      <c r="N16" s="90"/>
    </row>
    <row r="17" spans="1:14" ht="13.5" customHeight="1">
      <c r="A17" s="113"/>
      <c r="B17" s="113"/>
      <c r="C17" s="113"/>
      <c r="D17" s="113"/>
      <c r="E17" s="113"/>
      <c r="F17" s="113"/>
      <c r="G17" s="113"/>
      <c r="H17" s="507"/>
      <c r="I17" s="507"/>
      <c r="J17" s="507"/>
      <c r="N17" s="366"/>
    </row>
    <row r="18" spans="1:14" ht="13.5" customHeight="1">
      <c r="A18" s="113"/>
      <c r="B18" s="113"/>
      <c r="C18" s="113"/>
      <c r="D18" s="113"/>
      <c r="E18" s="113"/>
      <c r="F18" s="113"/>
      <c r="G18" s="113"/>
      <c r="H18" s="113"/>
      <c r="I18" s="113"/>
      <c r="N18" s="30"/>
    </row>
    <row r="19" spans="1:14" ht="13.5" customHeight="1">
      <c r="A19" s="113"/>
      <c r="B19" s="113"/>
      <c r="C19" s="113"/>
      <c r="D19" s="113"/>
      <c r="E19" s="113"/>
      <c r="F19" s="113"/>
      <c r="G19" s="113"/>
      <c r="H19" s="113"/>
      <c r="I19" s="113"/>
      <c r="N19" s="90"/>
    </row>
    <row r="20" spans="1:14" ht="13.5" customHeight="1">
      <c r="A20" s="113"/>
      <c r="B20" s="113"/>
      <c r="C20" s="113"/>
      <c r="D20" s="113"/>
      <c r="E20" s="113"/>
      <c r="F20" s="113"/>
      <c r="G20" s="113"/>
      <c r="H20" s="113"/>
      <c r="I20" s="113"/>
      <c r="N20" s="30"/>
    </row>
    <row r="21" spans="1:14" ht="13.5" customHeight="1">
      <c r="A21" s="113"/>
      <c r="B21" s="113"/>
      <c r="C21" s="113"/>
      <c r="D21" s="113"/>
      <c r="E21" s="113"/>
      <c r="F21" s="113"/>
      <c r="G21" s="113"/>
      <c r="H21" s="113"/>
      <c r="I21" s="113"/>
    </row>
    <row r="22" spans="1:14" ht="13.5" customHeight="1">
      <c r="A22" s="113"/>
      <c r="B22" s="113"/>
      <c r="C22" s="113"/>
      <c r="D22" s="113"/>
      <c r="E22" s="113"/>
      <c r="F22" s="113"/>
      <c r="G22" s="113"/>
      <c r="H22" s="113"/>
      <c r="I22" s="113"/>
    </row>
    <row r="23" spans="1:14" ht="13.5" customHeight="1">
      <c r="A23" s="113"/>
      <c r="B23" s="113"/>
      <c r="C23" s="113"/>
      <c r="D23" s="113"/>
      <c r="E23" s="113"/>
      <c r="F23" s="113"/>
      <c r="G23" s="113"/>
      <c r="H23" s="113"/>
      <c r="I23" s="113"/>
    </row>
    <row r="24" spans="1:14" ht="13.5" customHeight="1">
      <c r="A24" s="113"/>
      <c r="B24" s="113"/>
      <c r="C24" s="113"/>
      <c r="D24" s="113"/>
      <c r="E24" s="113"/>
      <c r="F24" s="113"/>
      <c r="G24" s="113"/>
      <c r="H24" s="113"/>
      <c r="I24" s="113"/>
    </row>
    <row r="25" spans="1:14" ht="13.5" customHeight="1">
      <c r="A25" s="113"/>
      <c r="B25" s="113"/>
      <c r="C25" s="113"/>
      <c r="D25" s="113"/>
      <c r="E25" s="113"/>
      <c r="F25" s="113"/>
      <c r="G25" s="113"/>
      <c r="H25" s="113"/>
      <c r="I25" s="113"/>
    </row>
    <row r="26" spans="1:14" ht="13.5" customHeight="1">
      <c r="A26" s="113"/>
      <c r="B26" s="113"/>
      <c r="C26" s="113"/>
      <c r="D26" s="113"/>
      <c r="E26" s="113"/>
      <c r="F26" s="113"/>
      <c r="G26" s="113"/>
      <c r="H26" s="113"/>
      <c r="I26" s="113"/>
    </row>
    <row r="27" spans="1:14" ht="13.5" customHeight="1">
      <c r="A27" s="113"/>
      <c r="B27" s="113"/>
      <c r="C27" s="113"/>
      <c r="D27" s="113"/>
      <c r="E27" s="113"/>
      <c r="F27" s="113"/>
      <c r="G27" s="113"/>
      <c r="H27" s="113"/>
      <c r="I27" s="113"/>
    </row>
    <row r="28" spans="1:14" ht="13.5" customHeight="1">
      <c r="A28" s="113"/>
      <c r="B28" s="113"/>
      <c r="C28" s="113"/>
      <c r="D28" s="113"/>
      <c r="E28" s="113"/>
      <c r="F28" s="113"/>
      <c r="G28" s="113"/>
      <c r="H28" s="113"/>
      <c r="I28" s="113"/>
    </row>
    <row r="29" spans="1:14" ht="13.5" customHeight="1">
      <c r="A29" s="113"/>
      <c r="B29" s="113"/>
      <c r="C29" s="113"/>
      <c r="D29" s="113"/>
      <c r="E29" s="113"/>
      <c r="F29" s="113"/>
      <c r="G29" s="113"/>
      <c r="H29" s="113"/>
      <c r="I29" s="113"/>
    </row>
    <row r="30" spans="1:14" ht="13.5" customHeight="1">
      <c r="A30" s="113"/>
      <c r="B30" s="113"/>
      <c r="C30" s="113"/>
      <c r="D30" s="113"/>
      <c r="E30" s="113"/>
      <c r="F30" s="113"/>
      <c r="G30" s="113"/>
      <c r="H30" s="113"/>
      <c r="I30" s="113"/>
    </row>
    <row r="31" spans="1:14" ht="13.5" customHeight="1">
      <c r="A31" s="113"/>
      <c r="B31" s="113"/>
      <c r="C31" s="113"/>
      <c r="D31" s="113"/>
      <c r="E31" s="113"/>
      <c r="F31" s="113"/>
      <c r="G31" s="113"/>
      <c r="H31" s="113"/>
      <c r="I31" s="113"/>
    </row>
    <row r="32" spans="1:14" ht="13.5" customHeight="1">
      <c r="A32" s="113"/>
      <c r="B32" s="113"/>
      <c r="C32" s="113"/>
      <c r="D32" s="113"/>
      <c r="E32" s="113"/>
      <c r="F32" s="113"/>
      <c r="G32" s="113"/>
      <c r="H32" s="113"/>
      <c r="I32" s="113"/>
    </row>
    <row r="33" spans="1:9" ht="13.5" customHeight="1">
      <c r="A33" s="113"/>
      <c r="B33" s="113"/>
      <c r="C33" s="113"/>
      <c r="D33" s="113"/>
      <c r="E33" s="113"/>
      <c r="F33" s="113"/>
      <c r="G33" s="113"/>
      <c r="H33" s="113"/>
      <c r="I33" s="113"/>
    </row>
    <row r="34" spans="1:9" ht="13.5" customHeight="1">
      <c r="A34" s="113"/>
      <c r="B34" s="113"/>
      <c r="C34" s="113"/>
      <c r="D34" s="113"/>
      <c r="E34" s="113"/>
      <c r="F34" s="113"/>
      <c r="G34" s="113"/>
      <c r="H34" s="113"/>
      <c r="I34" s="113"/>
    </row>
    <row r="35" spans="1:9" ht="13.5" customHeight="1">
      <c r="A35" s="113"/>
      <c r="B35" s="113"/>
      <c r="C35" s="113"/>
      <c r="D35" s="113"/>
      <c r="E35" s="113"/>
      <c r="F35" s="113"/>
      <c r="G35" s="113"/>
      <c r="H35" s="113"/>
      <c r="I35" s="113"/>
    </row>
    <row r="36" spans="1:9" ht="13.5" customHeight="1">
      <c r="A36" s="113"/>
      <c r="B36" s="113"/>
      <c r="C36" s="113"/>
      <c r="D36" s="113"/>
      <c r="E36" s="113"/>
      <c r="F36" s="113"/>
      <c r="G36" s="113"/>
      <c r="H36" s="113"/>
      <c r="I36" s="113"/>
    </row>
    <row r="37" spans="1:9" ht="13.5" customHeight="1">
      <c r="A37" s="113"/>
      <c r="B37" s="113"/>
      <c r="C37" s="113"/>
      <c r="D37" s="113"/>
      <c r="E37" s="113"/>
      <c r="F37" s="113"/>
      <c r="G37" s="113"/>
      <c r="H37" s="113"/>
      <c r="I37" s="113"/>
    </row>
    <row r="38" spans="1:9" ht="13.5" customHeight="1">
      <c r="A38" s="113"/>
      <c r="B38" s="113"/>
      <c r="C38" s="113"/>
      <c r="D38" s="113"/>
      <c r="E38" s="113"/>
      <c r="F38" s="113"/>
      <c r="G38" s="113"/>
      <c r="H38" s="113"/>
      <c r="I38" s="113"/>
    </row>
    <row r="39" spans="1:9" ht="13.5" customHeight="1">
      <c r="A39" s="113"/>
      <c r="B39" s="113"/>
      <c r="C39" s="113"/>
      <c r="D39" s="113"/>
      <c r="E39" s="113"/>
      <c r="F39" s="113"/>
      <c r="G39" s="113"/>
      <c r="H39" s="113"/>
      <c r="I39" s="113"/>
    </row>
    <row r="40" spans="1:9" ht="13.5" customHeight="1">
      <c r="A40" s="113"/>
      <c r="B40" s="113"/>
      <c r="C40" s="113"/>
      <c r="D40" s="113"/>
      <c r="E40" s="113"/>
      <c r="F40" s="113"/>
      <c r="G40" s="113"/>
      <c r="H40" s="113"/>
      <c r="I40" s="113"/>
    </row>
  </sheetData>
  <mergeCells count="2">
    <mergeCell ref="A1:M1"/>
    <mergeCell ref="A2:M5"/>
  </mergeCells>
  <printOptions horizontalCentered="1" verticalCentered="1"/>
  <pageMargins left="0.4" right="0.4" top="0.25" bottom="0.25" header="0.31496062992126" footer="0.31496062992126"/>
  <pageSetup scale="60" orientation="landscape"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7" sqref="G27"/>
    </sheetView>
  </sheetViews>
  <sheetFormatPr baseColWidth="10" defaultRowHeight="15"/>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6" sqref="F36"/>
    </sheetView>
  </sheetViews>
  <sheetFormatPr baseColWidth="10" defaultRowHeight="15"/>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C000"/>
    <pageSetUpPr fitToPage="1"/>
  </sheetPr>
  <dimension ref="A1:T24"/>
  <sheetViews>
    <sheetView view="pageBreakPreview" zoomScale="70" zoomScaleNormal="85" zoomScaleSheetLayoutView="70" workbookViewId="0">
      <selection activeCell="E10" sqref="E10"/>
    </sheetView>
  </sheetViews>
  <sheetFormatPr baseColWidth="10" defaultColWidth="11.42578125" defaultRowHeight="11.25" customHeight="1"/>
  <cols>
    <col min="1" max="1" width="16.85546875" style="117" customWidth="1"/>
    <col min="2" max="2" width="22" style="117" customWidth="1"/>
    <col min="3" max="3" width="22.140625" style="117" customWidth="1"/>
    <col min="4" max="4" width="21.7109375" style="117" customWidth="1"/>
    <col min="5" max="5" width="20" style="117" customWidth="1"/>
    <col min="6" max="7" width="11.42578125" style="117"/>
    <col min="8" max="8" width="12.5703125" style="117" bestFit="1" customWidth="1"/>
    <col min="9" max="9" width="13.5703125" style="117" bestFit="1" customWidth="1"/>
    <col min="10" max="10" width="12" style="117" customWidth="1"/>
    <col min="11" max="11" width="13.85546875" style="117" customWidth="1"/>
    <col min="12" max="12" width="15.140625" style="117" customWidth="1"/>
    <col min="13" max="13" width="19.140625" style="117" customWidth="1"/>
    <col min="14" max="14" width="24.28515625" style="117" customWidth="1"/>
    <col min="15" max="18" width="11.42578125" style="117"/>
    <col min="19" max="19" width="10" style="117" customWidth="1"/>
    <col min="20" max="16384" width="11.42578125" style="117"/>
  </cols>
  <sheetData>
    <row r="1" spans="1:20" s="111" customFormat="1" ht="87" customHeight="1">
      <c r="A1" s="2241" t="s">
        <v>1931</v>
      </c>
      <c r="B1" s="2241"/>
      <c r="C1" s="2241"/>
      <c r="D1" s="2241"/>
      <c r="E1" s="2241"/>
      <c r="F1" s="2241"/>
      <c r="G1" s="2241"/>
      <c r="H1" s="2241"/>
      <c r="I1" s="2241"/>
      <c r="J1" s="2241"/>
      <c r="K1" s="2241"/>
      <c r="L1" s="2241"/>
      <c r="M1" s="2241"/>
      <c r="N1" s="2241"/>
    </row>
    <row r="2" spans="1:20" s="111" customFormat="1" ht="3" customHeight="1">
      <c r="E2" s="118"/>
    </row>
    <row r="3" spans="1:20" s="111" customFormat="1" ht="39.75" customHeight="1">
      <c r="A3" s="1056" t="s">
        <v>223</v>
      </c>
      <c r="B3" s="1057" t="s">
        <v>229</v>
      </c>
      <c r="C3" s="1058" t="s">
        <v>230</v>
      </c>
      <c r="D3" s="1057" t="s">
        <v>231</v>
      </c>
      <c r="E3" s="118"/>
      <c r="F3" s="112"/>
      <c r="J3" s="1195"/>
      <c r="M3" s="507"/>
    </row>
    <row r="4" spans="1:20" s="111" customFormat="1" ht="19.5" customHeight="1">
      <c r="A4" s="1059" t="s">
        <v>1059</v>
      </c>
      <c r="B4" s="1925">
        <v>12759.99</v>
      </c>
      <c r="C4" s="1925">
        <v>15836.19</v>
      </c>
      <c r="D4" s="1925">
        <v>14748.51</v>
      </c>
      <c r="E4" s="118"/>
      <c r="F4" s="112"/>
      <c r="O4" s="645"/>
      <c r="P4" s="645"/>
      <c r="Q4" s="645"/>
      <c r="R4" s="645"/>
      <c r="S4" s="1923"/>
      <c r="T4" s="1923"/>
    </row>
    <row r="5" spans="1:20" s="111" customFormat="1" ht="21.75" customHeight="1">
      <c r="A5" s="1059" t="s">
        <v>944</v>
      </c>
      <c r="B5" s="1925">
        <v>13452.51</v>
      </c>
      <c r="C5" s="1925">
        <v>14653.84</v>
      </c>
      <c r="D5" s="1925">
        <v>15155.74</v>
      </c>
      <c r="E5" s="118"/>
      <c r="F5" s="112"/>
      <c r="O5" s="645"/>
      <c r="P5" s="645"/>
      <c r="Q5" s="645"/>
      <c r="R5" s="645"/>
      <c r="S5" s="1923"/>
      <c r="T5" s="1923"/>
    </row>
    <row r="6" spans="1:20" s="111" customFormat="1" ht="20.25" customHeight="1">
      <c r="A6" s="1059" t="s">
        <v>945</v>
      </c>
      <c r="B6" s="1925">
        <v>13943.45</v>
      </c>
      <c r="C6" s="1925">
        <v>16719.03</v>
      </c>
      <c r="D6" s="1925">
        <v>15971.57</v>
      </c>
      <c r="E6" s="118"/>
      <c r="F6" s="112"/>
      <c r="O6" s="645"/>
      <c r="P6" s="645"/>
      <c r="Q6" s="645"/>
      <c r="R6" s="645"/>
      <c r="S6" s="1923"/>
      <c r="T6" s="1923"/>
    </row>
    <row r="7" spans="1:20" s="111" customFormat="1" ht="18" customHeight="1">
      <c r="A7" s="1059" t="s">
        <v>946</v>
      </c>
      <c r="B7" s="1925">
        <v>15101.3</v>
      </c>
      <c r="C7" s="1925">
        <v>17359.740000000002</v>
      </c>
      <c r="D7" s="1925">
        <v>17325.060000000001</v>
      </c>
      <c r="E7" s="118"/>
      <c r="F7" s="112"/>
      <c r="G7" s="112"/>
      <c r="H7" s="112"/>
      <c r="I7" s="112"/>
      <c r="J7" s="112"/>
      <c r="K7" s="112"/>
      <c r="N7" s="645"/>
      <c r="O7" s="645"/>
      <c r="P7" s="645"/>
      <c r="Q7" s="645"/>
      <c r="R7" s="645"/>
      <c r="S7" s="1923"/>
      <c r="T7" s="1923"/>
    </row>
    <row r="8" spans="1:20" ht="18.75" customHeight="1">
      <c r="A8" s="1059" t="s">
        <v>1060</v>
      </c>
      <c r="B8" s="1925">
        <v>15510.225345000001</v>
      </c>
      <c r="C8" s="1925">
        <v>18573.343870000001</v>
      </c>
      <c r="D8" s="1925">
        <v>17762.509957999999</v>
      </c>
      <c r="E8" s="118"/>
      <c r="F8" s="118"/>
      <c r="G8" s="112"/>
      <c r="H8" s="112"/>
      <c r="I8" s="112"/>
      <c r="K8" s="111"/>
      <c r="L8" s="111"/>
      <c r="M8" s="111"/>
      <c r="N8" s="645"/>
      <c r="O8" s="645"/>
      <c r="P8" s="645"/>
      <c r="Q8" s="645"/>
      <c r="R8" s="645"/>
      <c r="S8" s="1923"/>
      <c r="T8" s="1923"/>
    </row>
    <row r="9" spans="1:20" ht="18.75">
      <c r="A9" s="1059" t="s">
        <v>1644</v>
      </c>
      <c r="B9" s="1925">
        <v>16160.85</v>
      </c>
      <c r="C9" s="1925">
        <v>18287.32</v>
      </c>
      <c r="D9" s="1925">
        <v>20644</v>
      </c>
      <c r="E9" s="118"/>
      <c r="F9" s="118"/>
      <c r="G9" s="112"/>
      <c r="H9" s="112"/>
      <c r="I9" s="112"/>
      <c r="K9" s="111"/>
      <c r="L9" s="111"/>
      <c r="M9" s="111"/>
      <c r="N9" s="645"/>
      <c r="O9" s="645"/>
      <c r="P9" s="645"/>
      <c r="Q9" s="645"/>
      <c r="R9" s="645"/>
      <c r="S9" s="1924"/>
    </row>
    <row r="10" spans="1:20" ht="18.75">
      <c r="A10" s="1059" t="s">
        <v>1927</v>
      </c>
      <c r="B10" s="1925">
        <v>16415</v>
      </c>
      <c r="C10" s="1925">
        <v>20545</v>
      </c>
      <c r="D10" s="1925">
        <v>22507</v>
      </c>
      <c r="E10" s="118"/>
      <c r="F10" s="118"/>
      <c r="G10" s="118"/>
      <c r="H10" s="118"/>
      <c r="I10" s="118"/>
      <c r="J10" s="118"/>
      <c r="N10" s="645"/>
      <c r="O10" s="645"/>
      <c r="P10" s="645"/>
      <c r="Q10" s="645"/>
      <c r="R10" s="645"/>
    </row>
    <row r="11" spans="1:20" ht="11.25" customHeight="1">
      <c r="A11" s="116"/>
      <c r="B11" s="114"/>
      <c r="C11" s="118"/>
      <c r="D11" s="118"/>
      <c r="E11" s="118"/>
      <c r="F11" s="118"/>
      <c r="G11" s="118"/>
      <c r="H11" s="118"/>
      <c r="I11" s="118"/>
      <c r="J11" s="118"/>
      <c r="N11" s="645"/>
      <c r="O11" s="645"/>
      <c r="P11" s="645"/>
      <c r="Q11" s="645"/>
      <c r="R11" s="645"/>
    </row>
    <row r="12" spans="1:20" ht="11.25" customHeight="1">
      <c r="B12" s="114"/>
      <c r="C12" s="118"/>
      <c r="D12" s="118"/>
      <c r="E12" s="118"/>
      <c r="F12" s="118"/>
      <c r="G12" s="118"/>
      <c r="H12" s="118"/>
      <c r="I12" s="118"/>
      <c r="J12" s="118"/>
      <c r="N12" s="645"/>
      <c r="O12" s="645"/>
      <c r="P12" s="645"/>
      <c r="Q12" s="645"/>
      <c r="R12" s="645"/>
    </row>
    <row r="13" spans="1:20" ht="11.25" customHeight="1">
      <c r="B13" s="114"/>
      <c r="C13" s="118"/>
      <c r="D13" s="118"/>
      <c r="E13" s="118"/>
      <c r="F13" s="118"/>
      <c r="G13" s="118"/>
      <c r="H13" s="118"/>
      <c r="I13" s="118"/>
      <c r="J13" s="118"/>
      <c r="N13" s="645"/>
      <c r="O13" s="645"/>
      <c r="P13" s="645"/>
      <c r="Q13" s="645"/>
      <c r="R13" s="645"/>
    </row>
    <row r="14" spans="1:20" ht="11.25" customHeight="1">
      <c r="B14" s="114"/>
      <c r="C14" s="118"/>
      <c r="D14" s="118"/>
      <c r="E14" s="118"/>
      <c r="F14" s="118"/>
      <c r="G14" s="118"/>
      <c r="H14" s="118"/>
      <c r="I14" s="118"/>
      <c r="J14" s="118"/>
      <c r="N14" s="645"/>
      <c r="O14" s="645"/>
      <c r="P14" s="645"/>
      <c r="Q14" s="645"/>
      <c r="R14" s="645"/>
    </row>
    <row r="15" spans="1:20" ht="11.25" customHeight="1">
      <c r="N15" s="645"/>
      <c r="O15" s="645"/>
      <c r="P15" s="645"/>
      <c r="Q15" s="645"/>
      <c r="R15" s="645"/>
    </row>
    <row r="16" spans="1:20" ht="11.25" customHeight="1">
      <c r="N16" s="645"/>
      <c r="O16" s="645"/>
      <c r="P16" s="645"/>
      <c r="Q16" s="645"/>
      <c r="R16" s="645"/>
    </row>
    <row r="17" spans="14:18" ht="11.25" customHeight="1">
      <c r="N17" s="645"/>
      <c r="O17" s="645"/>
      <c r="P17" s="645"/>
      <c r="Q17" s="645"/>
      <c r="R17" s="645"/>
    </row>
    <row r="18" spans="14:18" ht="11.25" customHeight="1">
      <c r="N18" s="645"/>
      <c r="O18" s="645"/>
      <c r="P18" s="645"/>
      <c r="Q18" s="645"/>
      <c r="R18" s="645"/>
    </row>
    <row r="19" spans="14:18" ht="11.25" customHeight="1">
      <c r="N19" s="645"/>
      <c r="O19" s="645"/>
      <c r="P19" s="645"/>
      <c r="Q19" s="645"/>
      <c r="R19" s="645"/>
    </row>
    <row r="20" spans="14:18" ht="11.25" customHeight="1">
      <c r="N20" s="645"/>
      <c r="O20" s="645"/>
      <c r="P20" s="645"/>
      <c r="Q20" s="645"/>
      <c r="R20" s="645"/>
    </row>
    <row r="21" spans="14:18" ht="11.25" customHeight="1">
      <c r="N21" s="645"/>
      <c r="O21" s="645"/>
      <c r="P21" s="645"/>
      <c r="Q21" s="645"/>
      <c r="R21" s="645"/>
    </row>
    <row r="22" spans="14:18" ht="11.25" customHeight="1">
      <c r="N22" s="645"/>
      <c r="O22" s="645"/>
      <c r="P22" s="645"/>
      <c r="Q22" s="645"/>
      <c r="R22" s="645"/>
    </row>
    <row r="23" spans="14:18" ht="11.25" customHeight="1">
      <c r="N23" s="645"/>
      <c r="O23" s="645"/>
      <c r="P23" s="645"/>
      <c r="Q23" s="645"/>
      <c r="R23" s="645"/>
    </row>
    <row r="24" spans="14:18" ht="11.25" customHeight="1">
      <c r="N24" s="645"/>
      <c r="O24" s="645"/>
      <c r="P24" s="645"/>
      <c r="Q24" s="645"/>
      <c r="R24" s="645"/>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152"/>
  <sheetViews>
    <sheetView showGridLines="0" view="pageBreakPreview" zoomScale="85" zoomScaleNormal="100" zoomScaleSheetLayoutView="85" workbookViewId="0">
      <pane ySplit="2" topLeftCell="A51" activePane="bottomLeft" state="frozen"/>
      <selection pane="bottomLeft" activeCell="A85" sqref="A85"/>
    </sheetView>
  </sheetViews>
  <sheetFormatPr baseColWidth="10" defaultColWidth="189.42578125" defaultRowHeight="21"/>
  <cols>
    <col min="1" max="1" width="169.5703125" style="1031" customWidth="1"/>
    <col min="2" max="4" width="9.140625" style="128" customWidth="1"/>
    <col min="5" max="19" width="10.28515625" style="128" customWidth="1"/>
    <col min="20" max="20" width="24.28515625" style="128" customWidth="1"/>
    <col min="21" max="16384" width="189.42578125" style="128"/>
  </cols>
  <sheetData>
    <row r="1" spans="1:1" ht="15" customHeight="1">
      <c r="A1" s="2188" t="s">
        <v>1877</v>
      </c>
    </row>
    <row r="2" spans="1:1" ht="60.75" customHeight="1">
      <c r="A2" s="2188"/>
    </row>
    <row r="3" spans="1:1" ht="15.75">
      <c r="A3" s="1802" t="s">
        <v>824</v>
      </c>
    </row>
    <row r="4" spans="1:1" ht="14.25" customHeight="1">
      <c r="A4" s="1803" t="s">
        <v>265</v>
      </c>
    </row>
    <row r="5" spans="1:1" ht="15.75">
      <c r="A5" s="1804" t="s">
        <v>266</v>
      </c>
    </row>
    <row r="6" spans="1:1" ht="15.75">
      <c r="A6" s="1805" t="s">
        <v>763</v>
      </c>
    </row>
    <row r="7" spans="1:1" ht="15.75">
      <c r="A7" s="1805" t="s">
        <v>764</v>
      </c>
    </row>
    <row r="8" spans="1:1" ht="15.75">
      <c r="A8" s="1805" t="s">
        <v>765</v>
      </c>
    </row>
    <row r="9" spans="1:1" ht="15.75">
      <c r="A9" s="1805" t="s">
        <v>766</v>
      </c>
    </row>
    <row r="10" spans="1:1" s="181" customFormat="1" ht="15.75">
      <c r="A10" s="1805" t="s">
        <v>1308</v>
      </c>
    </row>
    <row r="11" spans="1:1" s="347" customFormat="1" ht="20.25" customHeight="1">
      <c r="A11" s="1804" t="s">
        <v>272</v>
      </c>
    </row>
    <row r="12" spans="1:1" ht="15.75">
      <c r="A12" s="1805" t="s">
        <v>768</v>
      </c>
    </row>
    <row r="13" spans="1:1" ht="15.75">
      <c r="A13" s="1805" t="s">
        <v>769</v>
      </c>
    </row>
    <row r="14" spans="1:1" ht="15.75">
      <c r="A14" s="1805" t="s">
        <v>770</v>
      </c>
    </row>
    <row r="15" spans="1:1" s="2055" customFormat="1" ht="17.25" customHeight="1">
      <c r="A15" s="1802" t="s">
        <v>278</v>
      </c>
    </row>
    <row r="16" spans="1:1" ht="15.75">
      <c r="A16" s="1805" t="s">
        <v>1307</v>
      </c>
    </row>
    <row r="17" spans="1:1" ht="15.75">
      <c r="A17" s="1805" t="s">
        <v>280</v>
      </c>
    </row>
    <row r="18" spans="1:1" ht="16.5" customHeight="1">
      <c r="A18" s="1803" t="s">
        <v>281</v>
      </c>
    </row>
    <row r="19" spans="1:1" ht="15.75">
      <c r="A19" s="1806" t="s">
        <v>282</v>
      </c>
    </row>
    <row r="20" spans="1:1" ht="15" customHeight="1">
      <c r="A20" s="1803" t="s">
        <v>285</v>
      </c>
    </row>
    <row r="21" spans="1:1" ht="15.75">
      <c r="A21" s="1803" t="s">
        <v>1071</v>
      </c>
    </row>
    <row r="22" spans="1:1" ht="16.5" customHeight="1">
      <c r="A22" s="1804" t="s">
        <v>1072</v>
      </c>
    </row>
    <row r="23" spans="1:1" ht="15.75">
      <c r="A23" s="1805" t="s">
        <v>1306</v>
      </c>
    </row>
    <row r="24" spans="1:1" ht="15.75">
      <c r="A24" s="1805" t="s">
        <v>772</v>
      </c>
    </row>
    <row r="25" spans="1:1" ht="15.75">
      <c r="A25" s="1805" t="s">
        <v>773</v>
      </c>
    </row>
    <row r="26" spans="1:1" ht="15.75">
      <c r="A26" s="1805" t="s">
        <v>291</v>
      </c>
    </row>
    <row r="27" spans="1:1" ht="15.75">
      <c r="A27" s="1805" t="s">
        <v>924</v>
      </c>
    </row>
    <row r="28" spans="1:1" ht="15.75">
      <c r="A28" s="1805" t="s">
        <v>1305</v>
      </c>
    </row>
    <row r="29" spans="1:1" ht="15.75">
      <c r="A29" s="1805" t="s">
        <v>925</v>
      </c>
    </row>
    <row r="30" spans="1:1" ht="15.75">
      <c r="A30" s="1805" t="s">
        <v>926</v>
      </c>
    </row>
    <row r="31" spans="1:1" ht="15.75">
      <c r="A31" s="1805" t="s">
        <v>927</v>
      </c>
    </row>
    <row r="32" spans="1:1" ht="15.75" customHeight="1">
      <c r="A32" s="1805" t="s">
        <v>928</v>
      </c>
    </row>
    <row r="33" spans="1:1" ht="15.75">
      <c r="A33" s="1805" t="s">
        <v>929</v>
      </c>
    </row>
    <row r="34" spans="1:1" ht="31.5">
      <c r="A34" s="1805" t="s">
        <v>930</v>
      </c>
    </row>
    <row r="35" spans="1:1" ht="15.75">
      <c r="A35" s="1805" t="s">
        <v>933</v>
      </c>
    </row>
    <row r="36" spans="1:1" ht="15.75" customHeight="1">
      <c r="A36" s="1804" t="s">
        <v>1112</v>
      </c>
    </row>
    <row r="37" spans="1:1" ht="15.75">
      <c r="A37" s="1805" t="s">
        <v>774</v>
      </c>
    </row>
    <row r="38" spans="1:1" ht="15.75">
      <c r="A38" s="1805" t="s">
        <v>775</v>
      </c>
    </row>
    <row r="39" spans="1:1" ht="15.75">
      <c r="A39" s="1805" t="s">
        <v>776</v>
      </c>
    </row>
    <row r="40" spans="1:1" ht="15.75">
      <c r="A40" s="1805" t="s">
        <v>777</v>
      </c>
    </row>
    <row r="41" spans="1:1" ht="15.75">
      <c r="A41" s="1805" t="s">
        <v>778</v>
      </c>
    </row>
    <row r="42" spans="1:1" ht="15.75" customHeight="1">
      <c r="A42" s="1804" t="s">
        <v>1111</v>
      </c>
    </row>
    <row r="43" spans="1:1" ht="20.25" customHeight="1">
      <c r="A43" s="1805" t="s">
        <v>779</v>
      </c>
    </row>
    <row r="44" spans="1:1" ht="15.75">
      <c r="A44" s="1805" t="s">
        <v>780</v>
      </c>
    </row>
    <row r="45" spans="1:1" ht="15.75">
      <c r="A45" s="1805" t="s">
        <v>1318</v>
      </c>
    </row>
    <row r="46" spans="1:1" ht="15.75" customHeight="1">
      <c r="A46" s="1803" t="s">
        <v>300</v>
      </c>
    </row>
    <row r="47" spans="1:1" ht="15.75">
      <c r="A47" s="1804" t="s">
        <v>301</v>
      </c>
    </row>
    <row r="48" spans="1:1" s="866" customFormat="1" ht="15.75">
      <c r="A48" s="1805" t="s">
        <v>1304</v>
      </c>
    </row>
    <row r="49" spans="1:1" s="866" customFormat="1" ht="15.75">
      <c r="A49" s="1805" t="s">
        <v>782</v>
      </c>
    </row>
    <row r="50" spans="1:1" s="866" customFormat="1" ht="19.5" customHeight="1">
      <c r="A50" s="1805" t="s">
        <v>1068</v>
      </c>
    </row>
    <row r="51" spans="1:1" s="866" customFormat="1" ht="15.75">
      <c r="A51" s="1805" t="s">
        <v>1070</v>
      </c>
    </row>
    <row r="52" spans="1:1" ht="18" customHeight="1">
      <c r="A52" s="1803" t="s">
        <v>432</v>
      </c>
    </row>
    <row r="53" spans="1:1" ht="15.75">
      <c r="A53" s="1805" t="s">
        <v>306</v>
      </c>
    </row>
    <row r="54" spans="1:1" ht="15.75">
      <c r="A54" s="1805" t="s">
        <v>307</v>
      </c>
    </row>
    <row r="55" spans="1:1" ht="17.25" customHeight="1">
      <c r="A55" s="1803" t="s">
        <v>1037</v>
      </c>
    </row>
    <row r="56" spans="1:1" ht="15.75">
      <c r="A56" s="1805" t="s">
        <v>309</v>
      </c>
    </row>
    <row r="57" spans="1:1" ht="15.75">
      <c r="A57" s="1805" t="s">
        <v>310</v>
      </c>
    </row>
    <row r="58" spans="1:1" ht="15.75">
      <c r="A58" s="1805" t="s">
        <v>934</v>
      </c>
    </row>
    <row r="59" spans="1:1" ht="15" customHeight="1">
      <c r="A59" s="1803" t="s">
        <v>783</v>
      </c>
    </row>
    <row r="60" spans="1:1" ht="15.75">
      <c r="A60" s="1803" t="s">
        <v>1073</v>
      </c>
    </row>
    <row r="61" spans="1:1" ht="15.75">
      <c r="A61" s="1805" t="s">
        <v>825</v>
      </c>
    </row>
    <row r="62" spans="1:1" ht="15.75">
      <c r="A62" s="1805" t="s">
        <v>826</v>
      </c>
    </row>
    <row r="63" spans="1:1" ht="15.75">
      <c r="A63" s="1805" t="s">
        <v>827</v>
      </c>
    </row>
    <row r="64" spans="1:1" ht="15.75">
      <c r="A64" s="1805" t="s">
        <v>828</v>
      </c>
    </row>
    <row r="65" spans="1:1" ht="20.25" customHeight="1">
      <c r="A65" s="1803" t="s">
        <v>1113</v>
      </c>
    </row>
    <row r="66" spans="1:1" ht="15.75">
      <c r="A66" s="1805" t="s">
        <v>784</v>
      </c>
    </row>
    <row r="67" spans="1:1" ht="15.75">
      <c r="A67" s="1805" t="s">
        <v>785</v>
      </c>
    </row>
    <row r="68" spans="1:1" ht="17.25" customHeight="1">
      <c r="A68" s="1803" t="s">
        <v>315</v>
      </c>
    </row>
    <row r="69" spans="1:1" ht="15.75">
      <c r="A69" s="1804" t="s">
        <v>316</v>
      </c>
    </row>
    <row r="70" spans="1:1" ht="15.75">
      <c r="A70" s="1805" t="s">
        <v>317</v>
      </c>
    </row>
    <row r="71" spans="1:1" ht="15.75">
      <c r="A71" s="1805" t="s">
        <v>786</v>
      </c>
    </row>
    <row r="72" spans="1:1" ht="15.75">
      <c r="A72" s="1805" t="s">
        <v>426</v>
      </c>
    </row>
    <row r="73" spans="1:1" ht="15.75">
      <c r="A73" s="1805" t="s">
        <v>1319</v>
      </c>
    </row>
    <row r="74" spans="1:1" ht="15.75">
      <c r="A74" s="1805" t="s">
        <v>318</v>
      </c>
    </row>
    <row r="75" spans="1:1" ht="15.75">
      <c r="A75" s="1805" t="s">
        <v>319</v>
      </c>
    </row>
    <row r="76" spans="1:1" ht="15.75">
      <c r="A76" s="1805" t="s">
        <v>1320</v>
      </c>
    </row>
    <row r="77" spans="1:1" ht="15.75">
      <c r="A77" s="1805" t="s">
        <v>1321</v>
      </c>
    </row>
    <row r="78" spans="1:1" ht="15.75">
      <c r="A78" s="1805" t="s">
        <v>1322</v>
      </c>
    </row>
    <row r="79" spans="1:1" ht="15.75">
      <c r="A79" s="1805" t="s">
        <v>1323</v>
      </c>
    </row>
    <row r="80" spans="1:1" ht="17.25" customHeight="1">
      <c r="A80" s="1804" t="s">
        <v>1885</v>
      </c>
    </row>
    <row r="81" spans="1:1" ht="13.5" customHeight="1">
      <c r="A81" s="1805" t="s">
        <v>321</v>
      </c>
    </row>
    <row r="82" spans="1:1" ht="17.25" customHeight="1">
      <c r="A82" s="1804" t="s">
        <v>1884</v>
      </c>
    </row>
    <row r="83" spans="1:1" ht="15.75">
      <c r="A83" s="1805" t="s">
        <v>422</v>
      </c>
    </row>
    <row r="84" spans="1:1" ht="15.75">
      <c r="A84" s="1805" t="s">
        <v>423</v>
      </c>
    </row>
    <row r="85" spans="1:1" ht="15.75">
      <c r="A85" s="1805" t="s">
        <v>424</v>
      </c>
    </row>
    <row r="86" spans="1:1" ht="15.75">
      <c r="A86" s="1805" t="s">
        <v>425</v>
      </c>
    </row>
    <row r="87" spans="1:1" ht="17.25" customHeight="1">
      <c r="A87" s="1807" t="s">
        <v>1882</v>
      </c>
    </row>
    <row r="88" spans="1:1" ht="15.75">
      <c r="A88" s="1805" t="s">
        <v>416</v>
      </c>
    </row>
    <row r="89" spans="1:1" ht="15.75">
      <c r="A89" s="1805" t="s">
        <v>1324</v>
      </c>
    </row>
    <row r="90" spans="1:1" ht="15.75">
      <c r="A90" s="1805" t="s">
        <v>1325</v>
      </c>
    </row>
    <row r="91" spans="1:1" ht="15.75">
      <c r="A91" s="1805" t="s">
        <v>1326</v>
      </c>
    </row>
    <row r="92" spans="1:1" ht="15.75" customHeight="1">
      <c r="A92" s="1804" t="s">
        <v>1883</v>
      </c>
    </row>
    <row r="93" spans="1:1" ht="15.75">
      <c r="A93" s="1808" t="s">
        <v>417</v>
      </c>
    </row>
    <row r="94" spans="1:1" ht="15.75">
      <c r="A94" s="1808" t="s">
        <v>792</v>
      </c>
    </row>
    <row r="95" spans="1:1" ht="15.75">
      <c r="A95" s="1808" t="s">
        <v>1327</v>
      </c>
    </row>
    <row r="96" spans="1:1" ht="15.75">
      <c r="A96" s="1808" t="s">
        <v>1328</v>
      </c>
    </row>
    <row r="97" spans="1:1" ht="17.25" customHeight="1">
      <c r="A97" s="1803" t="s">
        <v>326</v>
      </c>
    </row>
    <row r="98" spans="1:1" ht="15.75">
      <c r="A98" s="1804" t="s">
        <v>1881</v>
      </c>
    </row>
    <row r="99" spans="1:1" ht="15.75">
      <c r="A99" s="1805" t="s">
        <v>328</v>
      </c>
    </row>
    <row r="100" spans="1:1" ht="15.75">
      <c r="A100" s="1805" t="s">
        <v>329</v>
      </c>
    </row>
    <row r="101" spans="1:1" ht="15.75">
      <c r="A101" s="1805" t="s">
        <v>330</v>
      </c>
    </row>
    <row r="102" spans="1:1" ht="15.75">
      <c r="A102" s="1804" t="s">
        <v>1880</v>
      </c>
    </row>
    <row r="103" spans="1:1" ht="15.75">
      <c r="A103" s="1805" t="s">
        <v>332</v>
      </c>
    </row>
    <row r="104" spans="1:1" ht="15.75">
      <c r="A104" s="1805" t="s">
        <v>333</v>
      </c>
    </row>
    <row r="105" spans="1:1" ht="16.5" customHeight="1">
      <c r="A105" s="1804" t="s">
        <v>1879</v>
      </c>
    </row>
    <row r="106" spans="1:1" ht="15.75">
      <c r="A106" s="1805" t="s">
        <v>794</v>
      </c>
    </row>
    <row r="107" spans="1:1" ht="15.75">
      <c r="A107" s="1805" t="s">
        <v>823</v>
      </c>
    </row>
    <row r="108" spans="1:1" ht="15.75">
      <c r="A108" s="1805" t="s">
        <v>795</v>
      </c>
    </row>
    <row r="109" spans="1:1" ht="15.75">
      <c r="A109" s="1805" t="s">
        <v>796</v>
      </c>
    </row>
    <row r="110" spans="1:1" ht="15.75">
      <c r="A110" s="1805" t="s">
        <v>797</v>
      </c>
    </row>
    <row r="111" spans="1:1" ht="15.75">
      <c r="A111" s="1805" t="s">
        <v>798</v>
      </c>
    </row>
    <row r="112" spans="1:1" ht="15.75">
      <c r="A112" s="1805" t="s">
        <v>799</v>
      </c>
    </row>
    <row r="113" spans="1:1" ht="15.75">
      <c r="A113" s="1805" t="s">
        <v>800</v>
      </c>
    </row>
    <row r="114" spans="1:1" ht="15.75">
      <c r="A114" s="1805" t="s">
        <v>801</v>
      </c>
    </row>
    <row r="115" spans="1:1" ht="15.75">
      <c r="A115" s="1805" t="s">
        <v>802</v>
      </c>
    </row>
    <row r="116" spans="1:1" ht="15.75">
      <c r="A116" s="1805" t="s">
        <v>803</v>
      </c>
    </row>
    <row r="117" spans="1:1" ht="15.75">
      <c r="A117" s="1805" t="s">
        <v>804</v>
      </c>
    </row>
    <row r="118" spans="1:1" ht="15.75">
      <c r="A118" s="1805" t="s">
        <v>805</v>
      </c>
    </row>
    <row r="119" spans="1:1" ht="15.75">
      <c r="A119" s="1805" t="s">
        <v>806</v>
      </c>
    </row>
    <row r="120" spans="1:1" ht="15.75">
      <c r="A120" s="1805" t="s">
        <v>807</v>
      </c>
    </row>
    <row r="121" spans="1:1" ht="15.75">
      <c r="A121" s="1805" t="s">
        <v>808</v>
      </c>
    </row>
    <row r="122" spans="1:1" ht="15.75">
      <c r="A122" s="1805" t="s">
        <v>809</v>
      </c>
    </row>
    <row r="123" spans="1:1" ht="15.75">
      <c r="A123" s="1805" t="s">
        <v>810</v>
      </c>
    </row>
    <row r="124" spans="1:1" ht="15.75">
      <c r="A124" s="1805" t="s">
        <v>811</v>
      </c>
    </row>
    <row r="125" spans="1:1" ht="15.75">
      <c r="A125" s="1805" t="s">
        <v>812</v>
      </c>
    </row>
    <row r="126" spans="1:1" ht="15.75">
      <c r="A126" s="1805" t="s">
        <v>813</v>
      </c>
    </row>
    <row r="127" spans="1:1" ht="15.75">
      <c r="A127" s="1805" t="s">
        <v>814</v>
      </c>
    </row>
    <row r="128" spans="1:1" ht="15.75">
      <c r="A128" s="1805" t="s">
        <v>815</v>
      </c>
    </row>
    <row r="129" spans="1:1" ht="15.75">
      <c r="A129" s="1805" t="s">
        <v>816</v>
      </c>
    </row>
    <row r="130" spans="1:1" ht="15.75">
      <c r="A130" s="1805" t="s">
        <v>817</v>
      </c>
    </row>
    <row r="131" spans="1:1" ht="15.75">
      <c r="A131" s="1805" t="s">
        <v>818</v>
      </c>
    </row>
    <row r="132" spans="1:1" ht="15.75">
      <c r="A132" s="1805" t="s">
        <v>819</v>
      </c>
    </row>
    <row r="133" spans="1:1" ht="15.75">
      <c r="A133" s="1805" t="s">
        <v>820</v>
      </c>
    </row>
    <row r="134" spans="1:1" ht="15.75">
      <c r="A134" s="1805" t="s">
        <v>821</v>
      </c>
    </row>
    <row r="135" spans="1:1" ht="15.75">
      <c r="A135" s="1805" t="s">
        <v>822</v>
      </c>
    </row>
    <row r="136" spans="1:1" ht="16.5" customHeight="1">
      <c r="A136" s="1804" t="s">
        <v>1878</v>
      </c>
    </row>
    <row r="137" spans="1:1" ht="15.75">
      <c r="A137" s="1805" t="s">
        <v>341</v>
      </c>
    </row>
    <row r="138" spans="1:1" ht="15.75">
      <c r="A138" s="1805" t="s">
        <v>342</v>
      </c>
    </row>
    <row r="139" spans="1:1" ht="15.75">
      <c r="A139" s="1805" t="s">
        <v>343</v>
      </c>
    </row>
    <row r="140" spans="1:1" ht="15.75">
      <c r="A140" s="1805" t="s">
        <v>344</v>
      </c>
    </row>
    <row r="141" spans="1:1" ht="15.75">
      <c r="A141" s="1805" t="s">
        <v>345</v>
      </c>
    </row>
    <row r="142" spans="1:1" ht="15.75">
      <c r="A142" s="1805" t="s">
        <v>346</v>
      </c>
    </row>
    <row r="143" spans="1:1" ht="15.75">
      <c r="A143" s="1805" t="s">
        <v>347</v>
      </c>
    </row>
    <row r="144" spans="1:1" ht="15.75">
      <c r="A144" s="1805" t="s">
        <v>382</v>
      </c>
    </row>
    <row r="145" spans="1:1" ht="15.75">
      <c r="A145" s="1805" t="s">
        <v>418</v>
      </c>
    </row>
    <row r="146" spans="1:1" ht="15.75" customHeight="1">
      <c r="A146" s="1804" t="s">
        <v>348</v>
      </c>
    </row>
    <row r="147" spans="1:1" ht="17.25" customHeight="1">
      <c r="A147" s="1805" t="s">
        <v>1329</v>
      </c>
    </row>
    <row r="148" spans="1:1" ht="15" customHeight="1">
      <c r="A148" s="1803" t="s">
        <v>1110</v>
      </c>
    </row>
    <row r="149" spans="1:1" ht="15.75">
      <c r="A149" s="1805" t="s">
        <v>1107</v>
      </c>
    </row>
    <row r="150" spans="1:1" ht="15.75">
      <c r="A150" s="1805" t="s">
        <v>1108</v>
      </c>
    </row>
    <row r="151" spans="1:1" ht="15.75">
      <c r="A151" s="1805" t="s">
        <v>1109</v>
      </c>
    </row>
    <row r="152" spans="1:1" ht="26.25" customHeight="1">
      <c r="A152" s="353"/>
    </row>
  </sheetData>
  <mergeCells count="1">
    <mergeCell ref="A1:A2"/>
  </mergeCells>
  <hyperlinks>
    <hyperlink ref="A9" location="'I.1.4 Afil. SDSS Anual'!Área_de_impresión" display="I.1.4. Distribución  de Afiliados al SDSS por Regímenes"/>
    <hyperlink ref="A10" location="'I.1.6 Proy. afil.Vs pobl.'!Área_de_impresión" display="I.1.6. Comparación Proyección de la Afiliación del SDSS vs. Población Nacional"/>
    <hyperlink ref="A16" location="'II.1 Pob. econ.'!Área_de_impresión" display="II.1. Población República Dominicana por Tipo de Ocupación"/>
    <hyperlink ref="A17" location="'II.2 Ocup. formal '!Área_de_impresión" display="II.2. Distribución de la Población Ocupada Formal por Rama de Actividad"/>
    <hyperlink ref="A19" location="'III.1 Ingr y egr SDSS'!Área_de_impresión" display="III.1.  Ingresos y Egresos Anuales del SDSS "/>
    <hyperlink ref="A23" location="'IV.1.1.1 Afil. SFS RC Anual '!Área_de_impresión" display="IV.1.1.1.  Afiliación al  SFS del Regimen Contributivo (RC) y No. de Cápitas Pagadas"/>
    <hyperlink ref="A24" location="'IV.1.1.2 Afil. SFS RC Mensual '!Área_de_impresión" display="IV.1.1.2. Afiliación Mensual al  SFS del RC y Cobertura Efectiva"/>
    <hyperlink ref="A25" location="'IV.1.1.3 Ind. Dep SFS RC Mens'!Área_de_impresión" display="IV.1.1.3.  Indice de Dependencia en Afiliación Activa y Cobertura Efectiva SFS del RC"/>
    <hyperlink ref="A26" location="'IV.1.1.4 Tit. Vs pob ocup.'!Área_de_impresión" display="IV.1.1.4. Comparativo Afiliados Titulares con Población Ocupada Asalariada"/>
    <hyperlink ref="A37" location="'IV.1.2.1 Rec. disp. salud'!Área_de_impresión" display="IV.1.2.1. Ingresos y Dispersión de las Cuentas Cuidado de la Salud y FONAMAT del SFS del RC"/>
    <hyperlink ref="A38" location="'IV.1.2.2 Disp. SFS'!A1" display="IV.1.2.2. Fondos Dispersados Anualmente por Cuentas al SFS del RC"/>
    <hyperlink ref="A39" location="'IV.1.2.3 Dip. SFS mensual'!A1" display="IV.1.2.3. Fondos Dispersados Mensualmente por Cuentas al SFS del RC"/>
    <hyperlink ref="A40" location="'IV.1.2.4 Disp. x ARS 2'!Área_de_impresión" display="IV.1.2.4. Fondos Dispersados  a las ARS del SFS del RC"/>
    <hyperlink ref="A41" location="'IV.1.2.5 Disp. x ARS'!Área_de_impresión" display="IV.1.2.5. Fondos Dispersados del RC a las ARS del SFS"/>
    <hyperlink ref="A43" location="'IV.1.3.1 Por cuentas'!Área_de_impresión" display="IV.1.3.1.  Distribución de Fondos del SFS del RC en Certificados Financieros por Cuentas"/>
    <hyperlink ref="A48" location="'IV.2.1.1 fil anual SFS RS '!Área_de_impresión" display="IV.2.1.1. Afiliación  y No. de Cápitas Pagadas al  SFS del  RS"/>
    <hyperlink ref="A49" location="'IV.2.1.2 Afil. RS mensual'!Área_de_impresión" display="IV.2.1.2. Afiliación  Mensual Definitiva y Cobertura Efectiva al  SFS del  RS"/>
    <hyperlink ref="A50" location="'IV.2.1.3 Afil. SFS RS Vs pob.'!Área_de_impresión" display="IV.2.1.3. Comportamiento de la Afiliación al SFS del RS con relación  a la Población Pobre del País ( Escenario MEPYD)"/>
    <hyperlink ref="A51" location="'IV.2.1.6 Ind. depend.'!Área_de_impresión" display="IV.2.1.4. Indice de Dependencia del RS"/>
    <hyperlink ref="A53" location="'IV.2.2.1 Aport. Disp. RS'!Área_de_impresión" display="IV.2.2.1. Aporte  y Dispersión Anual  al SFS del RS"/>
    <hyperlink ref="A54" location="'IV.2.2.2 Saldos RS mensual'!Área_de_impresión" display="IV.2.2.2. Aporte  y Dispersión Mensual al SFS del RS"/>
    <hyperlink ref="A56" location="'IV.3.1 Afil. SFSP Anual.'!Área_de_impresión" display="IV.3.1. Afiliación Mensual  de Pensionados"/>
    <hyperlink ref="A57" location="'IV.3.2 Afil. SFSP Mensual'!Área_de_impresión" display="IV.3.2. Afiliación Pensionados por ARS"/>
    <hyperlink ref="A58" location="'IV.3.3 Disp.SFS Pens.x ARS'!Área_de_impresión" display="IV.3.3. Dispersión SFSP por  ARS"/>
    <hyperlink ref="A62" location="'IV.4.1.2 Afil. a EI (2)'!Área_de_impresión" display="IV.4.1.2. Niños Beneficiarios de las Estancias Infantiles "/>
    <hyperlink ref="A70" location="'V.1.1 Afil. SVDS'!Área_de_impresión" display="V.1.1. Cantidad  de Afiliados  y Cotizantes  Anual al SVDS del RC"/>
    <hyperlink ref="A72" location="'V.1.3 Afil. SVDS mensual'!Área_de_impresión" display="V.1.3. Cantidad  de Afiliados  y Cotizantes  Mensual al SVDS del RC"/>
    <hyperlink ref="A77" location="Contenido!A1" display="V.1.7. Cotizantes del SVDS por Salario Mínimo Cotizable "/>
    <hyperlink ref="A75" location="Contenido!A1" display="V.1.5. Cantidad de Cotizantes del SVDS por Rango de Edad "/>
    <hyperlink ref="A79" location="Contenido!A1" display="V.1.9. Distribución de los Afiliados Cotizantes  al SVDS por sexo"/>
    <hyperlink ref="A81" location="'V.2.1 Disp. SVDS'!Área_de_impresión" display="V.2.1. Dispersión Histórica al SVDS"/>
    <hyperlink ref="A84" location="'V.3.2 Trasp. recibidos.'!Área_de_impresión" display="V.3.2. Traspasos Recibidos en Entidades de CCI/ Reparto"/>
    <hyperlink ref="A85" location="'V.3.3 Trasp. cedidos'!Área_de_impresión" display="V.3.3. Traspasos Cedidos en  Entidades de  CCI / Reparto"/>
    <hyperlink ref="A86" location="'V.3.4 Trasp. netos'!Área_de_impresión" display="V.3.4. Traspasos Netos en  Entidades de CCI (Reparto)"/>
    <hyperlink ref="A94" location="'V.5.2 Cartera de inv fp'!Área_de_impresión" display="V.5.2. Composición de la Cartera de inversión de los Fondos de Pensiones por tipo de Emisor"/>
    <hyperlink ref="A99" location="'VI.1.1 Afil. SRL'!Área_de_impresión" display="VI.1.1. Comparativo Afiliación al SRL en relación a la Población Asalariada  "/>
    <hyperlink ref="A100" location="'VI.1.2 Afil. SRL x sexoy edad'!Área_de_impresión" display="VI.1.2. Afiliación al SRL por Grupo de Edad y sexo "/>
    <hyperlink ref="A101" location="'VI.1.3 Afil. ARL x riesgo'!Área_de_impresión" display="VI.1.3. Empleados Afiliados Activos al SDSS por Tipo de Riesgos Laborales de sus Empresas"/>
    <hyperlink ref="A103" location="'VI.2.1 Disp. anual ARL'!Área_de_impresión" display="VI.2.1 Dispersión Anual al SRL por Cuentas"/>
    <hyperlink ref="A104" location="'VI.2.2 Disp. mensual a ARL'!Área_de_impresión" display="VI.2.2 Dispersión mensual por cuentas al Seguro de Riesgos laborales"/>
    <hyperlink ref="A138" location="'VI.4.2 Gastos med. ARL'!A1" display="VI.4.2. Prestaciones en  Gastos Médicos al Seguro de Riesgos Laborales (SRL)"/>
    <hyperlink ref="A139" location="'VI.4.3 Gastos prevenc. riesgos'!A1" display="VI.4.3. Gastos del SRL en el Programa de Prevención de Riesgos"/>
    <hyperlink ref="A140" location="'VI.4.4 Pensión sobrev. ARL'!A1" display="VI.4.4. Pensiones por Sobrevivencia del SRL"/>
    <hyperlink ref="A141" location="'VI.4.5 Pensión discap ARL'!A1" display="VI.4.5. Pago Pensión por Discapacidad  Permanente del SRL"/>
    <hyperlink ref="A142" location="'VI.4.6 Discap. temporal ARL'!A1" display="VI.4.6. Subsidio por Discapacidad Temporal del SRL"/>
    <hyperlink ref="A143" location="'VI.4.7 Indemniz.ARL'!A1" display="VI.4.7. Indemnizaciones por Pérdida de Miembro del SRL"/>
    <hyperlink ref="A147" location="'VII.1 CMR'!A1" display="VII.1. % Casos Dictáminados por CMNR en Relación a Solicitudes Registradas"/>
    <hyperlink ref="A93" location="'V.5.1 Patrim. fp anual'!Área_de_impresión" display="V.5.1. Patrimonio de los Fondos de Pensiones por año"/>
    <hyperlink ref="A88" location="'V.4.1 Pensiones por año'!Área_de_impresión" display="V.4.1. Pensiones Totales Otorgadas por Año"/>
    <hyperlink ref="A83" location="'VI.3.1 NA. Reportes ARL'!Área_de_impresión" display="V.3.1. Traspasos Totales por año"/>
    <hyperlink ref="A144" location="'VI.4.8 Remuneración SRL'!A1" display="VI.4.8. Remuneración SRL"/>
    <hyperlink ref="A145" location="'VI.4.9 Beneficios SRL'!A1" display="VI.4.9. Pagos de Prestaciones y Gastos en Salud de la ARL"/>
    <hyperlink ref="A44" location="'IV.1.3.2 Por entidad'!Área_de_impresión" display="IV.1.3.2. Distribución de Fondos del SFS del RC en Certificados Financieros  por Entidad  "/>
    <hyperlink ref="A63" location="'IV.4.1.3 Evol. afil. EI'!Área_de_impresión" display="IV.4.1.3. Evolución en el Resultado del Proceso de Afiliación"/>
    <hyperlink ref="A71" location="'V.1.2 Afil. cotiz.'!Área_de_impresión" display="V.1.2. Comparación anual del número de Afiliados  Cotizantes con la  Población Asalariada  "/>
    <hyperlink ref="A96" location="'V.5.3 Rent. nom. de los FP'!Área_de_impresión" display="V.5.4. Rentabilidad Nominal Promedio  de los Fondos de Pensiones por semestre"/>
    <hyperlink ref="A6" location="'I.1.1 Cobertura SDSS '!Área_de_impresión" display="I.1.1 Porcentaje de Cobertura Efectiva del SDSS con Relación a la Población Nacional"/>
    <hyperlink ref="A7" location="'I.1.2 Cobertura SDSS '!Área_de_impresión" display="I.1.2 Porcentaje de Cobertura de Afiliación Definitiva del SDSS con Relación a la Población Nacional "/>
    <hyperlink ref="A8" location="'I.1.3 Cobertura SDSS '!Área_de_impresión" display="I.1.3 Cobertura del SDSS a la población nacional: Afiliación Definitiva y Efectiva "/>
    <hyperlink ref="A61" location="'IV.4.1.1 Afil. a EI'!Área_de_impresión" display="IV.4.1.1. Afiliación de Niños a las Estancias Infantiles"/>
    <hyperlink ref="A12" location="'I.2.1 Empl x sector '!Área_de_impresión" display="1.2.1 Empresas y Empleados Afiliados Activos al SDSS por sector"/>
    <hyperlink ref="A13" location="'I.2.2 Empr x No. de empl'!Área_de_impresión" display="1.2.2 Empresas Afiliadas Activas al SDSS, por Cantidad de Empleados registrados en TSS"/>
    <hyperlink ref="A14" location="'I.2.3 Salario prom.'!Área_de_impresión" display="1.2.3 Salario Promedio Mensual de los Empleados Afiliados Activos al SDSS, por Sector"/>
    <hyperlink ref="A66" location="'IV.4.2.1 Benef. subsid'!Área_de_impresión" display="IV.4.2.1. Afiliados (as) Beneficiarios por Subsidio de Maternidad, Lactancia y Enfermedad Común"/>
    <hyperlink ref="A67" location="'IV.4.2.2 Monto subsid'!Área_de_impresión" display="IV.4.2.2. Montos aprobados en RD$ por concepto de subsidios por Matenidad, Lactancia y Enfermedad Común"/>
    <hyperlink ref="A74" location="'V.1.4 Afil. SVDS x sexo'!Área_de_impresión" display="V.1.5. Afiliación Anual del SVDS por Sexo "/>
    <hyperlink ref="A106" location="'VI.3.1 NA. Reportes ARL'!Área_de_impresión" display="VI.3.1. Reporte de Accidentes Laborales y Enfermedades Profesionales"/>
    <hyperlink ref="A107" location="'VI.3.2 ID. Accidentabilidad'!Área_de_impresión" display="VI.3.2. Accidentabilidad Laboral de los Afiliados al SRL"/>
    <hyperlink ref="A108" location="'VI.3.3 NA.Cant. accid x región'!Área_de_impresión" display="VI.3.3. Reporte de Accidentes Laborales y Enfermedades Profesionales por Región"/>
    <hyperlink ref="A109" location="'VI.3.4 NA.Cant. accid x Prov.)'!Área_de_impresión" display="VI.3.4. Reporte de Accidentes Laborales y Enfermedades Profesionales por Provincia"/>
    <hyperlink ref="A110" location="'VI.3.5 NA.Cant. accid x Proced.'!Área_de_impresión" display="VI.3.5. Reporte de Accidentes Laborales y Enfermedades Profesionales por Zona de Procedencia"/>
    <hyperlink ref="A111" location="'VI.3.6 Accid x activ. econ.'!Área_de_impresión" display="VI.3.6. Reporte de Accidentes Laborales y Enfermedades Profesionales por Actividad Económica"/>
    <hyperlink ref="A112" location="' VI.3.7 Accid x ocupación'!A1" display="VI.3.7. Reporte de Accidentes Laborales y Enfermedades Profesionales por Ocupación"/>
    <hyperlink ref="A113" location="' VI.3.8 NA.Cant. accid x sector'!A1" display="VI.3.8. Reporte de Accidentes Laborales y Enfermedades Profesionales por Sector"/>
    <hyperlink ref="A114" location="'VI.3.9 Accid x sector '!A1" display="VI.3.9. Comparación Reporte de Accidentes Laborales y Enfermedades Profesionales y Afiliación al SRL por Sector"/>
    <hyperlink ref="A115" location="'VI.3.10 Accid x sexo'!A1" display="VI.3.10. Reporte de Accidentes Laborales y Enfermedades Profesionales por Sexo"/>
    <hyperlink ref="A116" location="'VI.3.11 Accid x sexo (2)'!A1" display="VI.3.11. Comparación Reporte de Accidentes Laborales y Enfermedades Profesionales y Afilación al SRL  por Sexo"/>
    <hyperlink ref="A117" location="'VI.3.12 Accid x rango de edad'!A1" display="VI.3.12. Reporte de Accidentes Laborales y Enfermedades Profesionales por Rango de Edad"/>
    <hyperlink ref="A118" location="'VI.3.13 Accid x edad'!A1" display="VI.3.13. Comparación Reporte de Accidentes Laborales y Enfermedades Profesionales y Afilación al SRL por edad"/>
    <hyperlink ref="A120" location="'VI.3.15 EC. Accid. Lab.'!A1" display="VI.3.15. Cantidad de Expedientes de Accidentes Laborales Calificados por la ARL"/>
    <hyperlink ref="A121" location="'VI.3.16 EC. Accid. Lab (2)'!A1" display="VI.3.16. Cantidad de Expedientes Calificados  por la ARL Vs. Casos Reportados"/>
    <hyperlink ref="A122" location="'VI.3.17 EC. Accid. Lab x tipo'!A1" display="VI.3.17. Cantidad de Expedientes Calificados por la ARL por tipo de Accidente"/>
    <hyperlink ref="A123" location="'VI.3.18 EC. Accid. Lab x Lesión'!A1" display="VI.3.18. Cantidad de Expedientes Calificados  por la ARL por Grado de Lesión"/>
    <hyperlink ref="A124" location="'VI.3.19 Accid.Lab suceso'!A1" display="VI.3.19. Cantidad de Expedientes Calificados  por la ARL según Circunstancia del Suceso"/>
    <hyperlink ref="A125" location="'VI.3.20 EC. x mecanismo causal'!A1" display="VI.3.20. Cantidad de Expedientes Calificados por la ARL según Mecanismo de Producción del Accidente"/>
    <hyperlink ref="A126" location="'VI.3.21 EC. x Agente daño'!A1" display="VI.3.21. Cantidad de Expedientes Calificados  por la ARL según Agente Dañino"/>
    <hyperlink ref="A127" location="'VI.3.22 EC. x  lugar de accid.'!A1" display="VI.3.22. Cantidad de Expedientes Calificados  por la ARL según Lugar del Accidente"/>
    <hyperlink ref="A128" location="'VI.3.23 Exped. Calif. x antig.'!A1" display="VI.3.23. Cantidad de Expedientes Calificados  por la ARL por Antiguedad en el Puesto de Trabajo"/>
    <hyperlink ref="A129" location="'VI.3.24 EC. Accid incapac.'!A1" display="VI.3.24. Accidentes Laborales con Lesiones Discapacitantes"/>
    <hyperlink ref="A130" location="'VI.3.25 EC. Enferm. Prof (R)'!A1" display="VI.3.25. Cantidad de Expedientes de Enfermedades Profesionales Calificados en  Proceso de Reinvestigación"/>
    <hyperlink ref="A131" location="'VI.3.26 EC. Accid Lab.(R)'!A1" display="VI.3.26. Cantidad de Expedientes de Accidentes Laborales Calificados en  Proceso de Reinvestigación"/>
    <hyperlink ref="A132" location="'VI.3.27. Accid. Aprobxtipo'!A1" display="VI.3.27. Casos Aprobados en Proceso de Reinvestigación por tipo de Accidente "/>
    <hyperlink ref="A133" location="'VI.3.28. Accid. Aprob xLesión '!A1" display="VI.3.28. Casos Aprobados en Proceso de Reinvestigación por Grado de Lesión"/>
    <hyperlink ref="A134" location="'VI.3.29 Accid.Aprob Según suc.'!A1" display="VI.3.29. Casos Aprobados en Proceso de Reinvestigación por Circunstancia del Suceso"/>
    <hyperlink ref="A135" location="'VI.3.30 Pagos de ARLSS'!A1" display="VI.3.30. Histórico de los pagos realizados por la ARLSS a las Subcuentas"/>
    <hyperlink ref="A137" location="'VI.4.1 Prest. econ. SRL'!A1" display="VI.4.1. Prestaciones Económicas Otorgadas por el SRL, por Tipo de Prestación"/>
    <hyperlink ref="A27" location="'IV.1.1.5.Afil. SFS x ARS'!A1" display="IV.1.1.5. Afiliación Definitiva al SFS del  RC por ARS y Rango de Edad"/>
    <hyperlink ref="A28" location="Contenido!A1" display="IV.1.1.6. Composición de la Afiliación  del SFS del  RC por Región de Salud, Tipo de Empleador y Estatus "/>
    <hyperlink ref="A29" location="'IV.1.1.7. Afil. SFS.Región.Edad'!A1" display="IV.1.1.7. Afiliación Definitiva al SFS del  RC por Región de Salud y Rango de Edad"/>
    <hyperlink ref="A30" location="'IV.1.1.8 Afil. SFS.Prov.Edad'!A31" display="IV.1.1.8. Afiliación Definitiva al SFS del  RC  Por Provincia y Rango de Edad"/>
    <hyperlink ref="A31" location="'IV.1.1.9 Afil. SFS.Prov.Sector'!A1" display="IV.1.1.9. Afiliación Definitiva al SFS del  RC de por Provincia y Sector Económico"/>
    <hyperlink ref="A32" location="'IV.1.1.10 Afil. SFS.Prov.EPriv'!Área_de_impresión" display="IV.1.1.10. Afiliación Definitiva al SFS del  RC de Trabajadores de Empresas Privadas Por Provincia y Rango de Edad"/>
    <hyperlink ref="A33" location="'IV.1.1.11 Afil.SFS.Prov EPub D '!A1" display="IV.1.1.11. Afiliación Definitiva al SFS del  RC de Trabajadores de Empresas Pública Descentralizadas por Provincia y Rango de Edad"/>
    <hyperlink ref="A34" location="'IV.1.1.12 Afil. SFS.Prov.EPub.C'!A1" display="IV.1.1.12. Régimen Especial Transitorio para la Salud de Pensionados Ley 1896-379.  Afiliación Definitiva al SFS del  RC de Trabajadores de Empresas Pública Centralizadas por Provincia y Rango de Edad "/>
    <hyperlink ref="A35" location="'IV.1.1.13 Afil.SFS.Art.124 Ley'!A1" display="IV.1.1.13. Afiliación Definitiva al SFS del  RC (Aplicación Artículo 24 de la Ley 87-01)"/>
    <hyperlink ref="A64" location="'IV.4.1.4 EI Estancias'!Área_de_impresión" display="IV.4.1.4. Estancias Infantiles Habilitadas para la Afiliación de Hijos de Trabajadores Afiliados al RC"/>
    <hyperlink ref="A119" location="'VI.3.14 Accid x Escolaridad'!A1" display="VI.3.14. Reporte de Accidentes Laborales y Enfermedades Profesionales por Nivel de Escolaridad"/>
    <hyperlink ref="A10:XFD10" location="'I.1.6 Proy. afil.Vs pobl.'!Área_de_impresión" display="I.1.5. Comparación Proyección de la Afiliación del SDSS vs. Población Nacional"/>
    <hyperlink ref="A78" location="Contenido!A1" display="V.1.8. Porcentajes de Cotizantes del SVDS Vs Poblacion Formal por Rango de Edad "/>
  </hyperlinks>
  <pageMargins left="0.7" right="0.7" top="0.75" bottom="0.75" header="0.3" footer="0.3"/>
  <pageSetup scale="99" fitToHeight="0" orientation="portrait" r:id="rId1"/>
  <rowBreaks count="3" manualBreakCount="3">
    <brk id="35" man="1"/>
    <brk id="79" man="1"/>
    <brk id="1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43"/>
  <sheetViews>
    <sheetView showGridLines="0" view="pageBreakPreview" zoomScale="85" zoomScaleNormal="100" zoomScaleSheetLayoutView="85" workbookViewId="0">
      <pane ySplit="1" topLeftCell="A2" activePane="bottomLeft" state="frozen"/>
      <selection activeCell="P10" sqref="P10"/>
      <selection pane="bottomLeft" activeCell="N23" sqref="N23"/>
    </sheetView>
  </sheetViews>
  <sheetFormatPr baseColWidth="10" defaultColWidth="11.42578125" defaultRowHeight="15"/>
  <cols>
    <col min="1" max="1" width="11.42578125" style="128"/>
    <col min="2" max="2" width="14.5703125" style="128" customWidth="1"/>
    <col min="3" max="3" width="17.140625" style="128" customWidth="1"/>
    <col min="4" max="4" width="20.7109375" style="128" customWidth="1"/>
    <col min="5" max="5" width="14.7109375" style="128" customWidth="1"/>
    <col min="6" max="6" width="15" style="63" customWidth="1"/>
    <col min="7" max="7" width="17.5703125" style="128" customWidth="1"/>
    <col min="8" max="9" width="16.28515625" style="128" customWidth="1"/>
    <col min="10" max="10" width="17" style="128" customWidth="1"/>
    <col min="11" max="11" width="11.42578125" style="128"/>
    <col min="12" max="12" width="6.28515625" style="128" customWidth="1"/>
    <col min="13" max="13" width="12.28515625" style="128" bestFit="1" customWidth="1"/>
    <col min="14" max="14" width="16.28515625" style="128" bestFit="1" customWidth="1"/>
    <col min="15" max="21" width="11.42578125" style="128"/>
    <col min="22" max="22" width="12.28515625" style="128" bestFit="1" customWidth="1"/>
    <col min="23" max="16384" width="11.42578125" style="128"/>
  </cols>
  <sheetData>
    <row r="1" spans="1:14" ht="75" customHeight="1">
      <c r="A1" s="2242" t="s">
        <v>1909</v>
      </c>
      <c r="B1" s="2243"/>
      <c r="C1" s="2243"/>
      <c r="D1" s="2243"/>
      <c r="E1" s="2243"/>
      <c r="F1" s="2243"/>
      <c r="G1" s="2243"/>
      <c r="H1" s="2243"/>
      <c r="I1" s="2243"/>
      <c r="J1" s="2243"/>
      <c r="K1" s="2243"/>
      <c r="L1" s="2243"/>
    </row>
    <row r="2" spans="1:14" ht="30" customHeight="1">
      <c r="A2" s="2244" t="s">
        <v>1908</v>
      </c>
      <c r="B2" s="2244"/>
      <c r="C2" s="2244"/>
      <c r="D2" s="2244"/>
      <c r="E2" s="2244"/>
      <c r="F2" s="2244"/>
      <c r="G2" s="2244"/>
      <c r="H2" s="2244"/>
      <c r="I2" s="2244"/>
      <c r="J2" s="2244"/>
      <c r="K2" s="2244"/>
      <c r="L2" s="2244"/>
    </row>
    <row r="3" spans="1:14" ht="25.5" customHeight="1">
      <c r="A3" s="2245"/>
      <c r="B3" s="2245"/>
      <c r="C3" s="2245"/>
      <c r="D3" s="2245"/>
      <c r="E3" s="2245"/>
      <c r="F3" s="2245"/>
      <c r="G3" s="2245"/>
      <c r="H3" s="2245"/>
      <c r="I3" s="2245"/>
      <c r="J3" s="2245"/>
      <c r="K3" s="2245"/>
      <c r="L3" s="2245"/>
    </row>
    <row r="4" spans="1:14" ht="45.75" customHeight="1">
      <c r="A4" s="1340" t="s">
        <v>0</v>
      </c>
      <c r="B4" s="1089" t="s">
        <v>38</v>
      </c>
      <c r="C4" s="1089" t="s">
        <v>391</v>
      </c>
      <c r="D4" s="1089" t="s">
        <v>392</v>
      </c>
      <c r="E4" s="1089" t="s">
        <v>1</v>
      </c>
      <c r="F4" s="1089" t="s">
        <v>1005</v>
      </c>
      <c r="G4" s="1089" t="s">
        <v>733</v>
      </c>
      <c r="H4" s="1089" t="s">
        <v>250</v>
      </c>
      <c r="I4" s="1089" t="s">
        <v>2</v>
      </c>
      <c r="J4" s="1089" t="s">
        <v>3</v>
      </c>
      <c r="K4" s="1089" t="s">
        <v>251</v>
      </c>
      <c r="L4" s="1"/>
    </row>
    <row r="5" spans="1:14" ht="18" hidden="1" customHeight="1">
      <c r="A5" s="1060" t="s">
        <v>186</v>
      </c>
      <c r="B5" s="354"/>
      <c r="C5" s="354">
        <f>D5+K5</f>
        <v>6764678</v>
      </c>
      <c r="D5" s="355">
        <f>E5+H5</f>
        <v>3701525</v>
      </c>
      <c r="E5" s="355">
        <f>F5+G5</f>
        <v>3104294</v>
      </c>
      <c r="F5" s="355">
        <v>1392866</v>
      </c>
      <c r="G5" s="355">
        <v>1711428</v>
      </c>
      <c r="H5" s="354">
        <f>I5+J5</f>
        <v>597231</v>
      </c>
      <c r="I5" s="354">
        <v>329439</v>
      </c>
      <c r="J5" s="354">
        <v>267792</v>
      </c>
      <c r="K5" s="354">
        <v>3063153</v>
      </c>
      <c r="L5" s="1"/>
      <c r="N5" s="78"/>
    </row>
    <row r="6" spans="1:14" ht="16.5" hidden="1" customHeight="1">
      <c r="A6" s="1011" t="s">
        <v>4</v>
      </c>
      <c r="B6" s="1307">
        <f>+'I.1.1 Cobertura SDSS '!E4</f>
        <v>8742318</v>
      </c>
      <c r="C6" s="1307">
        <f>D6+K6</f>
        <v>6826593</v>
      </c>
      <c r="D6" s="1616">
        <f>E6+H6</f>
        <v>3731676</v>
      </c>
      <c r="E6" s="1616">
        <f>F6+G6</f>
        <v>3098443</v>
      </c>
      <c r="F6" s="355">
        <v>1420224</v>
      </c>
      <c r="G6" s="355">
        <v>1678219</v>
      </c>
      <c r="H6" s="1307">
        <f>I6+J6</f>
        <v>633233</v>
      </c>
      <c r="I6" s="354">
        <v>395034</v>
      </c>
      <c r="J6" s="354">
        <v>238199</v>
      </c>
      <c r="K6" s="354">
        <v>3094917</v>
      </c>
      <c r="N6" s="78"/>
    </row>
    <row r="7" spans="1:14" ht="15" hidden="1" customHeight="1">
      <c r="A7" s="1011" t="s">
        <v>5</v>
      </c>
      <c r="B7" s="1307">
        <f>+'I.1.1 Cobertura SDSS '!E5</f>
        <v>8855026</v>
      </c>
      <c r="C7" s="1307">
        <v>6981868.5</v>
      </c>
      <c r="D7" s="1616">
        <v>3933660.5</v>
      </c>
      <c r="E7" s="1616">
        <v>3209932</v>
      </c>
      <c r="F7" s="355">
        <v>1481853.5</v>
      </c>
      <c r="G7" s="355">
        <v>1727862.5</v>
      </c>
      <c r="H7" s="1307">
        <v>723728.5</v>
      </c>
      <c r="I7" s="354">
        <v>391070.5</v>
      </c>
      <c r="J7" s="354">
        <v>332658</v>
      </c>
      <c r="K7" s="354">
        <v>3048208</v>
      </c>
      <c r="N7" s="78"/>
    </row>
    <row r="8" spans="1:14" ht="14.25" customHeight="1">
      <c r="A8" s="1011" t="s">
        <v>6</v>
      </c>
      <c r="B8" s="1307">
        <f>+'I.1.1 Cobertura SDSS '!E6</f>
        <v>8968144</v>
      </c>
      <c r="C8" s="1307">
        <v>7144758</v>
      </c>
      <c r="D8" s="1616">
        <v>3992211</v>
      </c>
      <c r="E8" s="1616">
        <v>3276373</v>
      </c>
      <c r="F8" s="355">
        <v>1437260</v>
      </c>
      <c r="G8" s="355">
        <v>1839113</v>
      </c>
      <c r="H8" s="1307">
        <v>715838</v>
      </c>
      <c r="I8" s="354">
        <v>415113</v>
      </c>
      <c r="J8" s="354">
        <v>300725</v>
      </c>
      <c r="K8" s="354">
        <v>3152547</v>
      </c>
      <c r="N8" s="78"/>
    </row>
    <row r="9" spans="1:14" ht="13.5" customHeight="1">
      <c r="A9" s="1011" t="s">
        <v>7</v>
      </c>
      <c r="B9" s="1307">
        <f>+'I.1.1 Cobertura SDSS '!E7</f>
        <v>9072308</v>
      </c>
      <c r="C9" s="1307">
        <v>7320436</v>
      </c>
      <c r="D9" s="1616">
        <v>4100433</v>
      </c>
      <c r="E9" s="1616">
        <v>3435086</v>
      </c>
      <c r="F9" s="355">
        <v>1505582.5</v>
      </c>
      <c r="G9" s="355">
        <v>1929503.5</v>
      </c>
      <c r="H9" s="1307">
        <v>665347</v>
      </c>
      <c r="I9" s="354">
        <v>352829</v>
      </c>
      <c r="J9" s="354">
        <v>312518</v>
      </c>
      <c r="K9" s="354">
        <v>3220003</v>
      </c>
      <c r="N9" s="78"/>
    </row>
    <row r="10" spans="1:14" ht="12.75" customHeight="1">
      <c r="A10" s="1011" t="s">
        <v>8</v>
      </c>
      <c r="B10" s="1307">
        <f>+'I.1.1 Cobertura SDSS '!E8</f>
        <v>9175265</v>
      </c>
      <c r="C10" s="1307">
        <v>7484808</v>
      </c>
      <c r="D10" s="1616">
        <v>4202277</v>
      </c>
      <c r="E10" s="1616">
        <v>3548304</v>
      </c>
      <c r="F10" s="355">
        <v>1571911.5</v>
      </c>
      <c r="G10" s="355">
        <v>1976392.5</v>
      </c>
      <c r="H10" s="1307">
        <v>653973</v>
      </c>
      <c r="I10" s="354">
        <v>336868</v>
      </c>
      <c r="J10" s="354">
        <v>317105</v>
      </c>
      <c r="K10" s="354">
        <v>3282531</v>
      </c>
      <c r="N10" s="78"/>
    </row>
    <row r="11" spans="1:14" ht="15" customHeight="1">
      <c r="A11" s="1011" t="s">
        <v>9</v>
      </c>
      <c r="B11" s="1307">
        <f>+'I.1.1 Cobertura SDSS '!E9</f>
        <v>9277181</v>
      </c>
      <c r="C11" s="1307">
        <v>7663945</v>
      </c>
      <c r="D11" s="1616">
        <v>4256447</v>
      </c>
      <c r="E11" s="1616">
        <v>3653946</v>
      </c>
      <c r="F11" s="355">
        <v>1566047</v>
      </c>
      <c r="G11" s="355">
        <v>2087899</v>
      </c>
      <c r="H11" s="1307">
        <v>602501</v>
      </c>
      <c r="I11" s="354">
        <v>264997</v>
      </c>
      <c r="J11" s="354">
        <v>337504</v>
      </c>
      <c r="K11" s="354">
        <v>3407498</v>
      </c>
      <c r="N11" s="78"/>
    </row>
    <row r="12" spans="1:14" ht="15.75" customHeight="1">
      <c r="A12" s="1011" t="s">
        <v>10</v>
      </c>
      <c r="B12" s="1307">
        <f>+'I.1.1 Cobertura SDSS '!E10</f>
        <v>9378455</v>
      </c>
      <c r="C12" s="1307">
        <v>7848901</v>
      </c>
      <c r="D12" s="1616">
        <v>4221883</v>
      </c>
      <c r="E12" s="1616">
        <v>3593988</v>
      </c>
      <c r="F12" s="354">
        <v>1560994</v>
      </c>
      <c r="G12" s="354">
        <v>2032994</v>
      </c>
      <c r="H12" s="1307">
        <v>627895</v>
      </c>
      <c r="I12" s="354">
        <v>318576</v>
      </c>
      <c r="J12" s="354">
        <v>309319</v>
      </c>
      <c r="K12" s="354">
        <v>3627018</v>
      </c>
      <c r="N12" s="78"/>
    </row>
    <row r="13" spans="1:14" ht="14.25" customHeight="1">
      <c r="A13" s="1011" t="s">
        <v>187</v>
      </c>
      <c r="B13" s="1307">
        <v>9445281</v>
      </c>
      <c r="C13" s="1307">
        <v>7967202</v>
      </c>
      <c r="D13" s="1616">
        <v>4378866</v>
      </c>
      <c r="E13" s="1616">
        <v>3753529</v>
      </c>
      <c r="F13" s="354">
        <v>1631129</v>
      </c>
      <c r="G13" s="354">
        <v>2122400</v>
      </c>
      <c r="H13" s="1307">
        <v>625337</v>
      </c>
      <c r="I13" s="354">
        <v>314055</v>
      </c>
      <c r="J13" s="354">
        <v>311282</v>
      </c>
      <c r="K13" s="354">
        <v>3588336</v>
      </c>
      <c r="N13" s="78"/>
    </row>
    <row r="14" spans="1:14" ht="15.75">
      <c r="A14" s="1011" t="s">
        <v>469</v>
      </c>
      <c r="B14" s="1307">
        <f>+'I.1.1 Cobertura SDSS '!E12</f>
        <v>9579983</v>
      </c>
      <c r="C14" s="1307">
        <v>8144337</v>
      </c>
      <c r="D14" s="1616">
        <v>4580813</v>
      </c>
      <c r="E14" s="1616">
        <v>3912405</v>
      </c>
      <c r="F14" s="354">
        <v>1686216</v>
      </c>
      <c r="G14" s="740">
        <v>2226189</v>
      </c>
      <c r="H14" s="1307">
        <v>668408</v>
      </c>
      <c r="I14" s="359">
        <v>368019</v>
      </c>
      <c r="J14" s="359">
        <v>300389</v>
      </c>
      <c r="K14" s="359">
        <v>3563524</v>
      </c>
      <c r="N14" s="78"/>
    </row>
    <row r="15" spans="1:14" ht="15.75">
      <c r="A15" s="1011" t="s">
        <v>1058</v>
      </c>
      <c r="B15" s="1307">
        <f>+'I.1.1 Cobertura SDSS '!E13</f>
        <v>9680534</v>
      </c>
      <c r="C15" s="1307">
        <v>8276419</v>
      </c>
      <c r="D15" s="1616">
        <v>4677824</v>
      </c>
      <c r="E15" s="1616">
        <v>3990748</v>
      </c>
      <c r="F15" s="354">
        <v>1716228</v>
      </c>
      <c r="G15" s="740">
        <v>2274520</v>
      </c>
      <c r="H15" s="1307">
        <v>687076</v>
      </c>
      <c r="I15" s="359">
        <v>377404</v>
      </c>
      <c r="J15" s="359">
        <v>309672</v>
      </c>
      <c r="K15" s="359">
        <v>3598595</v>
      </c>
      <c r="N15" s="78"/>
    </row>
    <row r="16" spans="1:14" ht="15.75">
      <c r="A16" s="1011" t="s">
        <v>1643</v>
      </c>
      <c r="B16" s="1307">
        <f>+'I.1.1 Cobertura SDSS '!E14</f>
        <v>9780743</v>
      </c>
      <c r="C16" s="1307">
        <v>8422139</v>
      </c>
      <c r="D16" s="1616">
        <v>4728655</v>
      </c>
      <c r="E16" s="1616">
        <v>4018420</v>
      </c>
      <c r="F16" s="740">
        <v>1769801</v>
      </c>
      <c r="G16" s="740">
        <v>2248619</v>
      </c>
      <c r="H16" s="1611">
        <v>710235</v>
      </c>
      <c r="I16" s="339">
        <v>404825</v>
      </c>
      <c r="J16" s="339">
        <v>305410</v>
      </c>
      <c r="K16" s="339">
        <v>3693484</v>
      </c>
    </row>
    <row r="17" spans="1:15" ht="15.75">
      <c r="A17" s="1011" t="s">
        <v>1907</v>
      </c>
      <c r="B17" s="1307">
        <v>9880505</v>
      </c>
      <c r="C17" s="1307">
        <f>D17+K17</f>
        <v>8571213</v>
      </c>
      <c r="D17" s="1616">
        <f>E17+H17</f>
        <v>4913588</v>
      </c>
      <c r="E17" s="1616">
        <f>F17+G17</f>
        <v>4199885</v>
      </c>
      <c r="F17" s="740">
        <v>1865496</v>
      </c>
      <c r="G17" s="740">
        <v>2334389</v>
      </c>
      <c r="H17" s="1611">
        <f>I17+J17</f>
        <v>713703</v>
      </c>
      <c r="I17" s="339">
        <v>403839</v>
      </c>
      <c r="J17" s="339">
        <v>309864</v>
      </c>
      <c r="K17" s="339">
        <v>3657625</v>
      </c>
    </row>
    <row r="18" spans="1:15">
      <c r="A18" s="149"/>
      <c r="B18" s="149"/>
      <c r="C18" s="149"/>
      <c r="D18" s="149"/>
      <c r="E18" s="149"/>
      <c r="F18" s="149"/>
      <c r="G18" s="149"/>
      <c r="H18" s="149"/>
      <c r="I18" s="149"/>
      <c r="J18" s="149"/>
      <c r="K18" s="149"/>
    </row>
    <row r="19" spans="1:15">
      <c r="A19" s="149"/>
      <c r="B19" s="149"/>
      <c r="C19" s="149"/>
      <c r="D19" s="149"/>
      <c r="E19" s="149"/>
      <c r="F19" s="129"/>
      <c r="G19" s="149"/>
      <c r="H19" s="149"/>
      <c r="I19" s="149"/>
      <c r="J19" s="149"/>
      <c r="K19" s="149"/>
    </row>
    <row r="20" spans="1:15">
      <c r="A20" s="149"/>
      <c r="B20" s="149"/>
      <c r="C20" s="149"/>
      <c r="D20" s="149"/>
      <c r="E20" s="149"/>
      <c r="F20" s="129"/>
      <c r="G20" s="149"/>
      <c r="H20" s="149"/>
      <c r="I20" s="149"/>
      <c r="J20" s="149"/>
      <c r="K20" s="149"/>
      <c r="N20" s="78"/>
      <c r="O20" s="78"/>
    </row>
    <row r="21" spans="1:15">
      <c r="A21" s="149"/>
      <c r="B21" s="149"/>
      <c r="C21" s="149"/>
      <c r="D21" s="149"/>
      <c r="E21" s="149"/>
      <c r="F21" s="129"/>
      <c r="G21" s="149"/>
      <c r="H21" s="149"/>
      <c r="I21" s="149"/>
      <c r="J21" s="149"/>
      <c r="K21" s="149"/>
      <c r="N21" s="78"/>
      <c r="O21" s="78"/>
    </row>
    <row r="22" spans="1:15">
      <c r="A22" s="149"/>
      <c r="B22" s="149"/>
      <c r="C22" s="149"/>
      <c r="D22" s="149"/>
      <c r="E22" s="149"/>
      <c r="F22" s="129"/>
      <c r="G22" s="149"/>
      <c r="H22" s="149"/>
      <c r="I22" s="149"/>
      <c r="J22" s="149"/>
      <c r="K22" s="149"/>
      <c r="N22" s="78"/>
      <c r="O22" s="78"/>
    </row>
    <row r="23" spans="1:15">
      <c r="A23" s="149"/>
      <c r="B23" s="149"/>
      <c r="C23" s="149"/>
      <c r="D23" s="149"/>
      <c r="E23" s="149"/>
      <c r="F23" s="129"/>
      <c r="G23" s="149"/>
      <c r="H23" s="149"/>
      <c r="I23" s="149"/>
      <c r="J23" s="149"/>
      <c r="K23" s="149"/>
      <c r="O23" s="78"/>
    </row>
    <row r="24" spans="1:15">
      <c r="A24" s="149"/>
      <c r="B24" s="149"/>
      <c r="C24" s="149"/>
      <c r="D24" s="149"/>
      <c r="E24" s="149"/>
      <c r="F24" s="129"/>
      <c r="G24" s="149"/>
      <c r="H24" s="149"/>
      <c r="I24" s="149"/>
      <c r="J24" s="149"/>
      <c r="K24" s="149"/>
      <c r="O24" s="78"/>
    </row>
    <row r="25" spans="1:15">
      <c r="A25" s="149"/>
      <c r="B25" s="149"/>
      <c r="C25" s="149"/>
      <c r="D25" s="149"/>
      <c r="E25" s="149"/>
      <c r="F25" s="129"/>
      <c r="G25" s="149"/>
      <c r="H25" s="149"/>
      <c r="I25" s="149"/>
      <c r="J25" s="149"/>
      <c r="K25" s="149"/>
      <c r="O25" s="78"/>
    </row>
    <row r="26" spans="1:15">
      <c r="A26" s="149"/>
      <c r="B26" s="149"/>
      <c r="C26" s="149"/>
      <c r="D26" s="149"/>
      <c r="E26" s="149"/>
      <c r="F26" s="129"/>
      <c r="G26" s="149"/>
      <c r="H26" s="149"/>
      <c r="I26" s="149"/>
      <c r="J26" s="149"/>
      <c r="K26" s="149"/>
      <c r="O26" s="78"/>
    </row>
    <row r="27" spans="1:15">
      <c r="A27" s="149"/>
      <c r="B27" s="149"/>
      <c r="C27" s="149"/>
      <c r="D27" s="149"/>
      <c r="E27" s="149"/>
      <c r="F27" s="129"/>
      <c r="G27" s="149"/>
      <c r="H27" s="149"/>
      <c r="I27" s="149"/>
      <c r="J27" s="149"/>
      <c r="K27" s="149"/>
      <c r="O27" s="78"/>
    </row>
    <row r="28" spans="1:15">
      <c r="A28" s="149"/>
      <c r="B28" s="149"/>
      <c r="C28" s="149"/>
      <c r="D28" s="149"/>
      <c r="E28" s="149"/>
      <c r="F28" s="129"/>
      <c r="G28" s="149"/>
      <c r="H28" s="149"/>
      <c r="I28" s="149"/>
      <c r="J28" s="149"/>
      <c r="K28" s="149"/>
      <c r="O28" s="78"/>
    </row>
    <row r="29" spans="1:15">
      <c r="A29" s="149"/>
      <c r="B29" s="149"/>
      <c r="C29" s="149"/>
      <c r="D29" s="149"/>
      <c r="E29" s="149"/>
      <c r="F29" s="129"/>
      <c r="G29" s="149"/>
      <c r="H29" s="149"/>
      <c r="I29" s="149"/>
      <c r="J29" s="149"/>
      <c r="K29" s="149"/>
      <c r="O29" s="78"/>
    </row>
    <row r="30" spans="1:15">
      <c r="A30" s="149"/>
      <c r="B30" s="149"/>
      <c r="C30" s="149"/>
      <c r="D30" s="149"/>
      <c r="E30" s="149"/>
      <c r="F30" s="129"/>
      <c r="G30" s="149"/>
      <c r="H30" s="149"/>
      <c r="I30" s="149"/>
      <c r="J30" s="149"/>
      <c r="K30" s="149"/>
    </row>
    <row r="31" spans="1:15">
      <c r="A31" s="149"/>
      <c r="B31" s="149"/>
      <c r="C31" s="149"/>
      <c r="D31" s="149"/>
      <c r="E31" s="149"/>
      <c r="F31" s="129"/>
      <c r="G31" s="149"/>
      <c r="H31" s="149"/>
      <c r="I31" s="149"/>
      <c r="J31" s="149"/>
      <c r="K31" s="149"/>
    </row>
    <row r="32" spans="1:15">
      <c r="A32" s="149"/>
      <c r="B32" s="149"/>
      <c r="C32" s="149"/>
      <c r="D32" s="149"/>
      <c r="E32" s="149"/>
      <c r="F32" s="129"/>
      <c r="G32" s="149"/>
      <c r="H32" s="149"/>
      <c r="I32" s="149"/>
      <c r="J32" s="149"/>
      <c r="K32" s="149"/>
    </row>
    <row r="33" spans="1:11">
      <c r="A33" s="149"/>
      <c r="B33" s="149"/>
      <c r="C33" s="149"/>
      <c r="D33" s="149"/>
      <c r="E33" s="149"/>
      <c r="F33" s="129"/>
      <c r="G33" s="149"/>
      <c r="H33" s="149"/>
      <c r="I33" s="149"/>
      <c r="J33" s="149"/>
      <c r="K33" s="149"/>
    </row>
    <row r="34" spans="1:11">
      <c r="A34" s="149"/>
      <c r="B34" s="149"/>
      <c r="C34" s="149"/>
      <c r="D34" s="149"/>
      <c r="E34" s="149"/>
      <c r="F34" s="129"/>
      <c r="G34" s="149"/>
      <c r="H34" s="149"/>
      <c r="I34" s="149"/>
      <c r="J34" s="149"/>
      <c r="K34" s="149"/>
    </row>
    <row r="35" spans="1:11">
      <c r="A35" s="149"/>
      <c r="B35" s="149"/>
      <c r="C35" s="149"/>
      <c r="D35" s="149"/>
      <c r="E35" s="149"/>
      <c r="F35" s="129"/>
      <c r="G35" s="149"/>
      <c r="H35" s="149"/>
      <c r="I35" s="149"/>
      <c r="J35" s="149"/>
      <c r="K35" s="149"/>
    </row>
    <row r="36" spans="1:11">
      <c r="A36" s="149"/>
      <c r="B36" s="149"/>
      <c r="C36" s="149"/>
      <c r="D36" s="149"/>
      <c r="E36" s="149"/>
      <c r="F36" s="129"/>
      <c r="G36" s="149"/>
      <c r="H36" s="149"/>
      <c r="I36" s="149"/>
      <c r="J36" s="149"/>
      <c r="K36" s="149"/>
    </row>
    <row r="37" spans="1:11">
      <c r="A37" s="149"/>
      <c r="B37" s="149"/>
      <c r="C37" s="149"/>
      <c r="D37" s="149"/>
      <c r="E37" s="149"/>
      <c r="F37" s="129"/>
      <c r="G37" s="149"/>
      <c r="H37" s="149"/>
      <c r="I37" s="149"/>
      <c r="J37" s="149"/>
      <c r="K37" s="149"/>
    </row>
    <row r="38" spans="1:11">
      <c r="A38" s="149"/>
      <c r="B38" s="149"/>
      <c r="C38" s="149"/>
      <c r="D38" s="149"/>
      <c r="E38" s="149"/>
      <c r="F38" s="129"/>
      <c r="G38" s="149"/>
      <c r="H38" s="149"/>
      <c r="I38" s="149"/>
      <c r="J38" s="149"/>
      <c r="K38" s="149"/>
    </row>
    <row r="39" spans="1:11" ht="3" customHeight="1">
      <c r="A39" s="80"/>
      <c r="B39" s="80"/>
      <c r="C39" s="80"/>
      <c r="D39" s="80"/>
      <c r="E39" s="80"/>
      <c r="F39" s="80"/>
      <c r="G39" s="80"/>
      <c r="H39" s="80"/>
      <c r="I39" s="80"/>
      <c r="J39" s="80"/>
      <c r="K39" s="80"/>
    </row>
    <row r="40" spans="1:11">
      <c r="A40" s="151"/>
      <c r="B40" s="151"/>
      <c r="C40" s="151"/>
      <c r="D40" s="151"/>
      <c r="E40" s="151"/>
      <c r="F40" s="62"/>
      <c r="G40" s="151"/>
      <c r="H40" s="151"/>
      <c r="I40" s="151"/>
      <c r="J40" s="151"/>
      <c r="K40" s="151"/>
    </row>
    <row r="43" spans="1:11">
      <c r="A43" s="151"/>
      <c r="B43" s="151"/>
      <c r="C43" s="151"/>
      <c r="D43" s="151"/>
      <c r="E43" s="151"/>
      <c r="F43" s="62"/>
      <c r="G43" s="151"/>
      <c r="H43" s="151"/>
      <c r="I43" s="151"/>
      <c r="J43" s="151"/>
      <c r="K43" s="151"/>
    </row>
  </sheetData>
  <mergeCells count="2">
    <mergeCell ref="A1:L1"/>
    <mergeCell ref="A2:L3"/>
  </mergeCells>
  <printOptions horizontalCentered="1" verticalCentered="1"/>
  <pageMargins left="0.39370078740157483" right="0.39370078740157483" top="0.23622047244094491" bottom="0.15748031496062992" header="0.23622047244094491" footer="0.15748031496062992"/>
  <pageSetup scale="7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0000"/>
  </sheetPr>
  <dimension ref="A1:P48"/>
  <sheetViews>
    <sheetView showGridLines="0" view="pageBreakPreview" zoomScaleNormal="90" zoomScaleSheetLayoutView="100" workbookViewId="0">
      <pane xSplit="1" ySplit="4" topLeftCell="E5" activePane="bottomRight" state="frozen"/>
      <selection pane="topRight" activeCell="B1" sqref="B1"/>
      <selection pane="bottomLeft" activeCell="A5" sqref="A5"/>
      <selection pane="bottomRight" activeCell="R25" sqref="R25"/>
    </sheetView>
  </sheetViews>
  <sheetFormatPr baseColWidth="10" defaultColWidth="11.42578125" defaultRowHeight="15"/>
  <cols>
    <col min="1" max="1" width="32.42578125" style="128" customWidth="1"/>
    <col min="2" max="3" width="11" style="128" hidden="1" customWidth="1"/>
    <col min="4" max="4" width="10.7109375" style="128" hidden="1" customWidth="1"/>
    <col min="5" max="5" width="11.140625" style="128" customWidth="1"/>
    <col min="6" max="6" width="10" style="128" customWidth="1"/>
    <col min="7" max="7" width="10.42578125" style="128" customWidth="1"/>
    <col min="8" max="8" width="10" style="128" customWidth="1"/>
    <col min="9" max="10" width="10.42578125" style="128" customWidth="1"/>
    <col min="11" max="11" width="10.7109375" style="128" customWidth="1"/>
    <col min="12" max="12" width="12.42578125" style="128" customWidth="1"/>
    <col min="13" max="13" width="11.42578125" style="128"/>
    <col min="14" max="14" width="12.42578125" style="128" customWidth="1"/>
    <col min="15" max="16384" width="11.42578125" style="128"/>
  </cols>
  <sheetData>
    <row r="1" spans="1:16" ht="57" customHeight="1">
      <c r="A1" s="2246" t="s">
        <v>1199</v>
      </c>
      <c r="B1" s="2247"/>
      <c r="C1" s="2247"/>
      <c r="D1" s="2247"/>
      <c r="E1" s="2247"/>
      <c r="F1" s="2247"/>
      <c r="G1" s="2247"/>
      <c r="H1" s="2247"/>
      <c r="I1" s="2247"/>
      <c r="J1" s="2247"/>
      <c r="K1" s="2247"/>
      <c r="L1" s="2247"/>
      <c r="M1" s="2247"/>
      <c r="N1" s="2247"/>
      <c r="O1" s="2247"/>
      <c r="P1" s="2247"/>
    </row>
    <row r="2" spans="1:16" s="25" customFormat="1" ht="25.5" customHeight="1">
      <c r="A2" s="2248" t="s">
        <v>970</v>
      </c>
      <c r="B2" s="2248"/>
      <c r="C2" s="2248"/>
      <c r="D2" s="2248"/>
      <c r="E2" s="2248"/>
      <c r="F2" s="2248"/>
      <c r="G2" s="2248"/>
      <c r="H2" s="2248"/>
      <c r="I2" s="2248"/>
      <c r="J2" s="2248"/>
      <c r="K2" s="2248"/>
      <c r="L2" s="2248"/>
      <c r="M2" s="2248"/>
      <c r="N2" s="2248"/>
      <c r="O2" s="2248"/>
      <c r="P2" s="2248"/>
    </row>
    <row r="3" spans="1:16" s="25" customFormat="1" ht="58.5" customHeight="1">
      <c r="A3" s="2248"/>
      <c r="B3" s="2248"/>
      <c r="C3" s="2248"/>
      <c r="D3" s="2248"/>
      <c r="E3" s="2248"/>
      <c r="F3" s="2248"/>
      <c r="G3" s="2248"/>
      <c r="H3" s="2248"/>
      <c r="I3" s="2248"/>
      <c r="J3" s="2248"/>
      <c r="K3" s="2248"/>
      <c r="L3" s="2248"/>
      <c r="M3" s="2248"/>
      <c r="N3" s="2248"/>
      <c r="O3" s="2248"/>
      <c r="P3" s="2248"/>
    </row>
    <row r="4" spans="1:16" ht="21" customHeight="1">
      <c r="A4" s="653" t="s">
        <v>11</v>
      </c>
      <c r="B4" s="654" t="s">
        <v>969</v>
      </c>
      <c r="C4" s="654" t="s">
        <v>4</v>
      </c>
      <c r="D4" s="654" t="s">
        <v>5</v>
      </c>
      <c r="E4" s="654" t="s">
        <v>522</v>
      </c>
      <c r="F4" s="654" t="s">
        <v>521</v>
      </c>
      <c r="G4" s="654" t="s">
        <v>249</v>
      </c>
      <c r="H4" s="654" t="s">
        <v>467</v>
      </c>
      <c r="I4" s="654" t="s">
        <v>10</v>
      </c>
      <c r="J4" s="654" t="s">
        <v>360</v>
      </c>
      <c r="K4" s="654" t="s">
        <v>469</v>
      </c>
      <c r="L4" s="654" t="s">
        <v>1058</v>
      </c>
      <c r="M4" s="654" t="s">
        <v>1643</v>
      </c>
      <c r="N4" s="654" t="s">
        <v>1907</v>
      </c>
    </row>
    <row r="5" spans="1:16">
      <c r="A5" s="656" t="s">
        <v>12</v>
      </c>
      <c r="B5" s="652">
        <v>54394</v>
      </c>
      <c r="C5" s="652">
        <v>49967</v>
      </c>
      <c r="D5" s="1290">
        <v>65316</v>
      </c>
      <c r="E5" s="1290">
        <v>59055.5</v>
      </c>
      <c r="F5" s="1290">
        <v>57661</v>
      </c>
      <c r="G5" s="1290">
        <v>63198</v>
      </c>
      <c r="H5" s="1290">
        <v>55832</v>
      </c>
      <c r="I5" s="1290">
        <v>62722</v>
      </c>
      <c r="J5" s="1290">
        <v>56906</v>
      </c>
      <c r="K5" s="1290">
        <v>73730</v>
      </c>
      <c r="L5" s="1290">
        <v>65532</v>
      </c>
      <c r="M5" s="1290">
        <v>74396</v>
      </c>
      <c r="N5" s="652">
        <v>94092</v>
      </c>
    </row>
    <row r="6" spans="1:16" ht="16.5" customHeight="1">
      <c r="A6" s="656" t="s">
        <v>13</v>
      </c>
      <c r="B6" s="652">
        <v>5332</v>
      </c>
      <c r="C6" s="652">
        <v>6224</v>
      </c>
      <c r="D6" s="1290">
        <v>4729.5</v>
      </c>
      <c r="E6" s="1290">
        <v>5240.5</v>
      </c>
      <c r="F6" s="1290">
        <v>3875</v>
      </c>
      <c r="G6" s="1290">
        <v>5460.5</v>
      </c>
      <c r="H6" s="1290">
        <v>7849</v>
      </c>
      <c r="I6" s="1290">
        <v>7092</v>
      </c>
      <c r="J6" s="1290">
        <v>9592</v>
      </c>
      <c r="K6" s="1290">
        <v>15545</v>
      </c>
      <c r="L6" s="1290">
        <v>12905</v>
      </c>
      <c r="M6" s="1290">
        <v>9756</v>
      </c>
      <c r="N6" s="652">
        <v>5755</v>
      </c>
    </row>
    <row r="7" spans="1:16">
      <c r="A7" s="656" t="s">
        <v>14</v>
      </c>
      <c r="B7" s="652">
        <v>335875</v>
      </c>
      <c r="C7" s="652">
        <v>347392</v>
      </c>
      <c r="D7" s="1290">
        <v>380576</v>
      </c>
      <c r="E7" s="1290">
        <v>356009</v>
      </c>
      <c r="F7" s="1290">
        <v>367230.5</v>
      </c>
      <c r="G7" s="1290">
        <v>381709.5</v>
      </c>
      <c r="H7" s="1290">
        <v>322067</v>
      </c>
      <c r="I7" s="1290">
        <v>267702</v>
      </c>
      <c r="J7" s="1290">
        <v>281199</v>
      </c>
      <c r="K7" s="1290">
        <v>277208</v>
      </c>
      <c r="L7" s="1290">
        <v>292404</v>
      </c>
      <c r="M7" s="1290">
        <v>292394</v>
      </c>
      <c r="N7" s="652">
        <v>288770</v>
      </c>
    </row>
    <row r="8" spans="1:16">
      <c r="A8" s="656" t="s">
        <v>15</v>
      </c>
      <c r="B8" s="652">
        <v>20857</v>
      </c>
      <c r="C8" s="652">
        <v>26411</v>
      </c>
      <c r="D8" s="1290">
        <v>26734.5</v>
      </c>
      <c r="E8" s="1290">
        <v>26193.5</v>
      </c>
      <c r="F8" s="1290">
        <v>26353.5</v>
      </c>
      <c r="G8" s="1290">
        <v>30830</v>
      </c>
      <c r="H8" s="1290">
        <v>31582</v>
      </c>
      <c r="I8" s="1290">
        <v>30520</v>
      </c>
      <c r="J8" s="1290">
        <v>37741</v>
      </c>
      <c r="K8" s="1290">
        <v>31145</v>
      </c>
      <c r="L8" s="1290">
        <v>43665</v>
      </c>
      <c r="M8" s="1290">
        <v>35190</v>
      </c>
      <c r="N8" s="652">
        <v>34478</v>
      </c>
    </row>
    <row r="9" spans="1:16">
      <c r="A9" s="656" t="s">
        <v>16</v>
      </c>
      <c r="B9" s="652">
        <v>42579</v>
      </c>
      <c r="C9" s="652">
        <v>45173</v>
      </c>
      <c r="D9" s="1290">
        <v>53564.5</v>
      </c>
      <c r="E9" s="1290">
        <v>31601</v>
      </c>
      <c r="F9" s="1290">
        <v>43507.5</v>
      </c>
      <c r="G9" s="1290">
        <v>45705</v>
      </c>
      <c r="H9" s="1290">
        <v>51584</v>
      </c>
      <c r="I9" s="1290">
        <v>34519</v>
      </c>
      <c r="J9" s="1290">
        <v>40257</v>
      </c>
      <c r="K9" s="1290">
        <v>35938</v>
      </c>
      <c r="L9" s="1290">
        <v>40323</v>
      </c>
      <c r="M9" s="1290">
        <v>27474</v>
      </c>
      <c r="N9" s="652">
        <v>42681</v>
      </c>
    </row>
    <row r="10" spans="1:16">
      <c r="A10" s="656" t="s">
        <v>17</v>
      </c>
      <c r="B10" s="652">
        <v>218947</v>
      </c>
      <c r="C10" s="652">
        <v>198915</v>
      </c>
      <c r="D10" s="1290">
        <v>198724</v>
      </c>
      <c r="E10" s="1290">
        <v>211992.5</v>
      </c>
      <c r="F10" s="1290">
        <v>234505</v>
      </c>
      <c r="G10" s="1290">
        <v>229492.5</v>
      </c>
      <c r="H10" s="1290">
        <v>238189</v>
      </c>
      <c r="I10" s="1290">
        <v>241768</v>
      </c>
      <c r="J10" s="1290">
        <v>251447</v>
      </c>
      <c r="K10" s="1290">
        <v>254030</v>
      </c>
      <c r="L10" s="1290">
        <v>236447</v>
      </c>
      <c r="M10" s="652">
        <v>257264</v>
      </c>
      <c r="N10" s="652">
        <v>291369</v>
      </c>
    </row>
    <row r="11" spans="1:16">
      <c r="A11" s="656" t="s">
        <v>18</v>
      </c>
      <c r="B11" s="652">
        <v>74471</v>
      </c>
      <c r="C11" s="652">
        <v>94191</v>
      </c>
      <c r="D11" s="1290">
        <v>93758.5</v>
      </c>
      <c r="E11" s="1290">
        <v>86665</v>
      </c>
      <c r="F11" s="1290">
        <v>91077</v>
      </c>
      <c r="G11" s="1290">
        <v>105664.5</v>
      </c>
      <c r="H11" s="1290">
        <v>112403</v>
      </c>
      <c r="I11" s="1290">
        <v>101997</v>
      </c>
      <c r="J11" s="1290">
        <v>110062</v>
      </c>
      <c r="K11" s="1290">
        <v>117394</v>
      </c>
      <c r="L11" s="1290">
        <v>123299</v>
      </c>
      <c r="M11" s="652">
        <v>120700</v>
      </c>
      <c r="N11" s="652">
        <v>134768</v>
      </c>
    </row>
    <row r="12" spans="1:16">
      <c r="A12" s="656" t="s">
        <v>19</v>
      </c>
      <c r="B12" s="652">
        <v>68639</v>
      </c>
      <c r="C12" s="652">
        <v>69119</v>
      </c>
      <c r="D12" s="1290">
        <v>69605.5</v>
      </c>
      <c r="E12" s="1290">
        <v>64356.5</v>
      </c>
      <c r="F12" s="1290">
        <v>66871.5</v>
      </c>
      <c r="G12" s="1290">
        <v>68018.5</v>
      </c>
      <c r="H12" s="1290">
        <v>73736</v>
      </c>
      <c r="I12" s="1290">
        <v>74994</v>
      </c>
      <c r="J12" s="1290">
        <v>70890</v>
      </c>
      <c r="K12" s="1290">
        <v>67549</v>
      </c>
      <c r="L12" s="1290">
        <v>71306</v>
      </c>
      <c r="M12" s="652">
        <v>90119</v>
      </c>
      <c r="N12" s="652">
        <v>92028</v>
      </c>
    </row>
    <row r="13" spans="1:16">
      <c r="A13" s="656" t="s">
        <v>20</v>
      </c>
      <c r="B13" s="652">
        <v>48965</v>
      </c>
      <c r="C13" s="652">
        <v>51554</v>
      </c>
      <c r="D13" s="1290">
        <v>44203.5</v>
      </c>
      <c r="E13" s="1290">
        <v>46757.5</v>
      </c>
      <c r="F13" s="1290">
        <v>49397</v>
      </c>
      <c r="G13" s="1290">
        <v>55326</v>
      </c>
      <c r="H13" s="1290">
        <v>55155</v>
      </c>
      <c r="I13" s="1290">
        <v>67119</v>
      </c>
      <c r="J13" s="1290">
        <v>65137</v>
      </c>
      <c r="K13" s="1290">
        <v>72016</v>
      </c>
      <c r="L13" s="1290">
        <v>82080</v>
      </c>
      <c r="M13" s="652">
        <v>79468</v>
      </c>
      <c r="N13" s="652">
        <v>83517</v>
      </c>
    </row>
    <row r="14" spans="1:16">
      <c r="A14" s="656" t="s">
        <v>21</v>
      </c>
      <c r="B14" s="652">
        <v>154503</v>
      </c>
      <c r="C14" s="652">
        <v>137736</v>
      </c>
      <c r="D14" s="1290">
        <v>140736.5</v>
      </c>
      <c r="E14" s="1290">
        <v>147544.5</v>
      </c>
      <c r="F14" s="1290">
        <v>148907.5</v>
      </c>
      <c r="G14" s="1290">
        <v>152563.5</v>
      </c>
      <c r="H14" s="1290">
        <v>156837</v>
      </c>
      <c r="I14" s="1290">
        <v>164689</v>
      </c>
      <c r="J14" s="1290">
        <v>184575</v>
      </c>
      <c r="K14" s="1290">
        <v>189387</v>
      </c>
      <c r="L14" s="1290">
        <v>194986</v>
      </c>
      <c r="M14" s="652">
        <v>194720</v>
      </c>
      <c r="N14" s="652">
        <v>191598</v>
      </c>
    </row>
    <row r="15" spans="1:16">
      <c r="A15" s="656" t="s">
        <v>22</v>
      </c>
      <c r="B15" s="652">
        <v>368304</v>
      </c>
      <c r="C15" s="652">
        <v>393542</v>
      </c>
      <c r="D15" s="1290">
        <v>403905</v>
      </c>
      <c r="E15" s="1290">
        <v>401844.5</v>
      </c>
      <c r="F15" s="1290">
        <v>416197</v>
      </c>
      <c r="G15" s="1290">
        <v>433943.5</v>
      </c>
      <c r="H15" s="1290">
        <v>460813</v>
      </c>
      <c r="I15" s="1290">
        <v>507872</v>
      </c>
      <c r="J15" s="1290">
        <v>523323</v>
      </c>
      <c r="K15" s="1290">
        <v>552274</v>
      </c>
      <c r="L15" s="1290">
        <v>553281</v>
      </c>
      <c r="M15" s="652">
        <v>588320</v>
      </c>
      <c r="N15" s="652">
        <v>606440</v>
      </c>
    </row>
    <row r="16" spans="1:16" ht="17.25" customHeight="1">
      <c r="A16" s="653" t="s">
        <v>23</v>
      </c>
      <c r="B16" s="655">
        <f>SUM(B5:B15)</f>
        <v>1392866</v>
      </c>
      <c r="C16" s="655">
        <f>SUM(C5:C15)</f>
        <v>1420224</v>
      </c>
      <c r="D16" s="655">
        <f t="shared" ref="D16:N16" si="0">SUM(D5:D15)</f>
        <v>1481853.5</v>
      </c>
      <c r="E16" s="655">
        <f t="shared" si="0"/>
        <v>1437260</v>
      </c>
      <c r="F16" s="655">
        <f t="shared" si="0"/>
        <v>1505582.5</v>
      </c>
      <c r="G16" s="655">
        <f t="shared" si="0"/>
        <v>1571911.5</v>
      </c>
      <c r="H16" s="655">
        <f t="shared" si="0"/>
        <v>1566047</v>
      </c>
      <c r="I16" s="655">
        <f t="shared" si="0"/>
        <v>1560994</v>
      </c>
      <c r="J16" s="655">
        <f t="shared" si="0"/>
        <v>1631129</v>
      </c>
      <c r="K16" s="655">
        <f t="shared" si="0"/>
        <v>1686216</v>
      </c>
      <c r="L16" s="655">
        <f t="shared" si="0"/>
        <v>1716228</v>
      </c>
      <c r="M16" s="655">
        <f t="shared" si="0"/>
        <v>1769801</v>
      </c>
      <c r="N16" s="655">
        <f t="shared" si="0"/>
        <v>1865496</v>
      </c>
    </row>
    <row r="17" spans="1:12" s="148" customFormat="1" ht="13.5" customHeight="1">
      <c r="A17" s="393"/>
      <c r="B17" s="130"/>
      <c r="C17" s="130"/>
      <c r="D17" s="130"/>
      <c r="E17" s="149"/>
      <c r="F17" s="149"/>
      <c r="G17" s="149"/>
      <c r="H17" s="149"/>
      <c r="I17" s="149"/>
      <c r="J17" s="149"/>
      <c r="K17" s="149"/>
      <c r="L17" s="149"/>
    </row>
    <row r="18" spans="1:12" ht="9.75" customHeight="1">
      <c r="A18" s="38"/>
      <c r="B18" s="38"/>
      <c r="C18" s="38"/>
      <c r="D18" s="38"/>
      <c r="E18" s="151"/>
      <c r="F18" s="151"/>
      <c r="G18" s="151"/>
      <c r="H18" s="151"/>
      <c r="I18" s="151"/>
      <c r="J18" s="151"/>
      <c r="K18" s="151"/>
      <c r="L18" s="151"/>
    </row>
    <row r="19" spans="1:12">
      <c r="A19" s="151"/>
      <c r="B19" s="151"/>
      <c r="C19" s="151"/>
      <c r="D19" s="151"/>
      <c r="E19" s="151"/>
      <c r="F19" s="151"/>
      <c r="G19" s="151"/>
      <c r="H19" s="151"/>
      <c r="I19" s="151"/>
      <c r="J19" s="151"/>
      <c r="K19" s="151"/>
      <c r="L19" s="151"/>
    </row>
    <row r="20" spans="1:12">
      <c r="A20" s="151"/>
      <c r="B20" s="151"/>
      <c r="C20" s="151"/>
      <c r="D20" s="151"/>
      <c r="E20" s="151"/>
      <c r="F20" s="151"/>
      <c r="G20" s="151"/>
      <c r="H20" s="151"/>
      <c r="I20" s="151"/>
      <c r="J20" s="151"/>
      <c r="K20" s="151"/>
      <c r="L20" s="151"/>
    </row>
    <row r="21" spans="1:12">
      <c r="A21" s="151"/>
      <c r="B21" s="151"/>
      <c r="C21" s="151"/>
      <c r="D21" s="151"/>
      <c r="E21" s="151"/>
      <c r="F21" s="151"/>
      <c r="G21" s="151"/>
      <c r="H21" s="151"/>
      <c r="I21" s="151"/>
      <c r="J21" s="151"/>
      <c r="K21" s="151"/>
      <c r="L21" s="151"/>
    </row>
    <row r="22" spans="1:12">
      <c r="A22" s="151"/>
      <c r="B22" s="151"/>
      <c r="C22" s="151"/>
      <c r="D22" s="151"/>
      <c r="E22" s="151"/>
      <c r="F22" s="151"/>
      <c r="G22" s="151"/>
      <c r="H22" s="151"/>
      <c r="I22" s="151"/>
      <c r="J22" s="151"/>
      <c r="K22" s="151"/>
      <c r="L22" s="151"/>
    </row>
    <row r="23" spans="1:12">
      <c r="A23" s="151"/>
      <c r="B23" s="151"/>
      <c r="C23" s="151"/>
      <c r="D23" s="151"/>
      <c r="E23" s="151"/>
      <c r="F23" s="151"/>
      <c r="G23" s="151"/>
      <c r="H23" s="151"/>
      <c r="I23" s="151"/>
      <c r="J23" s="151"/>
      <c r="K23" s="151"/>
      <c r="L23" s="151"/>
    </row>
    <row r="24" spans="1:12">
      <c r="A24" s="151"/>
      <c r="B24" s="151"/>
      <c r="C24" s="151"/>
      <c r="D24" s="151"/>
      <c r="E24" s="151"/>
      <c r="F24" s="151"/>
      <c r="G24" s="151"/>
      <c r="H24" s="151"/>
      <c r="I24" s="151"/>
      <c r="J24" s="151"/>
      <c r="K24" s="151"/>
      <c r="L24" s="151"/>
    </row>
    <row r="25" spans="1:12">
      <c r="A25" s="151"/>
      <c r="B25" s="151"/>
      <c r="C25" s="151"/>
      <c r="D25" s="151"/>
      <c r="E25" s="151"/>
      <c r="F25" s="151"/>
      <c r="G25" s="151"/>
      <c r="H25" s="151"/>
      <c r="I25" s="151"/>
      <c r="J25" s="151"/>
      <c r="K25" s="151"/>
      <c r="L25" s="151"/>
    </row>
    <row r="26" spans="1:12">
      <c r="A26" s="151"/>
      <c r="B26" s="151"/>
      <c r="C26" s="151"/>
      <c r="D26" s="151"/>
      <c r="E26" s="151"/>
      <c r="F26" s="151"/>
      <c r="G26" s="151"/>
      <c r="H26" s="151"/>
      <c r="I26" s="151"/>
      <c r="J26" s="151"/>
      <c r="K26" s="151"/>
      <c r="L26" s="151"/>
    </row>
    <row r="27" spans="1:12">
      <c r="A27" s="151"/>
      <c r="B27" s="151"/>
      <c r="C27" s="151"/>
      <c r="D27" s="151"/>
      <c r="E27" s="151"/>
      <c r="F27" s="151"/>
      <c r="G27" s="151"/>
      <c r="H27" s="151"/>
      <c r="I27" s="151"/>
      <c r="J27" s="151"/>
      <c r="K27" s="151"/>
      <c r="L27" s="151"/>
    </row>
    <row r="28" spans="1:12">
      <c r="A28" s="151"/>
      <c r="B28" s="151"/>
      <c r="C28" s="151"/>
      <c r="D28" s="151"/>
      <c r="E28" s="151"/>
      <c r="F28" s="151"/>
      <c r="G28" s="151"/>
      <c r="H28" s="151"/>
      <c r="I28" s="151"/>
      <c r="J28" s="151"/>
      <c r="K28" s="151"/>
      <c r="L28" s="151"/>
    </row>
    <row r="29" spans="1:12">
      <c r="A29" s="151"/>
      <c r="B29" s="151"/>
      <c r="C29" s="151"/>
      <c r="D29" s="151"/>
      <c r="E29" s="151"/>
      <c r="F29" s="151"/>
      <c r="G29" s="151"/>
      <c r="H29" s="151"/>
      <c r="I29" s="151"/>
      <c r="J29" s="151"/>
      <c r="K29" s="151"/>
      <c r="L29" s="151"/>
    </row>
    <row r="30" spans="1:12">
      <c r="A30" s="151"/>
      <c r="B30" s="151"/>
      <c r="C30" s="151"/>
      <c r="D30" s="151"/>
      <c r="E30" s="151"/>
      <c r="F30" s="151"/>
      <c r="G30" s="151"/>
      <c r="H30" s="151"/>
      <c r="I30" s="151"/>
      <c r="J30" s="151"/>
      <c r="K30" s="151"/>
      <c r="L30" s="151"/>
    </row>
    <row r="31" spans="1:12">
      <c r="A31" s="151"/>
      <c r="B31" s="151"/>
      <c r="C31" s="151"/>
      <c r="D31" s="151"/>
      <c r="E31" s="151"/>
      <c r="F31" s="151"/>
      <c r="G31" s="151"/>
      <c r="H31" s="151"/>
      <c r="I31" s="151"/>
      <c r="J31" s="151"/>
      <c r="K31" s="151"/>
      <c r="L31" s="151"/>
    </row>
    <row r="32" spans="1:12">
      <c r="A32" s="151"/>
      <c r="B32" s="151"/>
      <c r="C32" s="151"/>
      <c r="D32" s="151"/>
      <c r="E32" s="151"/>
      <c r="F32" s="151"/>
      <c r="G32" s="151"/>
      <c r="H32" s="151"/>
      <c r="I32" s="151"/>
      <c r="J32" s="151"/>
      <c r="K32" s="151"/>
      <c r="L32" s="151"/>
    </row>
    <row r="33" spans="1:12">
      <c r="A33" s="151"/>
      <c r="B33" s="151"/>
      <c r="C33" s="151"/>
      <c r="D33" s="151"/>
      <c r="E33" s="151"/>
      <c r="F33" s="151"/>
      <c r="G33" s="151"/>
      <c r="H33" s="151"/>
      <c r="I33" s="151"/>
      <c r="J33" s="151"/>
      <c r="K33" s="151"/>
      <c r="L33" s="151"/>
    </row>
    <row r="34" spans="1:12">
      <c r="A34" s="151"/>
      <c r="B34" s="151"/>
      <c r="C34" s="151"/>
      <c r="D34" s="151"/>
      <c r="E34" s="151"/>
      <c r="F34" s="151"/>
      <c r="G34" s="151"/>
      <c r="H34" s="151"/>
      <c r="I34" s="151"/>
      <c r="J34" s="151"/>
      <c r="K34" s="151"/>
      <c r="L34" s="151"/>
    </row>
    <row r="35" spans="1:12">
      <c r="A35" s="151"/>
      <c r="B35" s="151"/>
      <c r="C35" s="151"/>
      <c r="D35" s="151"/>
      <c r="E35" s="151"/>
      <c r="F35" s="151"/>
      <c r="G35" s="151"/>
      <c r="H35" s="151"/>
      <c r="I35" s="151"/>
      <c r="J35" s="151"/>
      <c r="K35" s="151"/>
      <c r="L35" s="151"/>
    </row>
    <row r="36" spans="1:12">
      <c r="A36" s="151"/>
      <c r="B36" s="151"/>
      <c r="C36" s="151"/>
      <c r="D36" s="151"/>
      <c r="E36" s="151"/>
      <c r="F36" s="151"/>
      <c r="G36" s="151"/>
      <c r="H36" s="151"/>
      <c r="I36" s="151"/>
      <c r="J36" s="151"/>
      <c r="K36" s="151"/>
      <c r="L36" s="151"/>
    </row>
    <row r="37" spans="1:12">
      <c r="A37" s="151"/>
      <c r="B37" s="151"/>
      <c r="C37" s="151"/>
      <c r="D37" s="151"/>
      <c r="E37" s="151"/>
      <c r="F37" s="151"/>
      <c r="G37" s="151"/>
      <c r="H37" s="151"/>
      <c r="I37" s="151"/>
      <c r="J37" s="151"/>
      <c r="K37" s="151"/>
      <c r="L37" s="151"/>
    </row>
    <row r="38" spans="1:12">
      <c r="A38" s="151"/>
      <c r="B38" s="151"/>
      <c r="C38" s="151"/>
      <c r="D38" s="151"/>
      <c r="E38" s="151"/>
      <c r="F38" s="151"/>
      <c r="G38" s="151"/>
      <c r="H38" s="151"/>
      <c r="I38" s="151"/>
      <c r="J38" s="151"/>
      <c r="K38" s="151"/>
      <c r="L38" s="151"/>
    </row>
    <row r="39" spans="1:12">
      <c r="A39" s="151"/>
      <c r="B39" s="151"/>
      <c r="C39" s="151"/>
      <c r="D39" s="151"/>
      <c r="E39" s="151"/>
      <c r="F39" s="151"/>
      <c r="G39" s="151"/>
      <c r="H39" s="151"/>
      <c r="I39" s="151"/>
      <c r="J39" s="151"/>
      <c r="K39" s="151"/>
      <c r="L39" s="151"/>
    </row>
    <row r="40" spans="1:12">
      <c r="A40" s="151"/>
      <c r="B40" s="151"/>
      <c r="C40" s="151"/>
      <c r="D40" s="151"/>
      <c r="E40" s="151"/>
      <c r="F40" s="151"/>
      <c r="G40" s="151"/>
      <c r="H40" s="151"/>
      <c r="I40" s="151"/>
      <c r="J40" s="151"/>
      <c r="K40" s="151"/>
      <c r="L40" s="151"/>
    </row>
    <row r="41" spans="1:12">
      <c r="A41" s="151"/>
      <c r="B41" s="151"/>
      <c r="C41" s="151"/>
      <c r="D41" s="151"/>
      <c r="E41" s="151"/>
      <c r="F41" s="151"/>
      <c r="G41" s="151"/>
      <c r="H41" s="151"/>
      <c r="I41" s="151"/>
      <c r="J41" s="151"/>
      <c r="K41" s="151"/>
      <c r="L41" s="151"/>
    </row>
    <row r="42" spans="1:12">
      <c r="A42" s="151"/>
      <c r="B42" s="151"/>
      <c r="C42" s="151"/>
      <c r="D42" s="151"/>
      <c r="E42" s="151"/>
      <c r="F42" s="151"/>
      <c r="G42" s="151"/>
      <c r="H42" s="151"/>
      <c r="I42" s="151"/>
      <c r="J42" s="151"/>
      <c r="K42" s="151"/>
      <c r="L42" s="151"/>
    </row>
    <row r="43" spans="1:12">
      <c r="A43" s="151"/>
      <c r="B43" s="151"/>
      <c r="C43" s="151"/>
      <c r="D43" s="151"/>
      <c r="E43" s="151"/>
      <c r="F43" s="151"/>
      <c r="G43" s="151"/>
      <c r="H43" s="151"/>
      <c r="I43" s="151"/>
      <c r="J43" s="151"/>
      <c r="K43" s="151"/>
      <c r="L43" s="151"/>
    </row>
    <row r="44" spans="1:12">
      <c r="A44" s="151"/>
      <c r="B44" s="151"/>
      <c r="C44" s="151"/>
      <c r="D44" s="151"/>
      <c r="E44" s="151"/>
      <c r="F44" s="151"/>
      <c r="G44" s="151"/>
      <c r="H44" s="151"/>
      <c r="I44" s="151"/>
      <c r="J44" s="151"/>
      <c r="K44" s="151"/>
      <c r="L44" s="151"/>
    </row>
    <row r="45" spans="1:12">
      <c r="A45" s="151"/>
      <c r="B45" s="151"/>
      <c r="C45" s="151"/>
      <c r="D45" s="151"/>
      <c r="E45" s="151"/>
      <c r="F45" s="151"/>
      <c r="G45" s="151"/>
      <c r="H45" s="151"/>
      <c r="I45" s="151"/>
      <c r="J45" s="151"/>
      <c r="K45" s="151"/>
      <c r="L45" s="151"/>
    </row>
    <row r="46" spans="1:12">
      <c r="A46" s="151"/>
      <c r="B46" s="151"/>
      <c r="C46" s="151"/>
      <c r="D46" s="151"/>
      <c r="E46" s="151"/>
      <c r="F46" s="151"/>
      <c r="G46" s="151"/>
      <c r="H46" s="151"/>
      <c r="I46" s="151"/>
      <c r="J46" s="151"/>
      <c r="K46" s="151"/>
      <c r="L46" s="151"/>
    </row>
    <row r="47" spans="1:12" ht="11.25" customHeight="1">
      <c r="A47" s="151"/>
      <c r="B47" s="151"/>
      <c r="C47" s="151"/>
      <c r="D47" s="151"/>
      <c r="E47" s="151"/>
      <c r="F47" s="151"/>
      <c r="G47" s="151"/>
      <c r="H47" s="151"/>
      <c r="I47" s="151"/>
      <c r="J47" s="151"/>
      <c r="K47" s="151"/>
      <c r="L47" s="151"/>
    </row>
    <row r="48" spans="1:12">
      <c r="A48" s="151"/>
      <c r="B48" s="151"/>
      <c r="C48" s="151"/>
      <c r="D48" s="151"/>
      <c r="E48" s="151"/>
      <c r="F48" s="151"/>
      <c r="G48" s="151"/>
      <c r="H48" s="151"/>
      <c r="I48" s="151"/>
      <c r="J48" s="151"/>
      <c r="K48" s="151"/>
      <c r="L48" s="151"/>
    </row>
  </sheetData>
  <mergeCells count="2">
    <mergeCell ref="A1:P1"/>
    <mergeCell ref="A2:P3"/>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S55"/>
  <sheetViews>
    <sheetView showGridLines="0" view="pageBreakPreview" zoomScale="55" zoomScaleNormal="85" zoomScaleSheetLayoutView="55" workbookViewId="0">
      <pane ySplit="1" topLeftCell="A2" activePane="bottomLeft" state="frozen"/>
      <selection pane="bottomLeft" activeCell="R58" sqref="R58"/>
    </sheetView>
  </sheetViews>
  <sheetFormatPr baseColWidth="10" defaultColWidth="11.42578125" defaultRowHeight="15"/>
  <cols>
    <col min="1" max="1" width="16.28515625" style="128" customWidth="1"/>
    <col min="2" max="2" width="29.42578125" style="128" customWidth="1"/>
    <col min="3" max="3" width="27" style="128" customWidth="1"/>
    <col min="4" max="4" width="27.5703125" style="128" customWidth="1"/>
    <col min="5" max="5" width="14.140625" style="128" customWidth="1"/>
    <col min="6" max="6" width="14.42578125" style="128" customWidth="1"/>
    <col min="7" max="7" width="13.85546875" style="128" customWidth="1"/>
    <col min="8" max="8" width="27.7109375" style="128" bestFit="1" customWidth="1"/>
    <col min="9" max="9" width="26.28515625" style="128" customWidth="1"/>
    <col min="10" max="10" width="27.140625" style="128" customWidth="1"/>
    <col min="11" max="11" width="11.5703125" style="128" customWidth="1"/>
    <col min="12" max="12" width="11" style="128" customWidth="1"/>
    <col min="13" max="13" width="11.42578125" style="128" bestFit="1" customWidth="1"/>
    <col min="14" max="14" width="26.5703125" style="128" customWidth="1"/>
    <col min="15" max="15" width="27.5703125" style="128" customWidth="1"/>
    <col min="16" max="16" width="24" style="128" customWidth="1"/>
    <col min="17" max="17" width="0.42578125" style="128" customWidth="1"/>
    <col min="18" max="18" width="25.28515625" style="128" customWidth="1"/>
    <col min="19" max="16384" width="11.42578125" style="128"/>
  </cols>
  <sheetData>
    <row r="1" spans="1:19" ht="97.5" customHeight="1">
      <c r="A1" s="2249" t="s">
        <v>1932</v>
      </c>
      <c r="B1" s="2249"/>
      <c r="C1" s="2249"/>
      <c r="D1" s="2249"/>
      <c r="E1" s="2249"/>
      <c r="F1" s="2249"/>
      <c r="G1" s="2249"/>
      <c r="H1" s="2249"/>
      <c r="I1" s="2249"/>
      <c r="J1" s="2249"/>
      <c r="K1" s="2249"/>
      <c r="L1" s="2249"/>
      <c r="M1" s="2249"/>
      <c r="N1" s="2249"/>
      <c r="O1" s="2249"/>
      <c r="P1" s="2249"/>
      <c r="Q1" s="2249"/>
      <c r="R1" s="684"/>
      <c r="S1" s="148"/>
    </row>
    <row r="2" spans="1:19" ht="99" customHeight="1">
      <c r="A2" s="2256" t="s">
        <v>1200</v>
      </c>
      <c r="B2" s="2256"/>
      <c r="C2" s="2256"/>
      <c r="D2" s="2256"/>
      <c r="E2" s="2256"/>
      <c r="F2" s="2256"/>
      <c r="G2" s="2256"/>
      <c r="H2" s="2256"/>
      <c r="I2" s="2256"/>
      <c r="J2" s="2256"/>
      <c r="K2" s="2256"/>
      <c r="L2" s="2256"/>
      <c r="M2" s="2256"/>
      <c r="N2" s="2256"/>
      <c r="O2" s="2256"/>
      <c r="P2" s="2256"/>
      <c r="Q2" s="2256"/>
    </row>
    <row r="3" spans="1:19" s="353" customFormat="1" ht="21" customHeight="1">
      <c r="A3" s="2250" t="s">
        <v>0</v>
      </c>
      <c r="B3" s="2252" t="s">
        <v>984</v>
      </c>
      <c r="C3" s="2252"/>
      <c r="D3" s="2252"/>
      <c r="E3" s="2252"/>
      <c r="F3" s="2252"/>
      <c r="G3" s="2252"/>
      <c r="H3" s="2253" t="s">
        <v>985</v>
      </c>
      <c r="I3" s="2253"/>
      <c r="J3" s="2253"/>
      <c r="K3" s="2253"/>
      <c r="L3" s="2253"/>
      <c r="M3" s="2253"/>
      <c r="N3" s="2254" t="s">
        <v>1027</v>
      </c>
      <c r="O3" s="2254" t="s">
        <v>1028</v>
      </c>
      <c r="P3" s="2254" t="s">
        <v>1061</v>
      </c>
      <c r="Q3" s="935"/>
    </row>
    <row r="4" spans="1:19" s="353" customFormat="1" ht="45.75" customHeight="1">
      <c r="A4" s="2251"/>
      <c r="B4" s="2159" t="s">
        <v>986</v>
      </c>
      <c r="C4" s="2159" t="s">
        <v>987</v>
      </c>
      <c r="D4" s="2159" t="s">
        <v>988</v>
      </c>
      <c r="E4" s="2159" t="s">
        <v>989</v>
      </c>
      <c r="F4" s="2159" t="s">
        <v>990</v>
      </c>
      <c r="G4" s="2159" t="s">
        <v>991</v>
      </c>
      <c r="H4" s="2160" t="s">
        <v>992</v>
      </c>
      <c r="I4" s="2160" t="s">
        <v>1428</v>
      </c>
      <c r="J4" s="2160" t="s">
        <v>993</v>
      </c>
      <c r="K4" s="2160" t="s">
        <v>989</v>
      </c>
      <c r="L4" s="2160" t="s">
        <v>994</v>
      </c>
      <c r="M4" s="2160" t="s">
        <v>995</v>
      </c>
      <c r="N4" s="2255"/>
      <c r="O4" s="2255"/>
      <c r="P4" s="2255"/>
      <c r="Q4" s="935"/>
    </row>
    <row r="5" spans="1:19" s="353" customFormat="1" ht="15.75" hidden="1">
      <c r="A5" s="2161">
        <v>2003</v>
      </c>
      <c r="B5" s="2162">
        <v>1839323722.01</v>
      </c>
      <c r="C5" s="2162">
        <v>50000000</v>
      </c>
      <c r="D5" s="2163">
        <f>+C5+B5</f>
        <v>1889323722.01</v>
      </c>
      <c r="E5" s="2164"/>
      <c r="F5" s="2165">
        <f>B5/D5</f>
        <v>0.97353550404437506</v>
      </c>
      <c r="G5" s="2165">
        <f>C5/D5</f>
        <v>2.646449595562499E-2</v>
      </c>
      <c r="H5" s="2166">
        <v>1813713639.8399999</v>
      </c>
      <c r="I5" s="2166">
        <v>50652652.469999999</v>
      </c>
      <c r="J5" s="2167">
        <f>+I5+H5</f>
        <v>1864366292.3099999</v>
      </c>
      <c r="K5" s="2168"/>
      <c r="L5" s="2169">
        <f>H5/J5</f>
        <v>0.97283116913294976</v>
      </c>
      <c r="M5" s="2169">
        <f>I5/J5</f>
        <v>2.7168830867050273E-2</v>
      </c>
      <c r="N5" s="2170">
        <f>+B5-H5</f>
        <v>25610082.170000076</v>
      </c>
      <c r="O5" s="2170">
        <f>+D5-J5</f>
        <v>24957429.700000048</v>
      </c>
      <c r="P5" s="2170">
        <f>C5-I5</f>
        <v>-652652.46999999881</v>
      </c>
      <c r="Q5" s="935"/>
    </row>
    <row r="6" spans="1:19" s="353" customFormat="1" ht="15.75" hidden="1">
      <c r="A6" s="2161">
        <v>2004</v>
      </c>
      <c r="B6" s="2162">
        <v>7366532470.789999</v>
      </c>
      <c r="C6" s="2162">
        <v>100013332.31999999</v>
      </c>
      <c r="D6" s="2163">
        <f t="shared" ref="D6:D14" si="0">+C6+B6</f>
        <v>7466545803.1099987</v>
      </c>
      <c r="E6" s="2165">
        <f t="shared" ref="E6:E15" si="1">D6/D5-1</f>
        <v>2.9519674241778664</v>
      </c>
      <c r="F6" s="2165">
        <f t="shared" ref="F6:F13" si="2">B6/D6</f>
        <v>0.98660514045486181</v>
      </c>
      <c r="G6" s="2165">
        <f t="shared" ref="G6:G12" si="3">C6/D6</f>
        <v>1.3394859545138261E-2</v>
      </c>
      <c r="H6" s="2166">
        <v>7307871771.8699999</v>
      </c>
      <c r="I6" s="2166">
        <v>101865387.58</v>
      </c>
      <c r="J6" s="2167">
        <f t="shared" ref="J6:J14" si="4">+I6+H6</f>
        <v>7409737159.4499998</v>
      </c>
      <c r="K6" s="2169">
        <f>J6/J5-1</f>
        <v>2.9743998751817897</v>
      </c>
      <c r="L6" s="2169">
        <f t="shared" ref="L6:L14" si="5">H6/J6</f>
        <v>0.98625249649374058</v>
      </c>
      <c r="M6" s="2169">
        <f t="shared" ref="M6:M14" si="6">I6/J6</f>
        <v>1.3747503506259475E-2</v>
      </c>
      <c r="N6" s="2170">
        <f t="shared" ref="N6:N15" si="7">+B6-H6</f>
        <v>58660698.919999123</v>
      </c>
      <c r="O6" s="2170">
        <f t="shared" ref="O6:O15" si="8">+D6-J6</f>
        <v>56808643.659998894</v>
      </c>
      <c r="P6" s="2170">
        <f t="shared" ref="P6:P15" si="9">C6-I6</f>
        <v>-1852055.2600000054</v>
      </c>
      <c r="Q6" s="935"/>
    </row>
    <row r="7" spans="1:19" s="353" customFormat="1" ht="15.75">
      <c r="A7" s="2161">
        <v>2005</v>
      </c>
      <c r="B7" s="2162">
        <v>9658022469.0699997</v>
      </c>
      <c r="C7" s="2162">
        <v>604604920.63</v>
      </c>
      <c r="D7" s="2163">
        <f t="shared" si="0"/>
        <v>10262627389.699999</v>
      </c>
      <c r="E7" s="2165">
        <f t="shared" si="1"/>
        <v>0.37448127424938105</v>
      </c>
      <c r="F7" s="2165">
        <f t="shared" si="2"/>
        <v>0.94108673172361246</v>
      </c>
      <c r="G7" s="2165">
        <f t="shared" si="3"/>
        <v>5.8913268276387654E-2</v>
      </c>
      <c r="H7" s="2166">
        <v>9640606256.3499985</v>
      </c>
      <c r="I7" s="2166">
        <v>203608914.68000001</v>
      </c>
      <c r="J7" s="2167">
        <f t="shared" si="4"/>
        <v>9844215171.0299988</v>
      </c>
      <c r="K7" s="2169">
        <f t="shared" ref="K7:K15" si="10">J7/J6-1</f>
        <v>0.32855119678235689</v>
      </c>
      <c r="L7" s="2169">
        <f t="shared" si="5"/>
        <v>0.97931689716827908</v>
      </c>
      <c r="M7" s="2169">
        <f t="shared" si="6"/>
        <v>2.0683102831720857E-2</v>
      </c>
      <c r="N7" s="2170">
        <f t="shared" si="7"/>
        <v>17416212.720001221</v>
      </c>
      <c r="O7" s="2170">
        <f t="shared" si="8"/>
        <v>418412218.67000008</v>
      </c>
      <c r="P7" s="2170">
        <f t="shared" si="9"/>
        <v>400996005.94999999</v>
      </c>
      <c r="Q7" s="935"/>
    </row>
    <row r="8" spans="1:19" s="353" customFormat="1" ht="15.75">
      <c r="A8" s="2161">
        <v>2006</v>
      </c>
      <c r="B8" s="2162">
        <v>11082032088.24</v>
      </c>
      <c r="C8" s="2162">
        <v>724509996.65999997</v>
      </c>
      <c r="D8" s="2163">
        <f t="shared" si="0"/>
        <v>11806542084.9</v>
      </c>
      <c r="E8" s="2165">
        <f t="shared" si="1"/>
        <v>0.15044049019547745</v>
      </c>
      <c r="F8" s="2165">
        <f t="shared" si="2"/>
        <v>0.93863486942661956</v>
      </c>
      <c r="G8" s="2165">
        <f t="shared" si="3"/>
        <v>6.1365130573380451E-2</v>
      </c>
      <c r="H8" s="2166">
        <v>10992104977.92</v>
      </c>
      <c r="I8" s="2166">
        <v>816768960.5</v>
      </c>
      <c r="J8" s="2167">
        <f t="shared" si="4"/>
        <v>11808873938.42</v>
      </c>
      <c r="K8" s="2169">
        <f t="shared" si="10"/>
        <v>0.19957495171089801</v>
      </c>
      <c r="L8" s="2169">
        <f t="shared" si="5"/>
        <v>0.93083430606853601</v>
      </c>
      <c r="M8" s="2169">
        <f t="shared" si="6"/>
        <v>6.9165693931464031E-2</v>
      </c>
      <c r="N8" s="2170">
        <f t="shared" si="7"/>
        <v>89927110.319999695</v>
      </c>
      <c r="O8" s="2170">
        <f t="shared" si="8"/>
        <v>-2331853.5200004578</v>
      </c>
      <c r="P8" s="2170">
        <f t="shared" si="9"/>
        <v>-92258963.840000033</v>
      </c>
      <c r="Q8" s="935"/>
    </row>
    <row r="9" spans="1:19" s="353" customFormat="1" ht="15.75">
      <c r="A9" s="2161">
        <v>2007</v>
      </c>
      <c r="B9" s="2162">
        <v>21227637357.370003</v>
      </c>
      <c r="C9" s="2162">
        <v>1566425499.9599998</v>
      </c>
      <c r="D9" s="2163">
        <f t="shared" si="0"/>
        <v>22794062857.330002</v>
      </c>
      <c r="E9" s="2165">
        <f t="shared" si="1"/>
        <v>0.93062987396474983</v>
      </c>
      <c r="F9" s="2165">
        <f t="shared" si="2"/>
        <v>0.93127923223848286</v>
      </c>
      <c r="G9" s="2165">
        <f t="shared" si="3"/>
        <v>6.8720767761517185E-2</v>
      </c>
      <c r="H9" s="2166">
        <v>19449421022.499001</v>
      </c>
      <c r="I9" s="2166">
        <v>1578880050.26</v>
      </c>
      <c r="J9" s="2167">
        <f t="shared" si="4"/>
        <v>21028301072.758999</v>
      </c>
      <c r="K9" s="2169">
        <f t="shared" si="10"/>
        <v>0.78072026023952423</v>
      </c>
      <c r="L9" s="2169">
        <f t="shared" si="5"/>
        <v>0.92491642359518289</v>
      </c>
      <c r="M9" s="2169">
        <f t="shared" si="6"/>
        <v>7.5083576404817207E-2</v>
      </c>
      <c r="N9" s="2170">
        <f t="shared" si="7"/>
        <v>1778216334.8710022</v>
      </c>
      <c r="O9" s="2170">
        <f t="shared" si="8"/>
        <v>1765761784.571003</v>
      </c>
      <c r="P9" s="2170">
        <f t="shared" si="9"/>
        <v>-12454550.300000191</v>
      </c>
      <c r="Q9" s="935"/>
    </row>
    <row r="10" spans="1:19" s="353" customFormat="1" ht="15.75">
      <c r="A10" s="2161">
        <v>2008</v>
      </c>
      <c r="B10" s="2162">
        <v>33078165051.270004</v>
      </c>
      <c r="C10" s="2162">
        <v>2203585531</v>
      </c>
      <c r="D10" s="2163">
        <f t="shared" si="0"/>
        <v>35281750582.270004</v>
      </c>
      <c r="E10" s="2165">
        <f t="shared" si="1"/>
        <v>0.547848262203255</v>
      </c>
      <c r="F10" s="2165">
        <f t="shared" si="2"/>
        <v>0.93754319174549805</v>
      </c>
      <c r="G10" s="2165">
        <f t="shared" si="3"/>
        <v>6.2456808254501943E-2</v>
      </c>
      <c r="H10" s="2166">
        <v>30384462930.480003</v>
      </c>
      <c r="I10" s="2166">
        <v>2556770326.0999999</v>
      </c>
      <c r="J10" s="2167">
        <f t="shared" si="4"/>
        <v>32941233256.580002</v>
      </c>
      <c r="K10" s="2169">
        <f t="shared" si="10"/>
        <v>0.56651900420303325</v>
      </c>
      <c r="L10" s="2169">
        <f t="shared" si="5"/>
        <v>0.92238389175701896</v>
      </c>
      <c r="M10" s="2169">
        <f t="shared" si="6"/>
        <v>7.7616108242981027E-2</v>
      </c>
      <c r="N10" s="2170">
        <f t="shared" si="7"/>
        <v>2693702120.7900009</v>
      </c>
      <c r="O10" s="2170">
        <f t="shared" si="8"/>
        <v>2340517325.6900024</v>
      </c>
      <c r="P10" s="2170">
        <f t="shared" si="9"/>
        <v>-353184795.0999999</v>
      </c>
      <c r="Q10" s="935"/>
    </row>
    <row r="11" spans="1:19" s="353" customFormat="1" ht="15.75">
      <c r="A11" s="2161">
        <v>2009</v>
      </c>
      <c r="B11" s="2171">
        <v>37897576466.309998</v>
      </c>
      <c r="C11" s="2171">
        <v>3190675855.0100002</v>
      </c>
      <c r="D11" s="2163">
        <f t="shared" si="0"/>
        <v>41088252321.32</v>
      </c>
      <c r="E11" s="2165">
        <f t="shared" si="1"/>
        <v>0.16457521645674555</v>
      </c>
      <c r="F11" s="2165">
        <f t="shared" si="2"/>
        <v>0.92234578803551559</v>
      </c>
      <c r="G11" s="2165">
        <f t="shared" si="3"/>
        <v>7.7654211964484368E-2</v>
      </c>
      <c r="H11" s="2166">
        <v>35897369465.400002</v>
      </c>
      <c r="I11" s="2166">
        <v>2723337644.3600001</v>
      </c>
      <c r="J11" s="2167">
        <f t="shared" si="4"/>
        <v>38620707109.760002</v>
      </c>
      <c r="K11" s="2169">
        <f t="shared" si="10"/>
        <v>0.17241230189964196</v>
      </c>
      <c r="L11" s="2169">
        <f t="shared" si="5"/>
        <v>0.92948503929199744</v>
      </c>
      <c r="M11" s="2169">
        <f t="shared" si="6"/>
        <v>7.0514960708002519E-2</v>
      </c>
      <c r="N11" s="2170">
        <f t="shared" si="7"/>
        <v>2000207000.909996</v>
      </c>
      <c r="O11" s="2170">
        <f t="shared" si="8"/>
        <v>2467545211.5599976</v>
      </c>
      <c r="P11" s="2170">
        <f t="shared" si="9"/>
        <v>467338210.6500001</v>
      </c>
      <c r="Q11" s="935"/>
    </row>
    <row r="12" spans="1:19" s="353" customFormat="1" ht="15.75">
      <c r="A12" s="2161">
        <v>2010</v>
      </c>
      <c r="B12" s="2171">
        <v>43605006094</v>
      </c>
      <c r="C12" s="2171">
        <v>3736675849.46</v>
      </c>
      <c r="D12" s="2163">
        <f t="shared" si="0"/>
        <v>47341681943.459999</v>
      </c>
      <c r="E12" s="2172">
        <f t="shared" si="1"/>
        <v>0.15219507447619529</v>
      </c>
      <c r="F12" s="2172">
        <f t="shared" si="2"/>
        <v>0.92107006561527116</v>
      </c>
      <c r="G12" s="2172">
        <f t="shared" si="3"/>
        <v>7.8929934384728839E-2</v>
      </c>
      <c r="H12" s="2173">
        <v>44030131978.179993</v>
      </c>
      <c r="I12" s="2173">
        <v>3444380482.9799995</v>
      </c>
      <c r="J12" s="2167">
        <f t="shared" si="4"/>
        <v>47474512461.159988</v>
      </c>
      <c r="K12" s="2169">
        <f t="shared" si="10"/>
        <v>0.2292502135250265</v>
      </c>
      <c r="L12" s="2169">
        <f t="shared" si="5"/>
        <v>0.92744779662986698</v>
      </c>
      <c r="M12" s="2169">
        <f t="shared" si="6"/>
        <v>7.2552203370133142E-2</v>
      </c>
      <c r="N12" s="2170">
        <f t="shared" si="7"/>
        <v>-425125884.17999268</v>
      </c>
      <c r="O12" s="2170">
        <f t="shared" si="8"/>
        <v>-132830517.69998932</v>
      </c>
      <c r="P12" s="2170">
        <f t="shared" si="9"/>
        <v>292295366.4800005</v>
      </c>
      <c r="Q12" s="2174"/>
      <c r="R12" s="935"/>
    </row>
    <row r="13" spans="1:19" s="353" customFormat="1" ht="15.75">
      <c r="A13" s="2161">
        <v>2011</v>
      </c>
      <c r="B13" s="2171">
        <v>49415884815.839996</v>
      </c>
      <c r="C13" s="2162">
        <v>4134675852</v>
      </c>
      <c r="D13" s="2163">
        <f t="shared" si="0"/>
        <v>53550560667.839996</v>
      </c>
      <c r="E13" s="2172">
        <f t="shared" si="1"/>
        <v>0.13115036199590957</v>
      </c>
      <c r="F13" s="2172">
        <f t="shared" si="2"/>
        <v>0.92278930789079305</v>
      </c>
      <c r="G13" s="2172">
        <f>C13/D13</f>
        <v>7.7210692109206919E-2</v>
      </c>
      <c r="H13" s="2173">
        <v>49679787101.230003</v>
      </c>
      <c r="I13" s="2173">
        <v>4363872025.0799999</v>
      </c>
      <c r="J13" s="2167">
        <f t="shared" si="4"/>
        <v>54043659126.310005</v>
      </c>
      <c r="K13" s="2169">
        <f t="shared" si="10"/>
        <v>0.13837207218345604</v>
      </c>
      <c r="L13" s="2169">
        <f t="shared" si="5"/>
        <v>0.91925283935936264</v>
      </c>
      <c r="M13" s="2169">
        <f t="shared" si="6"/>
        <v>8.0747160640637333E-2</v>
      </c>
      <c r="N13" s="2170">
        <f t="shared" si="7"/>
        <v>-263902285.39000702</v>
      </c>
      <c r="O13" s="2170">
        <f t="shared" si="8"/>
        <v>-493098458.47000885</v>
      </c>
      <c r="P13" s="2170">
        <f t="shared" si="9"/>
        <v>-229196173.07999992</v>
      </c>
      <c r="Q13" s="2174"/>
      <c r="R13" s="935"/>
    </row>
    <row r="14" spans="1:19" s="353" customFormat="1" ht="15.75">
      <c r="A14" s="2161">
        <v>2012</v>
      </c>
      <c r="B14" s="2175">
        <v>55065532307.990005</v>
      </c>
      <c r="C14" s="2175">
        <v>4600000000.96</v>
      </c>
      <c r="D14" s="2163">
        <f t="shared" si="0"/>
        <v>59665532308.950005</v>
      </c>
      <c r="E14" s="2172">
        <f t="shared" si="1"/>
        <v>0.11419061845196299</v>
      </c>
      <c r="F14" s="2172">
        <f>B14/D14</f>
        <v>0.92290356219163427</v>
      </c>
      <c r="G14" s="2172">
        <f>C14/D14</f>
        <v>7.7096437808365725E-2</v>
      </c>
      <c r="H14" s="2173">
        <v>56008860364.43</v>
      </c>
      <c r="I14" s="2173">
        <v>4742082647.7799997</v>
      </c>
      <c r="J14" s="2167">
        <f t="shared" si="4"/>
        <v>60750943012.209999</v>
      </c>
      <c r="K14" s="2169">
        <f t="shared" si="10"/>
        <v>0.12410861874144818</v>
      </c>
      <c r="L14" s="2169">
        <f t="shared" si="5"/>
        <v>0.92194223805173015</v>
      </c>
      <c r="M14" s="2169">
        <f t="shared" si="6"/>
        <v>7.805776194826991E-2</v>
      </c>
      <c r="N14" s="2170">
        <f t="shared" si="7"/>
        <v>-943328056.43999481</v>
      </c>
      <c r="O14" s="2170">
        <f t="shared" si="8"/>
        <v>-1085410703.2599945</v>
      </c>
      <c r="P14" s="2170">
        <f t="shared" si="9"/>
        <v>-142082646.81999969</v>
      </c>
      <c r="Q14" s="2174"/>
      <c r="R14" s="935"/>
    </row>
    <row r="15" spans="1:19" s="353" customFormat="1" ht="15.75">
      <c r="A15" s="2161">
        <v>2013</v>
      </c>
      <c r="B15" s="2176">
        <v>61273705908.75</v>
      </c>
      <c r="C15" s="2176">
        <v>5302610000</v>
      </c>
      <c r="D15" s="2163">
        <f>+C15+B15</f>
        <v>66576315908.75</v>
      </c>
      <c r="E15" s="2172">
        <f t="shared" si="1"/>
        <v>0.11582539084736121</v>
      </c>
      <c r="F15" s="2172">
        <f>B15/D15</f>
        <v>0.9203529073722283</v>
      </c>
      <c r="G15" s="2172">
        <f>C15/D15</f>
        <v>7.9647092627771671E-2</v>
      </c>
      <c r="H15" s="2173">
        <v>56631011999.980011</v>
      </c>
      <c r="I15" s="2173">
        <v>5215203784.9399996</v>
      </c>
      <c r="J15" s="2167">
        <f>+I15+H15</f>
        <v>61846215784.920013</v>
      </c>
      <c r="K15" s="2169">
        <f t="shared" si="10"/>
        <v>1.8028901584126622E-2</v>
      </c>
      <c r="L15" s="2169">
        <f>H15/J15</f>
        <v>0.91567465011801696</v>
      </c>
      <c r="M15" s="2169">
        <f>I15/J15</f>
        <v>8.4325349881982994E-2</v>
      </c>
      <c r="N15" s="2170">
        <f t="shared" si="7"/>
        <v>4642693908.769989</v>
      </c>
      <c r="O15" s="2170">
        <f t="shared" si="8"/>
        <v>4730100123.8299866</v>
      </c>
      <c r="P15" s="2170">
        <f t="shared" si="9"/>
        <v>87406215.06000042</v>
      </c>
      <c r="Q15" s="2174"/>
      <c r="R15" s="935"/>
    </row>
    <row r="16" spans="1:19" s="353" customFormat="1" ht="15.75">
      <c r="A16" s="2161">
        <v>2014</v>
      </c>
      <c r="B16" s="2176">
        <v>69920892914.539993</v>
      </c>
      <c r="C16" s="2176">
        <v>6839999499</v>
      </c>
      <c r="D16" s="2163">
        <f>+C16+B16</f>
        <v>76760892413.539993</v>
      </c>
      <c r="E16" s="2172">
        <f>D16/D15-1</f>
        <v>0.15297596999433027</v>
      </c>
      <c r="F16" s="2172">
        <f>B16/D16</f>
        <v>0.91089213160589211</v>
      </c>
      <c r="G16" s="2172">
        <f>C16/D16</f>
        <v>8.9107868394107934E-2</v>
      </c>
      <c r="H16" s="2173">
        <v>70212118559.800003</v>
      </c>
      <c r="I16" s="2173">
        <v>7378610518.96</v>
      </c>
      <c r="J16" s="2167">
        <f>+I16+H16</f>
        <v>77590729078.76001</v>
      </c>
      <c r="K16" s="2169">
        <f>J16/J15-1</f>
        <v>0.25457520874994244</v>
      </c>
      <c r="L16" s="2169">
        <f>H16/J16</f>
        <v>0.90490345165502695</v>
      </c>
      <c r="M16" s="2169">
        <f>I16/J16</f>
        <v>9.5096548344972956E-2</v>
      </c>
      <c r="N16" s="2170">
        <f>+B16-H16</f>
        <v>-291225645.26000977</v>
      </c>
      <c r="O16" s="2170">
        <f>+D16-J16</f>
        <v>-829836665.22001648</v>
      </c>
      <c r="P16" s="2170">
        <f>C16-I16</f>
        <v>-538611019.96000004</v>
      </c>
      <c r="Q16" s="2174"/>
      <c r="R16" s="935"/>
    </row>
    <row r="17" spans="1:18" s="1488" customFormat="1" ht="18" customHeight="1">
      <c r="A17" s="2177" t="s">
        <v>167</v>
      </c>
      <c r="B17" s="2178">
        <f>SUM(B7:B16)</f>
        <v>392224455473.38</v>
      </c>
      <c r="C17" s="2178">
        <f>SUM(C7:C16)</f>
        <v>32903763004.68</v>
      </c>
      <c r="D17" s="2178">
        <f>SUM(D7:D16)</f>
        <v>425128218478.06</v>
      </c>
      <c r="E17" s="2179"/>
      <c r="F17" s="2179">
        <f>B17/D17</f>
        <v>0.9226027311890187</v>
      </c>
      <c r="G17" s="2179">
        <f>C17/D17</f>
        <v>7.7397268810981301E-2</v>
      </c>
      <c r="H17" s="2178">
        <f>SUM(H7:H16)</f>
        <v>382925874656.26898</v>
      </c>
      <c r="I17" s="2178">
        <f>SUM(I7:I16)</f>
        <v>33023515355.639996</v>
      </c>
      <c r="J17" s="2178">
        <f>SUM(J7:J16)</f>
        <v>415949390011.90906</v>
      </c>
      <c r="K17" s="2178"/>
      <c r="L17" s="2179">
        <f>H17/J17</f>
        <v>0.92060689076934432</v>
      </c>
      <c r="M17" s="2179">
        <f>I17/J17</f>
        <v>7.9393109230655443E-2</v>
      </c>
      <c r="N17" s="2178">
        <f>SUM(N7:N16)</f>
        <v>9298580817.1109848</v>
      </c>
      <c r="O17" s="2178">
        <f>SUM(O7:O16)</f>
        <v>9178828466.15098</v>
      </c>
      <c r="P17" s="2178">
        <f>SUM(P7:P16)</f>
        <v>-119752350.95999885</v>
      </c>
      <c r="Q17" s="2180"/>
      <c r="R17" s="2180"/>
    </row>
    <row r="18" spans="1:18">
      <c r="B18" s="10"/>
      <c r="C18" s="10"/>
      <c r="D18" s="10"/>
      <c r="E18" s="10"/>
      <c r="F18" s="10"/>
      <c r="G18" s="10"/>
      <c r="H18" s="10"/>
      <c r="I18" s="685"/>
      <c r="J18" s="1"/>
      <c r="K18" s="1"/>
      <c r="L18" s="1"/>
      <c r="M18" s="1"/>
      <c r="N18" s="1"/>
      <c r="O18" s="1"/>
      <c r="P18" s="8"/>
      <c r="Q18" s="8"/>
      <c r="R18" s="8"/>
    </row>
    <row r="19" spans="1:18">
      <c r="B19" s="10">
        <f>+B16-'[4]TSS Contributivo'!$E$161</f>
        <v>0</v>
      </c>
      <c r="C19" s="10">
        <f>+C16-'[4]TSS Subsidiado.'!$D$163</f>
        <v>0</v>
      </c>
      <c r="D19" s="10"/>
      <c r="E19" s="10"/>
      <c r="F19" s="10"/>
      <c r="G19" s="10"/>
      <c r="H19" s="10">
        <f>+H16-'[4]TSS Contributivo'!$BE$161</f>
        <v>0</v>
      </c>
      <c r="I19" s="10">
        <f>+I16-'[4]TSS Subsidiado.'!$H$163</f>
        <v>0</v>
      </c>
      <c r="J19" s="10"/>
      <c r="K19" s="10"/>
      <c r="L19" s="10"/>
      <c r="M19" s="1"/>
      <c r="N19" s="1"/>
      <c r="O19" s="1"/>
      <c r="P19" s="8"/>
      <c r="Q19" s="8"/>
      <c r="R19" s="8"/>
    </row>
    <row r="20" spans="1:18">
      <c r="B20" s="10"/>
      <c r="C20" s="10"/>
      <c r="D20" s="10"/>
      <c r="E20" s="10"/>
      <c r="F20" s="10"/>
      <c r="G20" s="10"/>
      <c r="H20" s="10"/>
      <c r="I20" s="10"/>
      <c r="J20" s="10"/>
      <c r="K20" s="10"/>
      <c r="L20" s="10"/>
      <c r="M20" s="1"/>
      <c r="N20" s="1"/>
      <c r="O20" s="1"/>
      <c r="P20" s="8"/>
      <c r="Q20" s="8"/>
      <c r="R20" s="8"/>
    </row>
    <row r="21" spans="1:18">
      <c r="B21" s="10"/>
      <c r="C21" s="10"/>
      <c r="D21" s="10"/>
      <c r="E21" s="10"/>
      <c r="F21" s="10"/>
      <c r="G21" s="10"/>
      <c r="H21" s="10"/>
      <c r="I21" s="685"/>
      <c r="J21" s="1"/>
      <c r="K21" s="1"/>
      <c r="L21" s="1"/>
      <c r="M21" s="1"/>
      <c r="N21" s="1"/>
      <c r="O21" s="1"/>
      <c r="P21" s="8"/>
      <c r="Q21" s="8"/>
      <c r="R21" s="8"/>
    </row>
    <row r="22" spans="1:18">
      <c r="B22" s="10"/>
      <c r="C22" s="10"/>
      <c r="D22" s="10"/>
      <c r="E22" s="10"/>
      <c r="F22" s="10"/>
      <c r="G22" s="10"/>
      <c r="H22" s="10"/>
      <c r="I22" s="685"/>
      <c r="J22" s="1"/>
      <c r="K22" s="1"/>
      <c r="L22" s="1"/>
      <c r="M22" s="1"/>
      <c r="N22" s="1"/>
      <c r="O22" s="1"/>
      <c r="P22" s="8"/>
      <c r="Q22" s="8"/>
      <c r="R22" s="8"/>
    </row>
    <row r="23" spans="1:18">
      <c r="B23" s="10"/>
      <c r="C23" s="10"/>
      <c r="D23" s="10"/>
      <c r="E23" s="10"/>
      <c r="F23" s="10"/>
      <c r="G23" s="10"/>
      <c r="H23" s="10"/>
      <c r="I23" s="685"/>
      <c r="J23" s="1"/>
      <c r="K23" s="1"/>
      <c r="L23" s="1"/>
      <c r="M23" s="1"/>
      <c r="N23" s="1"/>
      <c r="O23" s="1"/>
      <c r="P23" s="8"/>
      <c r="Q23" s="8"/>
      <c r="R23" s="8"/>
    </row>
    <row r="24" spans="1:18">
      <c r="B24" s="10"/>
      <c r="C24" s="10"/>
      <c r="D24" s="10"/>
      <c r="E24" s="10"/>
      <c r="F24" s="10"/>
      <c r="G24" s="10"/>
      <c r="H24" s="10"/>
      <c r="I24" s="685"/>
      <c r="J24" s="1"/>
      <c r="K24" s="1"/>
      <c r="L24" s="1"/>
      <c r="M24" s="1"/>
      <c r="N24" s="1"/>
      <c r="O24" s="1"/>
      <c r="P24" s="8"/>
      <c r="Q24" s="686"/>
      <c r="R24" s="8"/>
    </row>
    <row r="25" spans="1:18">
      <c r="B25" s="10"/>
      <c r="C25" s="10"/>
      <c r="D25" s="10"/>
      <c r="E25" s="10"/>
      <c r="F25" s="10"/>
      <c r="G25" s="10"/>
      <c r="H25" s="10"/>
      <c r="I25" s="685"/>
      <c r="J25" s="1"/>
      <c r="K25" s="1"/>
      <c r="L25" s="1"/>
      <c r="M25" s="1"/>
      <c r="N25" s="1"/>
      <c r="O25" s="1"/>
      <c r="P25" s="8"/>
      <c r="Q25" s="8"/>
      <c r="R25" s="8"/>
    </row>
    <row r="26" spans="1:18">
      <c r="B26" s="10"/>
      <c r="C26" s="10"/>
      <c r="D26" s="10"/>
      <c r="E26" s="10"/>
      <c r="F26" s="10"/>
      <c r="G26" s="10"/>
      <c r="H26" s="10"/>
      <c r="I26" s="685"/>
      <c r="J26" s="1"/>
      <c r="K26" s="1"/>
      <c r="L26" s="1"/>
      <c r="M26" s="1"/>
      <c r="N26" s="1"/>
      <c r="O26" s="1"/>
      <c r="P26" s="8"/>
      <c r="Q26" s="8"/>
      <c r="R26" s="8"/>
    </row>
    <row r="27" spans="1:18">
      <c r="B27" s="10"/>
      <c r="C27" s="10"/>
      <c r="D27" s="10"/>
      <c r="E27" s="10"/>
      <c r="F27" s="10"/>
      <c r="G27" s="10"/>
      <c r="H27" s="10"/>
      <c r="I27" s="685"/>
      <c r="J27" s="1"/>
      <c r="K27" s="1"/>
      <c r="L27" s="1"/>
      <c r="M27" s="1"/>
      <c r="N27" s="1"/>
      <c r="O27" s="1"/>
      <c r="P27" s="8"/>
      <c r="Q27" s="8"/>
      <c r="R27" s="8"/>
    </row>
    <row r="28" spans="1:18">
      <c r="B28" s="10"/>
      <c r="C28" s="10"/>
      <c r="D28" s="10"/>
      <c r="E28" s="10"/>
      <c r="F28" s="10"/>
      <c r="G28" s="10"/>
      <c r="H28" s="10"/>
      <c r="I28" s="685"/>
      <c r="J28" s="1"/>
      <c r="K28" s="1"/>
      <c r="L28" s="1"/>
      <c r="M28" s="1"/>
      <c r="N28" s="1"/>
      <c r="O28" s="1"/>
      <c r="P28" s="8"/>
      <c r="Q28" s="8"/>
      <c r="R28" s="8"/>
    </row>
    <row r="29" spans="1:18">
      <c r="B29" s="10"/>
      <c r="C29" s="10"/>
      <c r="D29" s="10"/>
      <c r="E29" s="10"/>
      <c r="F29" s="10"/>
      <c r="G29" s="10"/>
      <c r="H29" s="10"/>
      <c r="I29" s="685"/>
      <c r="J29" s="1"/>
      <c r="K29" s="1"/>
      <c r="L29" s="1"/>
      <c r="M29" s="1"/>
      <c r="N29" s="1"/>
      <c r="O29" s="1"/>
      <c r="P29" s="8"/>
      <c r="Q29" s="8"/>
      <c r="R29" s="8"/>
    </row>
    <row r="30" spans="1:18">
      <c r="B30" s="10"/>
      <c r="C30" s="10"/>
      <c r="D30" s="10"/>
      <c r="E30" s="10"/>
      <c r="F30" s="10"/>
      <c r="G30" s="10"/>
      <c r="H30" s="10"/>
      <c r="I30" s="685"/>
      <c r="J30" s="1"/>
      <c r="K30" s="1"/>
      <c r="L30" s="1"/>
      <c r="M30" s="1"/>
      <c r="N30" s="1"/>
      <c r="O30" s="1"/>
      <c r="P30" s="8"/>
      <c r="Q30" s="8"/>
      <c r="R30" s="8"/>
    </row>
    <row r="31" spans="1:18">
      <c r="B31" s="10"/>
      <c r="C31" s="10"/>
      <c r="D31" s="10"/>
      <c r="E31" s="10"/>
      <c r="F31" s="10"/>
      <c r="G31" s="10"/>
      <c r="H31" s="10"/>
      <c r="I31" s="685"/>
      <c r="J31" s="1"/>
      <c r="K31" s="1"/>
      <c r="L31" s="1"/>
      <c r="M31" s="1"/>
      <c r="N31" s="1"/>
      <c r="O31" s="1"/>
      <c r="P31" s="8"/>
      <c r="Q31" s="8"/>
      <c r="R31" s="8"/>
    </row>
    <row r="32" spans="1:18">
      <c r="B32" s="10"/>
      <c r="C32" s="10"/>
      <c r="D32" s="10"/>
      <c r="E32" s="10"/>
      <c r="F32" s="10"/>
      <c r="G32" s="10"/>
      <c r="H32" s="10"/>
      <c r="I32" s="685"/>
      <c r="J32" s="1"/>
      <c r="K32" s="1"/>
      <c r="L32" s="1"/>
      <c r="M32" s="1"/>
      <c r="N32" s="1"/>
      <c r="O32" s="1"/>
      <c r="P32" s="8"/>
      <c r="Q32" s="8"/>
      <c r="R32" s="8"/>
    </row>
    <row r="33" spans="2:18">
      <c r="B33" s="10"/>
      <c r="C33" s="10"/>
      <c r="D33" s="10"/>
      <c r="E33" s="10"/>
      <c r="F33" s="10"/>
      <c r="G33" s="10"/>
      <c r="H33" s="10"/>
      <c r="I33" s="685"/>
      <c r="J33" s="1"/>
      <c r="K33" s="1"/>
      <c r="L33" s="1"/>
      <c r="M33" s="1"/>
      <c r="N33" s="1"/>
      <c r="O33" s="1"/>
      <c r="P33" s="8"/>
      <c r="Q33" s="8"/>
      <c r="R33" s="8"/>
    </row>
    <row r="34" spans="2:18">
      <c r="B34" s="10"/>
      <c r="C34" s="10"/>
      <c r="D34" s="10"/>
      <c r="E34" s="10"/>
      <c r="F34" s="10"/>
      <c r="G34" s="10"/>
      <c r="H34" s="10"/>
      <c r="I34" s="685"/>
      <c r="J34" s="1"/>
      <c r="K34" s="1"/>
      <c r="L34" s="1"/>
      <c r="M34" s="1"/>
      <c r="N34" s="1"/>
      <c r="O34" s="1"/>
      <c r="P34" s="8"/>
      <c r="Q34" s="8"/>
      <c r="R34" s="8"/>
    </row>
    <row r="35" spans="2:18">
      <c r="B35" s="10"/>
      <c r="C35" s="10"/>
      <c r="D35" s="10"/>
      <c r="E35" s="10"/>
      <c r="F35" s="10"/>
      <c r="G35" s="10"/>
      <c r="H35" s="10"/>
      <c r="I35" s="685"/>
      <c r="J35" s="1"/>
      <c r="K35" s="1"/>
      <c r="L35" s="1"/>
      <c r="M35" s="1"/>
      <c r="N35" s="1"/>
      <c r="O35" s="1"/>
      <c r="P35" s="8"/>
      <c r="Q35" s="8"/>
      <c r="R35" s="8"/>
    </row>
    <row r="36" spans="2:18">
      <c r="B36" s="10"/>
      <c r="C36" s="10"/>
      <c r="D36" s="10"/>
      <c r="E36" s="10"/>
      <c r="F36" s="10"/>
      <c r="G36" s="10"/>
      <c r="H36" s="10"/>
      <c r="I36" s="685"/>
      <c r="J36" s="1"/>
      <c r="K36" s="1"/>
      <c r="L36" s="1"/>
      <c r="M36" s="1"/>
      <c r="N36" s="1"/>
      <c r="O36" s="1"/>
      <c r="P36" s="8"/>
      <c r="Q36" s="8"/>
      <c r="R36" s="8"/>
    </row>
    <row r="37" spans="2:18">
      <c r="B37" s="10"/>
      <c r="C37" s="10"/>
      <c r="D37" s="10"/>
      <c r="E37" s="10"/>
      <c r="F37" s="10"/>
      <c r="G37" s="10"/>
      <c r="H37" s="10"/>
      <c r="I37" s="685"/>
      <c r="J37" s="1"/>
      <c r="K37" s="1"/>
      <c r="L37" s="1"/>
      <c r="M37" s="1"/>
      <c r="N37" s="1"/>
      <c r="O37" s="1"/>
      <c r="P37" s="8"/>
      <c r="Q37" s="8"/>
      <c r="R37" s="8"/>
    </row>
    <row r="38" spans="2:18">
      <c r="B38" s="10"/>
      <c r="C38" s="10"/>
      <c r="D38" s="10"/>
      <c r="E38" s="10"/>
      <c r="F38" s="10"/>
      <c r="G38" s="10"/>
      <c r="H38" s="10"/>
      <c r="I38" s="685"/>
      <c r="J38" s="1"/>
      <c r="K38" s="1"/>
      <c r="L38" s="1"/>
      <c r="M38" s="1"/>
      <c r="N38" s="1"/>
      <c r="O38" s="1"/>
      <c r="P38" s="8"/>
      <c r="Q38" s="8"/>
      <c r="R38" s="8"/>
    </row>
    <row r="39" spans="2:18">
      <c r="B39" s="10"/>
      <c r="C39" s="10"/>
      <c r="D39" s="10"/>
      <c r="E39" s="10"/>
      <c r="F39" s="10"/>
      <c r="G39" s="10"/>
      <c r="H39" s="10"/>
      <c r="I39" s="685"/>
      <c r="J39" s="1"/>
      <c r="K39" s="1"/>
      <c r="L39" s="1"/>
      <c r="M39" s="1"/>
      <c r="N39" s="1"/>
      <c r="O39" s="1"/>
      <c r="P39" s="8"/>
      <c r="Q39" s="8"/>
      <c r="R39" s="8"/>
    </row>
    <row r="40" spans="2:18">
      <c r="B40" s="10"/>
      <c r="C40" s="10"/>
      <c r="D40" s="10"/>
      <c r="E40" s="10"/>
      <c r="F40" s="10"/>
      <c r="G40" s="10"/>
      <c r="H40" s="10"/>
      <c r="I40" s="685"/>
      <c r="J40" s="1"/>
      <c r="K40" s="1"/>
      <c r="L40" s="1"/>
      <c r="M40" s="1"/>
      <c r="N40" s="1"/>
      <c r="O40" s="1"/>
      <c r="P40" s="8"/>
      <c r="Q40" s="8"/>
      <c r="R40" s="8"/>
    </row>
    <row r="41" spans="2:18">
      <c r="B41" s="10"/>
      <c r="C41" s="10"/>
      <c r="D41" s="10"/>
      <c r="E41" s="10"/>
      <c r="F41" s="10"/>
      <c r="G41" s="10"/>
      <c r="H41" s="10"/>
      <c r="I41" s="685"/>
      <c r="J41" s="1"/>
      <c r="K41" s="1"/>
      <c r="L41" s="1"/>
      <c r="M41" s="1"/>
      <c r="N41" s="1"/>
      <c r="O41" s="1"/>
      <c r="P41" s="8"/>
      <c r="Q41" s="8"/>
      <c r="R41" s="8"/>
    </row>
    <row r="42" spans="2:18">
      <c r="B42" s="10"/>
      <c r="C42" s="10"/>
      <c r="D42" s="10"/>
      <c r="E42" s="10"/>
      <c r="F42" s="10"/>
      <c r="G42" s="10"/>
      <c r="H42" s="10"/>
      <c r="I42" s="685"/>
      <c r="J42" s="1"/>
      <c r="K42" s="1"/>
      <c r="L42" s="1"/>
      <c r="M42" s="1"/>
      <c r="N42" s="1"/>
      <c r="O42" s="1"/>
      <c r="P42" s="8"/>
      <c r="Q42" s="8"/>
      <c r="R42" s="8"/>
    </row>
    <row r="43" spans="2:18">
      <c r="B43" s="10"/>
      <c r="C43" s="10"/>
      <c r="D43" s="10"/>
      <c r="E43" s="10"/>
      <c r="F43" s="10"/>
      <c r="G43" s="10"/>
      <c r="H43" s="10"/>
      <c r="I43" s="685"/>
      <c r="J43" s="1"/>
      <c r="K43" s="1"/>
      <c r="L43" s="1"/>
      <c r="M43" s="1"/>
      <c r="N43" s="1"/>
      <c r="O43" s="1"/>
      <c r="P43" s="8"/>
      <c r="Q43" s="8"/>
      <c r="R43" s="8"/>
    </row>
    <row r="44" spans="2:18">
      <c r="B44" s="10"/>
      <c r="C44" s="10"/>
      <c r="D44" s="10"/>
      <c r="E44" s="10"/>
      <c r="F44" s="10"/>
      <c r="G44" s="10"/>
      <c r="H44" s="10"/>
      <c r="I44" s="685"/>
      <c r="J44" s="1"/>
      <c r="K44" s="1"/>
      <c r="L44" s="1"/>
      <c r="M44" s="1"/>
      <c r="N44" s="1"/>
      <c r="O44" s="1"/>
      <c r="P44" s="8"/>
      <c r="Q44" s="8"/>
      <c r="R44" s="8"/>
    </row>
    <row r="45" spans="2:18">
      <c r="B45" s="10"/>
      <c r="C45" s="10"/>
      <c r="D45" s="10"/>
      <c r="E45" s="10"/>
      <c r="F45" s="10"/>
      <c r="G45" s="10"/>
      <c r="H45" s="10"/>
      <c r="I45" s="685"/>
      <c r="J45" s="1"/>
      <c r="K45" s="1"/>
      <c r="L45" s="1"/>
      <c r="M45" s="1"/>
      <c r="N45" s="1"/>
      <c r="O45" s="1"/>
      <c r="P45" s="8"/>
      <c r="Q45" s="8"/>
      <c r="R45" s="8"/>
    </row>
    <row r="46" spans="2:18">
      <c r="B46" s="10"/>
      <c r="C46" s="10"/>
      <c r="D46" s="10"/>
      <c r="E46" s="10"/>
      <c r="F46" s="10"/>
      <c r="G46" s="10"/>
      <c r="H46" s="10"/>
      <c r="I46" s="685"/>
      <c r="J46" s="1"/>
      <c r="K46" s="1"/>
      <c r="L46" s="1"/>
      <c r="M46" s="1"/>
      <c r="N46" s="1"/>
      <c r="O46" s="1"/>
      <c r="P46" s="8"/>
      <c r="Q46" s="8"/>
      <c r="R46" s="8"/>
    </row>
    <row r="47" spans="2:18">
      <c r="B47" s="10"/>
      <c r="C47" s="10"/>
      <c r="D47" s="10"/>
      <c r="E47" s="10"/>
      <c r="F47" s="10"/>
      <c r="G47" s="10"/>
      <c r="H47" s="10"/>
      <c r="I47" s="685"/>
      <c r="J47" s="1"/>
      <c r="K47" s="1"/>
      <c r="L47" s="1"/>
      <c r="M47" s="1"/>
      <c r="N47" s="1"/>
      <c r="O47" s="1"/>
      <c r="P47" s="8"/>
      <c r="Q47" s="8"/>
      <c r="R47" s="8"/>
    </row>
    <row r="48" spans="2:18">
      <c r="B48" s="10"/>
      <c r="C48" s="10"/>
      <c r="D48" s="10"/>
      <c r="E48" s="10"/>
      <c r="F48" s="10"/>
      <c r="G48" s="10"/>
      <c r="H48" s="10"/>
      <c r="I48" s="685"/>
      <c r="J48" s="1"/>
      <c r="K48" s="1"/>
      <c r="L48" s="1"/>
      <c r="M48" s="1"/>
      <c r="N48" s="1"/>
      <c r="O48" s="1"/>
      <c r="P48" s="8"/>
      <c r="Q48" s="8"/>
      <c r="R48" s="8"/>
    </row>
    <row r="49" spans="2:18">
      <c r="B49" s="10"/>
      <c r="C49" s="10"/>
      <c r="D49" s="10"/>
      <c r="E49" s="10"/>
      <c r="F49" s="10"/>
      <c r="G49" s="10"/>
      <c r="H49" s="10"/>
      <c r="I49" s="685"/>
      <c r="J49" s="1"/>
      <c r="K49" s="1"/>
      <c r="L49" s="1"/>
      <c r="M49" s="1"/>
      <c r="N49" s="1"/>
      <c r="O49" s="1"/>
      <c r="P49" s="8"/>
      <c r="Q49" s="8"/>
      <c r="R49" s="8"/>
    </row>
    <row r="50" spans="2:18">
      <c r="B50" s="10"/>
      <c r="C50" s="10"/>
      <c r="D50" s="10"/>
      <c r="E50" s="10"/>
      <c r="F50" s="10"/>
      <c r="G50" s="10"/>
      <c r="H50" s="10"/>
      <c r="I50" s="685"/>
      <c r="J50" s="1"/>
      <c r="K50" s="1"/>
      <c r="L50" s="1"/>
      <c r="M50" s="1"/>
      <c r="N50" s="1"/>
      <c r="O50" s="1"/>
      <c r="P50" s="8"/>
      <c r="Q50" s="8"/>
      <c r="R50" s="8"/>
    </row>
    <row r="51" spans="2:18">
      <c r="B51" s="10"/>
      <c r="C51" s="10"/>
      <c r="D51" s="10"/>
      <c r="E51" s="10"/>
      <c r="F51" s="10"/>
      <c r="G51" s="10"/>
      <c r="H51" s="10"/>
      <c r="I51" s="685"/>
      <c r="J51" s="1"/>
      <c r="K51" s="1"/>
      <c r="L51" s="1"/>
      <c r="M51" s="1"/>
      <c r="N51" s="1"/>
      <c r="O51" s="1"/>
      <c r="P51" s="8"/>
      <c r="Q51" s="8"/>
      <c r="R51" s="8"/>
    </row>
    <row r="52" spans="2:18">
      <c r="B52" s="10"/>
      <c r="C52" s="10"/>
      <c r="D52" s="10"/>
      <c r="E52" s="10"/>
      <c r="F52" s="10"/>
      <c r="G52" s="10"/>
      <c r="H52" s="10"/>
      <c r="I52" s="685"/>
      <c r="J52" s="1"/>
      <c r="K52" s="1"/>
      <c r="L52" s="1"/>
      <c r="M52" s="1"/>
      <c r="N52" s="1"/>
      <c r="O52" s="1"/>
      <c r="P52" s="8"/>
      <c r="Q52" s="8"/>
      <c r="R52" s="8"/>
    </row>
    <row r="53" spans="2:18">
      <c r="B53" s="10"/>
      <c r="C53" s="10"/>
      <c r="D53" s="10"/>
      <c r="E53" s="10"/>
      <c r="F53" s="10"/>
      <c r="G53" s="10"/>
      <c r="H53" s="10"/>
      <c r="I53" s="685"/>
      <c r="J53" s="1"/>
      <c r="K53" s="1"/>
      <c r="L53" s="1"/>
      <c r="M53" s="1"/>
      <c r="N53" s="1"/>
      <c r="O53" s="1"/>
      <c r="P53" s="8"/>
      <c r="Q53" s="8"/>
      <c r="R53" s="8"/>
    </row>
    <row r="54" spans="2:18">
      <c r="B54" s="10"/>
      <c r="C54" s="10"/>
      <c r="D54" s="10"/>
      <c r="E54" s="10"/>
      <c r="F54" s="10"/>
      <c r="G54" s="10"/>
      <c r="H54" s="10"/>
      <c r="I54" s="685"/>
      <c r="J54" s="1"/>
      <c r="K54" s="1"/>
      <c r="L54" s="1"/>
      <c r="M54" s="1"/>
      <c r="N54" s="1"/>
      <c r="O54" s="1"/>
      <c r="P54" s="8"/>
      <c r="Q54" s="8"/>
      <c r="R54" s="8"/>
    </row>
    <row r="55" spans="2:18">
      <c r="B55" s="10"/>
      <c r="C55" s="10"/>
      <c r="D55" s="10"/>
      <c r="E55" s="10"/>
      <c r="F55" s="10"/>
      <c r="G55" s="10"/>
      <c r="H55" s="10"/>
      <c r="I55" s="685"/>
      <c r="J55" s="1"/>
      <c r="K55" s="1"/>
      <c r="L55" s="1"/>
      <c r="M55" s="1"/>
      <c r="N55" s="1"/>
      <c r="O55" s="1"/>
      <c r="P55" s="8"/>
      <c r="Q55" s="8"/>
      <c r="R55" s="8"/>
    </row>
  </sheetData>
  <mergeCells count="8">
    <mergeCell ref="A1:Q1"/>
    <mergeCell ref="A3:A4"/>
    <mergeCell ref="B3:G3"/>
    <mergeCell ref="H3:M3"/>
    <mergeCell ref="N3:N4"/>
    <mergeCell ref="O3:O4"/>
    <mergeCell ref="P3:P4"/>
    <mergeCell ref="A2:Q2"/>
  </mergeCells>
  <printOptions horizontalCentered="1" verticalCentered="1"/>
  <pageMargins left="0.39370078740157483" right="0.39370078740157483" top="0.23622047244094491" bottom="0.23622047244094491" header="0.31496062992125984" footer="7.874015748031496E-2"/>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16"/>
  <sheetViews>
    <sheetView showGridLines="0" view="pageBreakPreview" zoomScaleNormal="100" zoomScaleSheetLayoutView="100" workbookViewId="0">
      <selection activeCell="F12" sqref="F12"/>
    </sheetView>
  </sheetViews>
  <sheetFormatPr baseColWidth="10" defaultRowHeight="15"/>
  <cols>
    <col min="1" max="1" width="15.140625" style="1995" customWidth="1"/>
    <col min="2" max="3" width="19.5703125" style="1995" customWidth="1"/>
    <col min="4" max="4" width="18.85546875" style="1995" bestFit="1" customWidth="1"/>
    <col min="5" max="5" width="17.5703125" style="1995" customWidth="1"/>
    <col min="6" max="6" width="18.5703125" style="1995" customWidth="1"/>
    <col min="7" max="7" width="23.140625" style="1995" customWidth="1"/>
    <col min="8" max="16384" width="11.42578125" style="1995"/>
  </cols>
  <sheetData>
    <row r="1" spans="1:9" ht="42.75" customHeight="1">
      <c r="A1" s="2257" t="s">
        <v>1933</v>
      </c>
      <c r="B1" s="2258"/>
      <c r="C1" s="2258"/>
      <c r="D1" s="2258"/>
      <c r="E1" s="2258"/>
      <c r="F1" s="2258"/>
      <c r="G1" s="2258"/>
      <c r="H1" s="2258"/>
      <c r="I1" s="2258"/>
    </row>
    <row r="2" spans="1:9" ht="3.75" customHeight="1"/>
    <row r="3" spans="1:9">
      <c r="A3" s="1997" t="s">
        <v>355</v>
      </c>
      <c r="B3" s="1997" t="s">
        <v>1859</v>
      </c>
      <c r="C3" s="1997" t="s">
        <v>612</v>
      </c>
      <c r="D3" s="1997" t="s">
        <v>1858</v>
      </c>
    </row>
    <row r="4" spans="1:9" hidden="1">
      <c r="A4" s="1997">
        <v>2003</v>
      </c>
      <c r="B4" s="1998">
        <v>211522228.03115004</v>
      </c>
      <c r="C4" s="1998">
        <v>1627801493.9788501</v>
      </c>
      <c r="D4" s="2038">
        <f t="shared" ref="D4:D15" si="0">+C4+B4</f>
        <v>1839323722.0100002</v>
      </c>
    </row>
    <row r="5" spans="1:9" hidden="1">
      <c r="A5" s="1997">
        <v>2004</v>
      </c>
      <c r="B5" s="1998">
        <v>2032252613.1619003</v>
      </c>
      <c r="C5" s="1998">
        <v>4349785883.0481005</v>
      </c>
      <c r="D5" s="2038">
        <f t="shared" si="0"/>
        <v>6382038496.210001</v>
      </c>
    </row>
    <row r="6" spans="1:9">
      <c r="A6" s="1997">
        <v>2005</v>
      </c>
      <c r="B6" s="1998">
        <v>2740119047.3900003</v>
      </c>
      <c r="C6" s="1998">
        <v>6918059326.1500006</v>
      </c>
      <c r="D6" s="2038">
        <f t="shared" si="0"/>
        <v>9658178373.5400009</v>
      </c>
      <c r="E6" s="2111"/>
      <c r="G6" s="2111"/>
    </row>
    <row r="7" spans="1:9">
      <c r="A7" s="1997">
        <v>2006</v>
      </c>
      <c r="B7" s="1998">
        <v>2679574110.783494</v>
      </c>
      <c r="C7" s="1998">
        <v>8392526306.6965065</v>
      </c>
      <c r="D7" s="2038">
        <f t="shared" si="0"/>
        <v>11072100417.48</v>
      </c>
      <c r="E7" s="2111"/>
    </row>
    <row r="8" spans="1:9">
      <c r="A8" s="1997">
        <v>2007</v>
      </c>
      <c r="B8" s="1998">
        <v>7440643704.1800003</v>
      </c>
      <c r="C8" s="1998">
        <v>13755990830.42</v>
      </c>
      <c r="D8" s="2038">
        <f t="shared" si="0"/>
        <v>21196634534.599998</v>
      </c>
      <c r="E8" s="2111"/>
    </row>
    <row r="9" spans="1:9">
      <c r="A9" s="1997">
        <v>2008</v>
      </c>
      <c r="B9" s="1998">
        <v>10090935314.219999</v>
      </c>
      <c r="C9" s="1998">
        <v>22987229737.049999</v>
      </c>
      <c r="D9" s="2038">
        <f t="shared" si="0"/>
        <v>33078165051.269997</v>
      </c>
      <c r="E9" s="2111"/>
    </row>
    <row r="10" spans="1:9">
      <c r="A10" s="1997">
        <v>2009</v>
      </c>
      <c r="B10" s="1998">
        <v>12419428715.15</v>
      </c>
      <c r="C10" s="1998">
        <v>25453341929.369999</v>
      </c>
      <c r="D10" s="2038">
        <f t="shared" si="0"/>
        <v>37872770644.519997</v>
      </c>
      <c r="E10" s="2111"/>
    </row>
    <row r="11" spans="1:9">
      <c r="A11" s="1997">
        <v>2010</v>
      </c>
      <c r="B11" s="1998">
        <v>13982932933.34</v>
      </c>
      <c r="C11" s="1998">
        <v>29622073160.660004</v>
      </c>
      <c r="D11" s="2038">
        <f t="shared" si="0"/>
        <v>43605006094</v>
      </c>
      <c r="E11" s="2111"/>
      <c r="G11" s="521"/>
    </row>
    <row r="12" spans="1:9">
      <c r="A12" s="1997">
        <v>2011</v>
      </c>
      <c r="B12" s="1998">
        <v>15631836986.009998</v>
      </c>
      <c r="C12" s="1998">
        <v>33784047829.830002</v>
      </c>
      <c r="D12" s="2038">
        <f t="shared" si="0"/>
        <v>49415884815.839996</v>
      </c>
      <c r="E12" s="2111"/>
    </row>
    <row r="13" spans="1:9">
      <c r="A13" s="1997">
        <v>2012</v>
      </c>
      <c r="B13" s="1998">
        <v>17595724643.350403</v>
      </c>
      <c r="C13" s="1998">
        <v>37469807664.639603</v>
      </c>
      <c r="D13" s="2038">
        <f t="shared" si="0"/>
        <v>55065532307.990005</v>
      </c>
      <c r="E13" s="2111"/>
    </row>
    <row r="14" spans="1:9">
      <c r="A14" s="1997">
        <v>2013</v>
      </c>
      <c r="B14" s="1998">
        <v>20873289030.960003</v>
      </c>
      <c r="C14" s="1998">
        <v>40609714567.439995</v>
      </c>
      <c r="D14" s="2038">
        <f t="shared" si="0"/>
        <v>61483003598.399994</v>
      </c>
      <c r="E14" s="2111"/>
    </row>
    <row r="15" spans="1:9">
      <c r="A15" s="1997">
        <v>2014</v>
      </c>
      <c r="B15" s="1998">
        <v>24657599719.139999</v>
      </c>
      <c r="C15" s="1998">
        <v>45263293195.400002</v>
      </c>
      <c r="D15" s="2038">
        <f t="shared" si="0"/>
        <v>69920892914.540009</v>
      </c>
      <c r="E15" s="2111"/>
    </row>
    <row r="16" spans="1:9">
      <c r="A16" s="1997" t="s">
        <v>111</v>
      </c>
      <c r="B16" s="1996">
        <f>SUM(B6:B15)</f>
        <v>128112084204.5239</v>
      </c>
      <c r="C16" s="1996">
        <f>SUM(C6:C15)</f>
        <v>264256084547.6561</v>
      </c>
      <c r="D16" s="1996">
        <f>SUM(D6:D15)</f>
        <v>392368168752.18005</v>
      </c>
    </row>
  </sheetData>
  <mergeCells count="1">
    <mergeCell ref="A1:I1"/>
  </mergeCells>
  <pageMargins left="0.7" right="0.7" top="0.75" bottom="0.75" header="0.3" footer="0.3"/>
  <pageSetup scale="5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16"/>
  <sheetViews>
    <sheetView showGridLines="0" view="pageBreakPreview" zoomScaleNormal="100" zoomScaleSheetLayoutView="100" workbookViewId="0">
      <pane xSplit="1" ySplit="5" topLeftCell="B6" activePane="bottomRight" state="frozen"/>
      <selection pane="topRight" activeCell="B1" sqref="B1"/>
      <selection pane="bottomLeft" activeCell="A6" sqref="A6"/>
      <selection pane="bottomRight" activeCell="J26" sqref="J26"/>
    </sheetView>
  </sheetViews>
  <sheetFormatPr baseColWidth="10" defaultRowHeight="15"/>
  <cols>
    <col min="1" max="1" width="15.42578125" style="1999" customWidth="1"/>
    <col min="2" max="2" width="20.5703125" style="1999" customWidth="1"/>
    <col min="3" max="3" width="19.140625" style="1999" customWidth="1"/>
    <col min="4" max="4" width="19.85546875" style="1999" customWidth="1"/>
    <col min="5" max="5" width="21.42578125" style="1999" customWidth="1"/>
    <col min="6" max="6" width="22" style="1999" customWidth="1"/>
    <col min="7" max="16384" width="11.42578125" style="1999"/>
  </cols>
  <sheetData>
    <row r="1" spans="1:9" ht="54.75" customHeight="1">
      <c r="A1" s="2259" t="s">
        <v>1934</v>
      </c>
      <c r="B1" s="2260"/>
      <c r="C1" s="2260"/>
      <c r="D1" s="2260"/>
      <c r="E1" s="2260"/>
      <c r="F1" s="2260"/>
      <c r="G1" s="2260"/>
    </row>
    <row r="2" spans="1:9" ht="3" customHeight="1">
      <c r="A2" s="2007"/>
      <c r="B2" s="2007"/>
      <c r="C2" s="2007"/>
      <c r="D2" s="2007"/>
      <c r="E2" s="2007"/>
      <c r="F2" s="2007"/>
    </row>
    <row r="3" spans="1:9" ht="30">
      <c r="A3" s="2006" t="s">
        <v>355</v>
      </c>
      <c r="B3" s="2006" t="s">
        <v>1873</v>
      </c>
      <c r="C3" s="2006" t="s">
        <v>1863</v>
      </c>
      <c r="D3" s="2085" t="s">
        <v>1862</v>
      </c>
      <c r="E3" s="2085" t="s">
        <v>1861</v>
      </c>
      <c r="F3" s="2005" t="s">
        <v>1860</v>
      </c>
    </row>
    <row r="4" spans="1:9" hidden="1">
      <c r="A4" s="2004">
        <v>2003</v>
      </c>
      <c r="B4" s="2003">
        <v>63456668.409345008</v>
      </c>
      <c r="C4" s="2003">
        <v>488340448.19365501</v>
      </c>
      <c r="D4" s="2003">
        <v>148065559.62180501</v>
      </c>
      <c r="E4" s="2003">
        <v>1139461045.7851951</v>
      </c>
      <c r="F4" s="2002">
        <f t="shared" ref="F4:F15" si="0">SUM(B4:E4)</f>
        <v>1839323722.0100002</v>
      </c>
    </row>
    <row r="5" spans="1:9" hidden="1">
      <c r="A5" s="2004">
        <v>2004</v>
      </c>
      <c r="B5" s="2003">
        <v>528385679.42209411</v>
      </c>
      <c r="C5" s="2003">
        <v>1130944329.5925062</v>
      </c>
      <c r="D5" s="2003">
        <v>1503866933.7398062</v>
      </c>
      <c r="E5" s="2003">
        <v>3218841553.4555945</v>
      </c>
      <c r="F5" s="2002">
        <f t="shared" si="0"/>
        <v>6382038496.210001</v>
      </c>
    </row>
    <row r="6" spans="1:9">
      <c r="A6" s="2004">
        <v>2005</v>
      </c>
      <c r="B6" s="2003">
        <v>712430952.32140017</v>
      </c>
      <c r="C6" s="2003">
        <v>1798695424.7990003</v>
      </c>
      <c r="D6" s="2003">
        <v>2027688095.0686002</v>
      </c>
      <c r="E6" s="2003">
        <v>5119363901.3510008</v>
      </c>
      <c r="F6" s="2002">
        <f t="shared" si="0"/>
        <v>9658178373.5400009</v>
      </c>
    </row>
    <row r="7" spans="1:9">
      <c r="A7" s="2004">
        <v>2006</v>
      </c>
      <c r="B7" s="2003">
        <v>696689268.80370843</v>
      </c>
      <c r="C7" s="2003">
        <v>2182056839.7410917</v>
      </c>
      <c r="D7" s="2003">
        <v>1982884841.9797854</v>
      </c>
      <c r="E7" s="2003">
        <v>6210469466.9554148</v>
      </c>
      <c r="F7" s="2002">
        <f t="shared" si="0"/>
        <v>11072100417.48</v>
      </c>
    </row>
    <row r="8" spans="1:9">
      <c r="A8" s="2004">
        <v>2007</v>
      </c>
      <c r="B8" s="2003">
        <v>2008973800.1286001</v>
      </c>
      <c r="C8" s="2003">
        <v>3714117524.2134004</v>
      </c>
      <c r="D8" s="2003">
        <v>5431669904.0514002</v>
      </c>
      <c r="E8" s="2003">
        <v>10041873306.2066</v>
      </c>
      <c r="F8" s="2002">
        <f t="shared" si="0"/>
        <v>21196634534.600002</v>
      </c>
    </row>
    <row r="9" spans="1:9">
      <c r="A9" s="2004">
        <v>2008</v>
      </c>
      <c r="B9" s="2003">
        <v>2875916564.5526996</v>
      </c>
      <c r="C9" s="2003">
        <v>6551360475.0592489</v>
      </c>
      <c r="D9" s="2003">
        <v>7215018749.6672993</v>
      </c>
      <c r="E9" s="2003">
        <v>16435869261.990749</v>
      </c>
      <c r="F9" s="2002">
        <f t="shared" si="0"/>
        <v>33078165051.269997</v>
      </c>
    </row>
    <row r="10" spans="1:9">
      <c r="A10" s="2004">
        <v>2009</v>
      </c>
      <c r="B10" s="2003">
        <v>3539537183.8177495</v>
      </c>
      <c r="C10" s="2003">
        <v>7254202449.8704491</v>
      </c>
      <c r="D10" s="2003">
        <v>8879891531.3322487</v>
      </c>
      <c r="E10" s="2003">
        <v>18199139479.49955</v>
      </c>
      <c r="F10" s="2002">
        <f t="shared" si="0"/>
        <v>37872770644.519997</v>
      </c>
      <c r="I10" s="2047"/>
    </row>
    <row r="11" spans="1:9">
      <c r="A11" s="2004">
        <v>2010</v>
      </c>
      <c r="B11" s="2003">
        <v>3985135886.0018997</v>
      </c>
      <c r="C11" s="2003">
        <v>8442290850.7881002</v>
      </c>
      <c r="D11" s="2003">
        <v>9997797047.3381004</v>
      </c>
      <c r="E11" s="2003">
        <v>21179782309.871902</v>
      </c>
      <c r="F11" s="2002">
        <f t="shared" si="0"/>
        <v>43605006094</v>
      </c>
    </row>
    <row r="12" spans="1:9">
      <c r="A12" s="2004">
        <v>2011</v>
      </c>
      <c r="B12" s="2003">
        <v>4455073541.0128489</v>
      </c>
      <c r="C12" s="2003">
        <v>9628453631.5015488</v>
      </c>
      <c r="D12" s="2003">
        <v>11176763444.997149</v>
      </c>
      <c r="E12" s="2003">
        <v>24155594198.328449</v>
      </c>
      <c r="F12" s="2002">
        <f t="shared" si="0"/>
        <v>49415884815.839996</v>
      </c>
    </row>
    <row r="13" spans="1:9">
      <c r="A13" s="2004">
        <v>2012</v>
      </c>
      <c r="B13" s="2003">
        <v>5014781523.3548641</v>
      </c>
      <c r="C13" s="2003">
        <v>10678895184.422285</v>
      </c>
      <c r="D13" s="2003">
        <v>12580943119.995537</v>
      </c>
      <c r="E13" s="2003">
        <v>26790912480.217316</v>
      </c>
      <c r="F13" s="2002">
        <f t="shared" si="0"/>
        <v>55065532307.990005</v>
      </c>
    </row>
    <row r="14" spans="1:9">
      <c r="A14" s="2004">
        <v>2013</v>
      </c>
      <c r="B14" s="2003">
        <v>5948887373.8236008</v>
      </c>
      <c r="C14" s="2003">
        <v>11573768651.720398</v>
      </c>
      <c r="D14" s="2003">
        <v>14924401657.136402</v>
      </c>
      <c r="E14" s="2003">
        <v>29035945915.719597</v>
      </c>
      <c r="F14" s="2002">
        <f t="shared" si="0"/>
        <v>61483003598.399994</v>
      </c>
    </row>
    <row r="15" spans="1:9">
      <c r="A15" s="2004">
        <v>2014</v>
      </c>
      <c r="B15" s="1796">
        <v>7027415919.9548988</v>
      </c>
      <c r="C15" s="1796">
        <v>12900038560.688999</v>
      </c>
      <c r="D15" s="2003">
        <v>17630183799.185101</v>
      </c>
      <c r="E15" s="2003">
        <v>32363254634.710999</v>
      </c>
      <c r="F15" s="2002">
        <f t="shared" si="0"/>
        <v>69920892914.539993</v>
      </c>
    </row>
    <row r="16" spans="1:9">
      <c r="A16" s="2001" t="s">
        <v>111</v>
      </c>
      <c r="B16" s="2000">
        <f>SUM(B6:B15)</f>
        <v>36264842013.772263</v>
      </c>
      <c r="C16" s="2000">
        <f>SUM(C6:C15)</f>
        <v>74723879592.80452</v>
      </c>
      <c r="D16" s="2000">
        <f>SUM(D6:D15)</f>
        <v>91847242190.751633</v>
      </c>
      <c r="E16" s="2000">
        <f>SUM(E6:E15)</f>
        <v>189532204954.85156</v>
      </c>
      <c r="F16" s="2000">
        <f>SUM(F6:F15)</f>
        <v>392368168752.17999</v>
      </c>
    </row>
  </sheetData>
  <mergeCells count="1">
    <mergeCell ref="A1:G1"/>
  </mergeCells>
  <pageMargins left="0.7" right="0.7" top="0.75" bottom="0.75" header="0.3" footer="0.3"/>
  <pageSetup scale="6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18"/>
  <sheetViews>
    <sheetView showGridLines="0" view="pageBreakPreview" zoomScale="85" zoomScaleNormal="100" zoomScaleSheetLayoutView="85" workbookViewId="0">
      <selection activeCell="J24" sqref="J24"/>
    </sheetView>
  </sheetViews>
  <sheetFormatPr baseColWidth="10" defaultRowHeight="15"/>
  <cols>
    <col min="1" max="1" width="14" style="2008" customWidth="1"/>
    <col min="2" max="2" width="21.28515625" style="2008" customWidth="1"/>
    <col min="3" max="3" width="16.85546875" style="2008" customWidth="1"/>
    <col min="4" max="4" width="19.7109375" style="2008" customWidth="1"/>
    <col min="5" max="5" width="19.28515625" style="2008" customWidth="1"/>
    <col min="6" max="6" width="18.85546875" style="2008" bestFit="1" customWidth="1"/>
    <col min="7" max="7" width="26.5703125" style="2008" customWidth="1"/>
    <col min="8" max="16384" width="11.42578125" style="2008"/>
  </cols>
  <sheetData>
    <row r="1" spans="1:7" ht="15.75" customHeight="1">
      <c r="A1" s="2261" t="s">
        <v>1935</v>
      </c>
      <c r="B1" s="2262"/>
      <c r="C1" s="2262"/>
      <c r="D1" s="2262"/>
      <c r="E1" s="2262"/>
      <c r="F1" s="2262"/>
      <c r="G1" s="2262"/>
    </row>
    <row r="2" spans="1:7" ht="34.5" customHeight="1">
      <c r="A2" s="2262"/>
      <c r="B2" s="2262"/>
      <c r="C2" s="2262"/>
      <c r="D2" s="2262"/>
      <c r="E2" s="2262"/>
      <c r="F2" s="2262"/>
      <c r="G2" s="2262"/>
    </row>
    <row r="3" spans="1:7" ht="6" customHeight="1">
      <c r="A3" s="2010"/>
      <c r="B3" s="2010"/>
      <c r="C3" s="2010"/>
      <c r="D3" s="2010"/>
      <c r="E3" s="2010"/>
      <c r="F3" s="2010"/>
    </row>
    <row r="4" spans="1:7" s="2078" customFormat="1" ht="18.75" customHeight="1">
      <c r="A4" s="2077" t="s">
        <v>51</v>
      </c>
      <c r="B4" s="2077" t="s">
        <v>1867</v>
      </c>
      <c r="C4" s="2077" t="s">
        <v>1866</v>
      </c>
      <c r="D4" s="2077" t="s">
        <v>1865</v>
      </c>
      <c r="E4" s="2077" t="s">
        <v>1864</v>
      </c>
      <c r="F4" s="2077" t="s">
        <v>23</v>
      </c>
    </row>
    <row r="5" spans="1:7" hidden="1">
      <c r="A5" s="2009">
        <v>2002</v>
      </c>
      <c r="B5" s="2003"/>
      <c r="C5" s="2003">
        <v>0</v>
      </c>
      <c r="D5" s="2003">
        <v>40000000</v>
      </c>
      <c r="E5" s="2003">
        <v>0</v>
      </c>
      <c r="F5" s="2000">
        <f t="shared" ref="F5:F17" si="0">B5+C5+D5+E5</f>
        <v>40000000</v>
      </c>
    </row>
    <row r="6" spans="1:7" hidden="1">
      <c r="A6" s="2009">
        <v>2003</v>
      </c>
      <c r="B6" s="2003"/>
      <c r="C6" s="2003">
        <v>0</v>
      </c>
      <c r="D6" s="2003">
        <v>10000000</v>
      </c>
      <c r="E6" s="2003">
        <v>148065559.62180501</v>
      </c>
      <c r="F6" s="2000">
        <f t="shared" si="0"/>
        <v>158065559.62180501</v>
      </c>
    </row>
    <row r="7" spans="1:7" hidden="1">
      <c r="A7" s="2009">
        <v>2004</v>
      </c>
      <c r="B7" s="2003"/>
      <c r="C7" s="2003">
        <v>0</v>
      </c>
      <c r="D7" s="2003">
        <v>100013332.31999999</v>
      </c>
      <c r="E7" s="2003">
        <v>1503866933.7398062</v>
      </c>
      <c r="F7" s="2000">
        <f t="shared" si="0"/>
        <v>1603880266.0598061</v>
      </c>
    </row>
    <row r="8" spans="1:7">
      <c r="A8" s="2009">
        <v>2005</v>
      </c>
      <c r="B8" s="2003"/>
      <c r="C8" s="2003">
        <v>0</v>
      </c>
      <c r="D8" s="2003">
        <v>604604920.63</v>
      </c>
      <c r="E8" s="2003">
        <v>2027688095.0686002</v>
      </c>
      <c r="F8" s="2000">
        <f t="shared" si="0"/>
        <v>2632293015.6986003</v>
      </c>
    </row>
    <row r="9" spans="1:7">
      <c r="A9" s="2009">
        <v>2006</v>
      </c>
      <c r="B9" s="2003"/>
      <c r="C9" s="2003">
        <v>0</v>
      </c>
      <c r="D9" s="2003">
        <v>724509996.65999997</v>
      </c>
      <c r="E9" s="2003">
        <v>1982884841.9797854</v>
      </c>
      <c r="F9" s="2000">
        <f t="shared" si="0"/>
        <v>2707394838.6397853</v>
      </c>
    </row>
    <row r="10" spans="1:7">
      <c r="A10" s="2009">
        <v>2007</v>
      </c>
      <c r="B10" s="2003"/>
      <c r="C10" s="2003">
        <v>125000000</v>
      </c>
      <c r="D10" s="2003">
        <v>1566425499.9599998</v>
      </c>
      <c r="E10" s="2003">
        <v>5431669904.0514002</v>
      </c>
      <c r="F10" s="2000">
        <f t="shared" si="0"/>
        <v>7123095404.0114002</v>
      </c>
    </row>
    <row r="11" spans="1:7">
      <c r="A11" s="2009">
        <v>2008</v>
      </c>
      <c r="B11" s="2003"/>
      <c r="C11" s="2003">
        <v>256250000</v>
      </c>
      <c r="D11" s="2003">
        <v>2203585531</v>
      </c>
      <c r="E11" s="2003">
        <v>7215018749.6672993</v>
      </c>
      <c r="F11" s="2000">
        <f t="shared" si="0"/>
        <v>9674854280.6672993</v>
      </c>
    </row>
    <row r="12" spans="1:7">
      <c r="A12" s="2009">
        <v>2009</v>
      </c>
      <c r="B12" s="2003">
        <v>178872817.62</v>
      </c>
      <c r="C12" s="521">
        <v>18750000</v>
      </c>
      <c r="D12" s="2003">
        <v>3190675855.0100002</v>
      </c>
      <c r="E12" s="2003">
        <v>8879891531.3322487</v>
      </c>
      <c r="F12" s="2000">
        <f t="shared" si="0"/>
        <v>12268190203.96225</v>
      </c>
    </row>
    <row r="13" spans="1:7">
      <c r="A13" s="2009">
        <v>2010</v>
      </c>
      <c r="B13" s="2003">
        <v>95767339.469999999</v>
      </c>
      <c r="C13" s="2003">
        <v>0</v>
      </c>
      <c r="D13" s="2003">
        <v>3736675849.46</v>
      </c>
      <c r="E13" s="2003">
        <v>9997797047.3381004</v>
      </c>
      <c r="F13" s="2000">
        <f t="shared" si="0"/>
        <v>13830240236.268101</v>
      </c>
    </row>
    <row r="14" spans="1:7">
      <c r="A14" s="2009">
        <v>2011</v>
      </c>
      <c r="B14" s="2003">
        <v>320281085.42000002</v>
      </c>
      <c r="C14" s="2003">
        <v>0</v>
      </c>
      <c r="D14" s="2003">
        <v>4134675852</v>
      </c>
      <c r="E14" s="2003">
        <v>11176763444.997149</v>
      </c>
      <c r="F14" s="2000">
        <f t="shared" si="0"/>
        <v>15631720382.417149</v>
      </c>
    </row>
    <row r="15" spans="1:7">
      <c r="A15" s="2009">
        <v>2012</v>
      </c>
      <c r="B15" s="2003">
        <v>349151178.96000004</v>
      </c>
      <c r="C15" s="2003">
        <v>0</v>
      </c>
      <c r="D15" s="2003">
        <v>4600000000.96</v>
      </c>
      <c r="E15" s="2003">
        <v>12580943119.995537</v>
      </c>
      <c r="F15" s="2000">
        <f t="shared" si="0"/>
        <v>17530094299.915535</v>
      </c>
    </row>
    <row r="16" spans="1:7">
      <c r="A16" s="2009">
        <v>2013</v>
      </c>
      <c r="B16" s="2003">
        <v>362641633.79000002</v>
      </c>
      <c r="C16" s="2003">
        <v>0</v>
      </c>
      <c r="D16" s="2003">
        <v>5302610000</v>
      </c>
      <c r="E16" s="2003">
        <v>14924401657.1364</v>
      </c>
      <c r="F16" s="2000">
        <f t="shared" si="0"/>
        <v>20589653290.926399</v>
      </c>
    </row>
    <row r="17" spans="1:6">
      <c r="A17" s="2009">
        <v>2014</v>
      </c>
      <c r="B17" s="2048">
        <v>319928544.26999998</v>
      </c>
      <c r="C17" s="2003">
        <v>0</v>
      </c>
      <c r="D17" s="2003">
        <v>7378610518.96</v>
      </c>
      <c r="E17" s="2003">
        <f>+'Rec. x origen'!D15</f>
        <v>17630183799.185101</v>
      </c>
      <c r="F17" s="2000">
        <f t="shared" si="0"/>
        <v>25328722862.4151</v>
      </c>
    </row>
    <row r="18" spans="1:6">
      <c r="A18" s="2009" t="s">
        <v>23</v>
      </c>
      <c r="B18" s="2000">
        <f>SUM(B8:B17)</f>
        <v>1626642599.53</v>
      </c>
      <c r="C18" s="2000">
        <f>SUM(C8:C17)</f>
        <v>400000000</v>
      </c>
      <c r="D18" s="2000">
        <f>SUM(D8:D17)</f>
        <v>33442374024.639999</v>
      </c>
      <c r="E18" s="2000">
        <f>SUM(E8:E17)</f>
        <v>91847242190.751633</v>
      </c>
      <c r="F18" s="2000">
        <f>SUM(F8:F17)</f>
        <v>127316258814.9216</v>
      </c>
    </row>
  </sheetData>
  <mergeCells count="1">
    <mergeCell ref="A1:G2"/>
  </mergeCells>
  <pageMargins left="0.7" right="0.7" top="0.75" bottom="0.75" header="0.3" footer="0.3"/>
  <pageSetup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showRowColHeaders="0" view="pageBreakPreview" zoomScale="85" zoomScaleNormal="100" zoomScaleSheetLayoutView="85" workbookViewId="0">
      <selection activeCell="N29" sqref="N29"/>
    </sheetView>
  </sheetViews>
  <sheetFormatPr baseColWidth="10" defaultColWidth="11.42578125" defaultRowHeight="15"/>
  <cols>
    <col min="1" max="6" width="11.42578125" style="128"/>
    <col min="7" max="7" width="35.7109375" style="128" customWidth="1"/>
    <col min="8" max="16384" width="11.42578125" style="128"/>
  </cols>
  <sheetData/>
  <pageMargins left="0.7" right="0.7" top="0.75" bottom="0.75" header="0.3" footer="0.3"/>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AG92"/>
  <sheetViews>
    <sheetView showGridLines="0" view="pageBreakPreview" zoomScale="55" zoomScaleNormal="100" zoomScaleSheetLayoutView="55" zoomScalePageLayoutView="62" workbookViewId="0">
      <pane xSplit="19" topLeftCell="AT1" activePane="topRight" state="frozenSplit"/>
      <selection pane="topRight" activeCell="Q8" sqref="Q8"/>
    </sheetView>
  </sheetViews>
  <sheetFormatPr baseColWidth="10" defaultColWidth="11.42578125" defaultRowHeight="15"/>
  <cols>
    <col min="1" max="1" width="16.7109375" style="128" customWidth="1"/>
    <col min="2" max="2" width="12.85546875" style="128" customWidth="1"/>
    <col min="3" max="3" width="18.5703125" style="128" customWidth="1"/>
    <col min="4" max="4" width="14.140625" style="128" customWidth="1"/>
    <col min="5" max="5" width="16.42578125" style="128" customWidth="1"/>
    <col min="6" max="6" width="18.28515625" style="128" customWidth="1"/>
    <col min="7" max="7" width="17.140625" style="128" customWidth="1"/>
    <col min="8" max="8" width="17.7109375" style="128" customWidth="1"/>
    <col min="9" max="9" width="20.7109375" style="128" customWidth="1"/>
    <col min="10" max="10" width="23.5703125" style="128" customWidth="1"/>
    <col min="11" max="11" width="19.28515625" style="128" customWidth="1"/>
    <col min="12" max="12" width="24.85546875" style="128" customWidth="1"/>
    <col min="13" max="13" width="17.28515625" style="128" customWidth="1"/>
    <col min="14" max="15" width="12.5703125" style="128" customWidth="1"/>
    <col min="16" max="16" width="13.28515625" style="128" customWidth="1"/>
    <col min="17" max="17" width="20" style="128" customWidth="1"/>
    <col min="18" max="18" width="14.42578125" style="128" customWidth="1"/>
    <col min="19" max="19" width="25.28515625" style="128" customWidth="1"/>
    <col min="20" max="20" width="20.42578125" style="128" customWidth="1"/>
    <col min="21" max="21" width="14.7109375" style="128" customWidth="1"/>
    <col min="22" max="22" width="13" style="128" customWidth="1"/>
    <col min="23" max="26" width="11.42578125" style="128"/>
    <col min="27" max="27" width="18.7109375" style="128" bestFit="1" customWidth="1"/>
    <col min="28" max="16384" width="11.42578125" style="128"/>
  </cols>
  <sheetData>
    <row r="1" spans="1:33" ht="97.5" customHeight="1">
      <c r="A1" s="2263" t="s">
        <v>1937</v>
      </c>
      <c r="B1" s="2263"/>
      <c r="C1" s="2263"/>
      <c r="D1" s="2263"/>
      <c r="E1" s="2263"/>
      <c r="F1" s="2263"/>
      <c r="G1" s="2263"/>
      <c r="H1" s="2263"/>
      <c r="I1" s="2263"/>
      <c r="J1" s="2263"/>
      <c r="K1" s="2263"/>
      <c r="L1" s="2263"/>
      <c r="M1" s="2263"/>
      <c r="N1" s="2263"/>
      <c r="O1" s="2263"/>
      <c r="P1" s="2263"/>
      <c r="Q1" s="2263"/>
      <c r="R1" s="2263"/>
    </row>
    <row r="2" spans="1:33" s="59" customFormat="1" ht="3.75" customHeight="1">
      <c r="A2" s="591"/>
      <c r="B2" s="591"/>
      <c r="C2" s="591"/>
      <c r="D2" s="591"/>
      <c r="E2" s="591"/>
      <c r="F2" s="591"/>
      <c r="G2" s="591"/>
      <c r="H2" s="591"/>
      <c r="I2" s="591"/>
      <c r="J2" s="591"/>
      <c r="K2" s="591"/>
      <c r="L2" s="591"/>
      <c r="M2" s="591"/>
      <c r="N2" s="591"/>
      <c r="O2" s="591"/>
      <c r="P2" s="591"/>
      <c r="Q2" s="591"/>
      <c r="R2" s="591"/>
    </row>
    <row r="3" spans="1:33" ht="78" customHeight="1">
      <c r="A3" s="660" t="s">
        <v>495</v>
      </c>
      <c r="B3" s="532" t="s">
        <v>1248</v>
      </c>
      <c r="C3" s="532" t="s">
        <v>1249</v>
      </c>
      <c r="D3" s="532" t="s">
        <v>1250</v>
      </c>
      <c r="E3" s="532" t="s">
        <v>1251</v>
      </c>
      <c r="F3" s="532" t="s">
        <v>1252</v>
      </c>
      <c r="G3" s="532" t="s">
        <v>940</v>
      </c>
      <c r="H3" s="532" t="s">
        <v>1627</v>
      </c>
      <c r="I3" s="749" t="s">
        <v>1254</v>
      </c>
      <c r="J3" s="749" t="s">
        <v>1255</v>
      </c>
      <c r="K3" s="749" t="s">
        <v>1256</v>
      </c>
      <c r="L3" s="749" t="s">
        <v>1257</v>
      </c>
      <c r="M3" s="749" t="s">
        <v>1258</v>
      </c>
      <c r="N3" s="749" t="s">
        <v>492</v>
      </c>
      <c r="O3" s="749" t="s">
        <v>491</v>
      </c>
      <c r="P3" s="532" t="s">
        <v>1261</v>
      </c>
      <c r="Q3" s="532" t="s">
        <v>1262</v>
      </c>
      <c r="R3" s="532" t="s">
        <v>1275</v>
      </c>
      <c r="S3" s="31"/>
      <c r="T3" s="31"/>
      <c r="U3" s="31"/>
      <c r="V3" s="31"/>
    </row>
    <row r="4" spans="1:33" ht="15.75">
      <c r="A4" s="183" t="s">
        <v>1062</v>
      </c>
      <c r="B4" s="808">
        <v>919911</v>
      </c>
      <c r="C4" s="2141">
        <f t="shared" ref="C4:C9" si="0">D4+E4</f>
        <v>557270</v>
      </c>
      <c r="D4" s="808">
        <v>553015</v>
      </c>
      <c r="E4" s="808">
        <v>4255</v>
      </c>
      <c r="F4" s="843">
        <f t="shared" ref="F4:F11" si="1">+B4+D4+E4</f>
        <v>1477181</v>
      </c>
      <c r="G4" s="936">
        <f t="shared" ref="G4:G9" si="2">B4/F4</f>
        <v>0.62274765245423547</v>
      </c>
      <c r="H4" s="936">
        <f t="shared" ref="H4:H9" si="3">C4/F4</f>
        <v>0.37725234754576453</v>
      </c>
      <c r="I4" s="808">
        <v>1005990</v>
      </c>
      <c r="J4" s="2141">
        <f t="shared" ref="J4:J11" si="4">K4+L4</f>
        <v>593477</v>
      </c>
      <c r="K4" s="808">
        <v>586713</v>
      </c>
      <c r="L4" s="808">
        <v>6764</v>
      </c>
      <c r="M4" s="2186">
        <f t="shared" ref="M4:M10" si="5">+L4+K4+I4</f>
        <v>1599467</v>
      </c>
      <c r="N4" s="2187">
        <f t="shared" ref="N4:N9" si="6">I4/M4</f>
        <v>0.6289532700580881</v>
      </c>
      <c r="O4" s="2187">
        <f t="shared" ref="O4:O9" si="7">J4/M4</f>
        <v>0.3710467299419119</v>
      </c>
      <c r="P4" s="809">
        <f t="shared" ref="P4:P9" si="8">M4/F4</f>
        <v>1.0827833555942028</v>
      </c>
      <c r="Q4" s="809">
        <f t="shared" ref="Q4:R8" si="9">I4/B4</f>
        <v>1.0935731826231017</v>
      </c>
      <c r="R4" s="809">
        <f t="shared" si="9"/>
        <v>1.0649720961114002</v>
      </c>
      <c r="T4" s="31"/>
      <c r="U4" s="31"/>
      <c r="V4" s="31"/>
    </row>
    <row r="5" spans="1:33" ht="15.75">
      <c r="A5" s="183" t="s">
        <v>1063</v>
      </c>
      <c r="B5" s="808">
        <v>966146</v>
      </c>
      <c r="C5" s="2141">
        <f t="shared" si="0"/>
        <v>726113</v>
      </c>
      <c r="D5" s="808">
        <v>707328</v>
      </c>
      <c r="E5" s="808">
        <v>18785</v>
      </c>
      <c r="F5" s="843">
        <f t="shared" si="1"/>
        <v>1692259</v>
      </c>
      <c r="G5" s="936">
        <f t="shared" si="2"/>
        <v>0.57092088149627218</v>
      </c>
      <c r="H5" s="936">
        <f t="shared" si="3"/>
        <v>0.42907911850372787</v>
      </c>
      <c r="I5" s="808">
        <v>992746</v>
      </c>
      <c r="J5" s="2141">
        <f t="shared" si="4"/>
        <v>736925</v>
      </c>
      <c r="K5" s="810">
        <v>718099</v>
      </c>
      <c r="L5" s="810">
        <v>18826</v>
      </c>
      <c r="M5" s="2186">
        <f t="shared" si="5"/>
        <v>1729671</v>
      </c>
      <c r="N5" s="2187">
        <f t="shared" si="6"/>
        <v>0.57395076867219252</v>
      </c>
      <c r="O5" s="2187">
        <f t="shared" si="7"/>
        <v>0.42604923132780742</v>
      </c>
      <c r="P5" s="809">
        <f t="shared" si="8"/>
        <v>1.0221077270086907</v>
      </c>
      <c r="Q5" s="809">
        <f t="shared" si="9"/>
        <v>1.0275320707222304</v>
      </c>
      <c r="R5" s="809">
        <f t="shared" si="9"/>
        <v>1.014890244355906</v>
      </c>
      <c r="S5" s="366"/>
      <c r="T5" s="31"/>
      <c r="U5" s="31"/>
      <c r="V5" s="31"/>
    </row>
    <row r="6" spans="1:33" ht="15.75">
      <c r="A6" s="183" t="s">
        <v>377</v>
      </c>
      <c r="B6" s="808">
        <v>1079602</v>
      </c>
      <c r="C6" s="2141">
        <f t="shared" si="0"/>
        <v>1008697</v>
      </c>
      <c r="D6" s="808">
        <v>962409</v>
      </c>
      <c r="E6" s="808">
        <v>46288</v>
      </c>
      <c r="F6" s="843">
        <f t="shared" si="1"/>
        <v>2088299</v>
      </c>
      <c r="G6" s="936">
        <f t="shared" si="2"/>
        <v>0.51697673561113611</v>
      </c>
      <c r="H6" s="936">
        <f t="shared" si="3"/>
        <v>0.48302326438886384</v>
      </c>
      <c r="I6" s="808">
        <v>1084705</v>
      </c>
      <c r="J6" s="2141">
        <f t="shared" si="4"/>
        <v>1011527</v>
      </c>
      <c r="K6" s="810">
        <v>965195</v>
      </c>
      <c r="L6" s="810">
        <v>46332</v>
      </c>
      <c r="M6" s="2186">
        <f t="shared" si="5"/>
        <v>2096232</v>
      </c>
      <c r="N6" s="2187">
        <f t="shared" si="6"/>
        <v>0.51745465196600371</v>
      </c>
      <c r="O6" s="2187">
        <f t="shared" si="7"/>
        <v>0.48254534803399624</v>
      </c>
      <c r="P6" s="809">
        <f t="shared" si="8"/>
        <v>1.0037987855187405</v>
      </c>
      <c r="Q6" s="809">
        <f t="shared" si="9"/>
        <v>1.0047267418919195</v>
      </c>
      <c r="R6" s="809">
        <f t="shared" si="9"/>
        <v>1.0028055996994143</v>
      </c>
      <c r="S6" s="366"/>
      <c r="T6" s="31"/>
      <c r="U6" s="31"/>
      <c r="V6" s="31"/>
    </row>
    <row r="7" spans="1:33" ht="15.75">
      <c r="A7" s="183" t="s">
        <v>378</v>
      </c>
      <c r="B7" s="808">
        <v>1152861</v>
      </c>
      <c r="C7" s="2141">
        <f t="shared" si="0"/>
        <v>1211222</v>
      </c>
      <c r="D7" s="808">
        <v>1140803</v>
      </c>
      <c r="E7" s="808">
        <v>70419</v>
      </c>
      <c r="F7" s="843">
        <f t="shared" si="1"/>
        <v>2364083</v>
      </c>
      <c r="G7" s="936">
        <f t="shared" si="2"/>
        <v>0.487656736248262</v>
      </c>
      <c r="H7" s="936">
        <f t="shared" si="3"/>
        <v>0.512343263751738</v>
      </c>
      <c r="I7" s="810">
        <v>1183463</v>
      </c>
      <c r="J7" s="2141">
        <f t="shared" si="4"/>
        <v>1234529</v>
      </c>
      <c r="K7" s="810">
        <v>1163938</v>
      </c>
      <c r="L7" s="810">
        <v>70591</v>
      </c>
      <c r="M7" s="2186">
        <f t="shared" si="5"/>
        <v>2417992</v>
      </c>
      <c r="N7" s="2187">
        <f t="shared" si="6"/>
        <v>0.48944041171352098</v>
      </c>
      <c r="O7" s="2187">
        <f t="shared" si="7"/>
        <v>0.51055958828647907</v>
      </c>
      <c r="P7" s="809">
        <f t="shared" si="8"/>
        <v>1.0228033448910212</v>
      </c>
      <c r="Q7" s="809">
        <f t="shared" si="9"/>
        <v>1.0265443969394403</v>
      </c>
      <c r="R7" s="809">
        <f t="shared" si="9"/>
        <v>1.0192425500857811</v>
      </c>
      <c r="S7" s="366"/>
      <c r="T7" s="31"/>
      <c r="U7" s="31"/>
      <c r="V7" s="31"/>
    </row>
    <row r="8" spans="1:33" ht="15.75">
      <c r="A8" s="183" t="s">
        <v>1064</v>
      </c>
      <c r="B8" s="808">
        <v>1188345</v>
      </c>
      <c r="C8" s="2141">
        <f t="shared" si="0"/>
        <v>1329078</v>
      </c>
      <c r="D8" s="810">
        <v>1234019</v>
      </c>
      <c r="E8" s="810">
        <v>95059</v>
      </c>
      <c r="F8" s="843">
        <f t="shared" si="1"/>
        <v>2517423</v>
      </c>
      <c r="G8" s="936">
        <f t="shared" si="2"/>
        <v>0.47204820167290124</v>
      </c>
      <c r="H8" s="936">
        <f t="shared" si="3"/>
        <v>0.52795179832709882</v>
      </c>
      <c r="I8" s="810">
        <v>1224959</v>
      </c>
      <c r="J8" s="2141">
        <f t="shared" si="4"/>
        <v>1361984</v>
      </c>
      <c r="K8" s="810">
        <v>1266038</v>
      </c>
      <c r="L8" s="810">
        <v>95946</v>
      </c>
      <c r="M8" s="2186">
        <f t="shared" si="5"/>
        <v>2586943</v>
      </c>
      <c r="N8" s="2187">
        <f t="shared" si="6"/>
        <v>0.4735160380418123</v>
      </c>
      <c r="O8" s="2187">
        <f t="shared" si="7"/>
        <v>0.5264839619581877</v>
      </c>
      <c r="P8" s="809">
        <f t="shared" si="8"/>
        <v>1.0276155417663222</v>
      </c>
      <c r="Q8" s="809">
        <f t="shared" si="9"/>
        <v>1.0308109177048752</v>
      </c>
      <c r="R8" s="809">
        <f t="shared" si="9"/>
        <v>1.0247585168063875</v>
      </c>
      <c r="S8" s="366"/>
      <c r="T8" s="31"/>
      <c r="U8" s="31"/>
      <c r="V8" s="31"/>
    </row>
    <row r="9" spans="1:33" ht="15.75">
      <c r="A9" s="183" t="s">
        <v>1065</v>
      </c>
      <c r="B9" s="810">
        <v>1242830</v>
      </c>
      <c r="C9" s="2141">
        <f t="shared" si="0"/>
        <v>1445581</v>
      </c>
      <c r="D9" s="810">
        <v>1332478</v>
      </c>
      <c r="E9" s="810">
        <v>113103</v>
      </c>
      <c r="F9" s="843">
        <f t="shared" si="1"/>
        <v>2688411</v>
      </c>
      <c r="G9" s="936">
        <f t="shared" si="2"/>
        <v>0.46229166596922866</v>
      </c>
      <c r="H9" s="936">
        <f t="shared" si="3"/>
        <v>0.53770833403077134</v>
      </c>
      <c r="I9" s="810">
        <v>1270865</v>
      </c>
      <c r="J9" s="2141">
        <f t="shared" si="4"/>
        <v>1476870</v>
      </c>
      <c r="K9" s="810">
        <v>1362366</v>
      </c>
      <c r="L9" s="810">
        <v>114504</v>
      </c>
      <c r="M9" s="2186">
        <f t="shared" si="5"/>
        <v>2747735</v>
      </c>
      <c r="N9" s="2187">
        <f t="shared" si="6"/>
        <v>0.46251367035030672</v>
      </c>
      <c r="O9" s="2187">
        <f t="shared" si="7"/>
        <v>0.53748632964969334</v>
      </c>
      <c r="P9" s="809">
        <f t="shared" si="8"/>
        <v>1.0220665664587743</v>
      </c>
      <c r="Q9" s="809">
        <f t="shared" ref="Q9:R11" si="10">I9/B9</f>
        <v>1.0225573891843616</v>
      </c>
      <c r="R9" s="809">
        <f t="shared" si="10"/>
        <v>1.0216445844266078</v>
      </c>
      <c r="S9" s="366"/>
      <c r="T9" s="31"/>
      <c r="U9" s="31"/>
      <c r="V9" s="31"/>
    </row>
    <row r="10" spans="1:33" ht="15.75">
      <c r="A10" s="183" t="s">
        <v>1641</v>
      </c>
      <c r="B10" s="1723">
        <v>1297821</v>
      </c>
      <c r="C10" s="2142">
        <f>D10+E10</f>
        <v>1561485</v>
      </c>
      <c r="D10" s="1723">
        <v>1429474</v>
      </c>
      <c r="E10" s="1723">
        <v>132011</v>
      </c>
      <c r="F10" s="843">
        <f t="shared" si="1"/>
        <v>2859306</v>
      </c>
      <c r="G10" s="936">
        <f>B10/F10</f>
        <v>0.45389370707437399</v>
      </c>
      <c r="H10" s="936">
        <f>C10/F10</f>
        <v>0.54610629292562596</v>
      </c>
      <c r="I10" s="1723">
        <v>1353109</v>
      </c>
      <c r="J10" s="2141">
        <f t="shared" si="4"/>
        <v>1612217</v>
      </c>
      <c r="K10" s="1723">
        <v>1478208</v>
      </c>
      <c r="L10" s="1723">
        <v>134009</v>
      </c>
      <c r="M10" s="2186">
        <f t="shared" si="5"/>
        <v>2965326</v>
      </c>
      <c r="N10" s="2187">
        <f>I10/M10</f>
        <v>0.45631036857330359</v>
      </c>
      <c r="O10" s="2187">
        <f>J10/M10</f>
        <v>0.54368963142669646</v>
      </c>
      <c r="P10" s="809">
        <f>M10/F10</f>
        <v>1.0370789275439565</v>
      </c>
      <c r="Q10" s="809">
        <f t="shared" si="10"/>
        <v>1.0426006359890925</v>
      </c>
      <c r="R10" s="809">
        <f t="shared" si="10"/>
        <v>1.0324895852345684</v>
      </c>
      <c r="S10" s="366"/>
      <c r="T10" s="31"/>
      <c r="U10" s="31"/>
      <c r="V10" s="31"/>
    </row>
    <row r="11" spans="1:33" ht="15.75">
      <c r="A11" s="183" t="s">
        <v>1936</v>
      </c>
      <c r="B11" s="1723">
        <v>1422986</v>
      </c>
      <c r="C11" s="2142">
        <f>D11+E11</f>
        <v>1718613</v>
      </c>
      <c r="D11" s="1723">
        <v>1568541</v>
      </c>
      <c r="E11" s="1723">
        <v>150072</v>
      </c>
      <c r="F11" s="843">
        <f t="shared" si="1"/>
        <v>3141599</v>
      </c>
      <c r="G11" s="936">
        <f>B11/F11</f>
        <v>0.45294959668627344</v>
      </c>
      <c r="H11" s="936">
        <f>C11/F11</f>
        <v>0.54705040331372656</v>
      </c>
      <c r="I11" s="1723">
        <v>1451773</v>
      </c>
      <c r="J11" s="2141">
        <f t="shared" si="4"/>
        <v>1773174</v>
      </c>
      <c r="K11" s="1723">
        <v>1621827</v>
      </c>
      <c r="L11" s="1723">
        <v>151347</v>
      </c>
      <c r="M11" s="2186">
        <f>+L11+K11+I11</f>
        <v>3224947</v>
      </c>
      <c r="N11" s="2187">
        <f>I11/M11</f>
        <v>0.45016956867818292</v>
      </c>
      <c r="O11" s="2187">
        <f>J11/M11</f>
        <v>0.54983043132181708</v>
      </c>
      <c r="P11" s="809">
        <f>M11/F11</f>
        <v>1.026530438798841</v>
      </c>
      <c r="Q11" s="809">
        <f t="shared" si="10"/>
        <v>1.0202299952353713</v>
      </c>
      <c r="R11" s="809">
        <f t="shared" si="10"/>
        <v>1.0317471123516464</v>
      </c>
      <c r="S11" s="366"/>
      <c r="T11" s="31"/>
      <c r="U11" s="31"/>
      <c r="V11" s="31"/>
    </row>
    <row r="12" spans="1:33" ht="18" customHeight="1">
      <c r="A12" s="2264" t="s">
        <v>36</v>
      </c>
      <c r="B12" s="2265"/>
      <c r="C12" s="2265"/>
      <c r="D12" s="2265"/>
      <c r="E12" s="2265"/>
      <c r="F12" s="2265"/>
      <c r="G12" s="2265"/>
      <c r="H12" s="2265"/>
      <c r="I12" s="2265"/>
      <c r="J12" s="2265"/>
      <c r="K12" s="39"/>
      <c r="L12" s="39"/>
      <c r="M12" s="39"/>
      <c r="N12" s="39"/>
      <c r="O12" s="39"/>
      <c r="P12" s="39"/>
      <c r="Q12" s="90"/>
      <c r="R12" s="90"/>
      <c r="S12" s="366"/>
      <c r="T12" s="31"/>
      <c r="U12" s="31"/>
      <c r="V12" s="31"/>
    </row>
    <row r="13" spans="1:33" ht="18" customHeight="1">
      <c r="A13" s="39"/>
      <c r="B13" s="39"/>
      <c r="C13" s="39"/>
      <c r="D13" s="39"/>
      <c r="E13" s="39"/>
      <c r="F13" s="39"/>
      <c r="G13" s="39"/>
      <c r="H13" s="39"/>
      <c r="I13" s="39"/>
      <c r="J13" s="39"/>
      <c r="K13" s="39"/>
      <c r="L13" s="39"/>
      <c r="M13" s="39"/>
      <c r="N13" s="39"/>
      <c r="O13" s="39"/>
      <c r="P13" s="39"/>
      <c r="Q13" s="90"/>
      <c r="R13" s="90"/>
      <c r="S13" s="31"/>
      <c r="T13" s="31"/>
      <c r="U13" s="31"/>
      <c r="V13" s="31"/>
    </row>
    <row r="14" spans="1:33" ht="25.5" customHeight="1">
      <c r="A14" s="39"/>
      <c r="B14" s="39"/>
      <c r="C14" s="39"/>
      <c r="D14" s="39"/>
      <c r="E14" s="39"/>
      <c r="F14" s="39"/>
      <c r="G14" s="39"/>
      <c r="H14" s="39"/>
      <c r="I14" s="39"/>
      <c r="J14" s="39"/>
      <c r="K14" s="39"/>
      <c r="L14" s="39"/>
      <c r="M14" s="39"/>
      <c r="N14" s="39"/>
      <c r="O14" s="39"/>
      <c r="P14" s="39"/>
      <c r="Q14" s="90"/>
      <c r="R14" s="90"/>
      <c r="S14" s="31"/>
      <c r="T14" s="31"/>
      <c r="U14" s="31"/>
      <c r="V14" s="31"/>
    </row>
    <row r="15" spans="1:33" ht="25.5" customHeight="1">
      <c r="A15" s="39"/>
      <c r="B15" s="39"/>
      <c r="C15" s="39"/>
      <c r="D15" s="39"/>
      <c r="E15" s="39"/>
      <c r="F15" s="39"/>
      <c r="G15" s="39"/>
      <c r="H15" s="39"/>
      <c r="I15" s="39"/>
      <c r="J15" s="39"/>
      <c r="K15" s="39"/>
      <c r="L15" s="39"/>
      <c r="M15" s="39"/>
      <c r="N15" s="39"/>
      <c r="O15" s="39"/>
      <c r="P15" s="39"/>
      <c r="Q15" s="39"/>
      <c r="R15" s="39"/>
      <c r="S15" s="39"/>
      <c r="T15" s="39"/>
      <c r="U15" s="39"/>
      <c r="V15" s="39"/>
    </row>
    <row r="16" spans="1:33" ht="25.5" customHeight="1">
      <c r="A16" s="39"/>
      <c r="B16" s="39"/>
      <c r="C16" s="39"/>
      <c r="D16" s="39"/>
      <c r="E16" s="39"/>
      <c r="F16" s="39"/>
      <c r="G16" s="39"/>
      <c r="H16" s="39"/>
      <c r="I16" s="39"/>
      <c r="J16" s="39"/>
      <c r="K16" s="39"/>
      <c r="L16" s="39"/>
      <c r="M16" s="39"/>
      <c r="N16" s="39"/>
      <c r="O16" s="39"/>
      <c r="P16" s="39"/>
      <c r="Q16" s="39"/>
      <c r="R16" s="39"/>
      <c r="S16" s="39"/>
      <c r="T16" s="39"/>
      <c r="U16" s="39"/>
      <c r="V16" s="39"/>
      <c r="AG16" s="128" t="s">
        <v>36</v>
      </c>
    </row>
    <row r="17" spans="1:23" ht="25.5" customHeight="1">
      <c r="A17" s="39"/>
      <c r="B17" s="39"/>
      <c r="C17" s="39"/>
      <c r="D17" s="39"/>
      <c r="E17" s="39"/>
      <c r="F17" s="39"/>
      <c r="G17" s="39"/>
      <c r="H17" s="39"/>
      <c r="I17" s="39"/>
      <c r="J17" s="39"/>
      <c r="K17" s="39"/>
      <c r="L17" s="39"/>
      <c r="M17" s="39"/>
      <c r="N17" s="39"/>
      <c r="O17" s="39"/>
      <c r="P17" s="39"/>
      <c r="Q17" s="39"/>
      <c r="R17" s="39"/>
      <c r="S17" s="39"/>
      <c r="T17" s="39"/>
      <c r="U17" s="39"/>
      <c r="V17" s="39"/>
    </row>
    <row r="18" spans="1:23" ht="25.5" customHeight="1">
      <c r="A18" s="39"/>
      <c r="B18" s="39"/>
      <c r="C18" s="39"/>
      <c r="D18" s="39"/>
      <c r="E18" s="39"/>
      <c r="F18" s="39"/>
      <c r="G18" s="39"/>
      <c r="H18" s="39"/>
      <c r="I18" s="39"/>
      <c r="J18" s="39"/>
      <c r="K18" s="39"/>
      <c r="L18" s="39"/>
      <c r="M18" s="39"/>
      <c r="N18" s="39"/>
      <c r="O18" s="39"/>
      <c r="P18" s="39"/>
      <c r="Q18" s="39"/>
      <c r="R18" s="39"/>
      <c r="S18" s="39"/>
      <c r="T18" s="39"/>
      <c r="U18" s="39"/>
      <c r="V18" s="39"/>
    </row>
    <row r="19" spans="1:23" ht="25.5" customHeight="1">
      <c r="A19" s="39"/>
      <c r="B19" s="39"/>
      <c r="C19" s="39"/>
      <c r="D19" s="39"/>
      <c r="E19" s="39"/>
      <c r="F19" s="39"/>
      <c r="G19" s="39"/>
      <c r="H19" s="39"/>
      <c r="I19" s="39"/>
      <c r="J19" s="39"/>
      <c r="K19" s="39"/>
      <c r="L19" s="39"/>
      <c r="M19" s="39"/>
      <c r="N19" s="39"/>
      <c r="O19" s="39"/>
      <c r="P19" s="39"/>
      <c r="Q19" s="39"/>
      <c r="R19" s="39"/>
      <c r="S19" s="39"/>
      <c r="T19" s="39"/>
      <c r="U19" s="39"/>
      <c r="V19" s="39"/>
    </row>
    <row r="20" spans="1:23" ht="25.5" customHeight="1">
      <c r="A20" s="39"/>
      <c r="B20" s="39"/>
      <c r="C20" s="39"/>
      <c r="D20" s="39"/>
      <c r="E20" s="39"/>
      <c r="F20" s="39"/>
      <c r="G20" s="39"/>
      <c r="H20" s="39"/>
      <c r="I20" s="39"/>
      <c r="J20" s="39"/>
      <c r="K20" s="39"/>
      <c r="L20" s="39"/>
      <c r="M20" s="39"/>
      <c r="N20" s="39"/>
      <c r="O20" s="39"/>
      <c r="P20" s="39"/>
      <c r="Q20" s="39"/>
      <c r="R20" s="39"/>
      <c r="S20" s="39"/>
      <c r="T20" s="39"/>
      <c r="U20" s="39"/>
      <c r="V20" s="39"/>
    </row>
    <row r="21" spans="1:23" ht="25.5" customHeight="1">
      <c r="A21" s="39"/>
      <c r="B21" s="39"/>
      <c r="C21" s="39"/>
      <c r="D21" s="39"/>
      <c r="E21" s="39"/>
      <c r="F21" s="39"/>
      <c r="G21" s="39"/>
      <c r="H21" s="39"/>
      <c r="I21" s="39"/>
      <c r="J21" s="39"/>
      <c r="K21" s="39"/>
      <c r="L21" s="39"/>
      <c r="M21" s="39"/>
      <c r="N21" s="39"/>
      <c r="O21" s="39"/>
      <c r="P21" s="39"/>
      <c r="Q21" s="39"/>
      <c r="R21" s="39"/>
      <c r="S21" s="39"/>
      <c r="T21" s="39"/>
      <c r="U21" s="39"/>
      <c r="V21" s="39"/>
    </row>
    <row r="22" spans="1:23" ht="25.5" customHeight="1">
      <c r="A22" s="39"/>
      <c r="B22" s="39"/>
      <c r="C22" s="39"/>
      <c r="D22" s="39"/>
      <c r="E22" s="39"/>
      <c r="F22" s="39"/>
      <c r="G22" s="39"/>
      <c r="H22" s="39"/>
      <c r="I22" s="39"/>
      <c r="J22" s="39"/>
      <c r="K22" s="39"/>
      <c r="L22" s="39"/>
      <c r="M22" s="39"/>
      <c r="N22" s="39"/>
      <c r="O22" s="39"/>
      <c r="P22" s="39"/>
      <c r="Q22" s="39"/>
      <c r="R22" s="39"/>
      <c r="S22" s="39"/>
      <c r="T22" s="39"/>
      <c r="U22" s="39"/>
      <c r="V22" s="39"/>
    </row>
    <row r="23" spans="1:23" ht="25.5" customHeight="1">
      <c r="A23" s="39"/>
      <c r="B23" s="39"/>
      <c r="C23" s="39"/>
      <c r="D23" s="39"/>
      <c r="E23" s="39"/>
      <c r="F23" s="39"/>
      <c r="G23" s="39"/>
      <c r="H23" s="39"/>
      <c r="I23" s="39"/>
      <c r="J23" s="39"/>
      <c r="K23" s="39"/>
      <c r="L23" s="39"/>
      <c r="M23" s="39"/>
      <c r="N23" s="39"/>
      <c r="O23" s="39"/>
      <c r="P23" s="39"/>
      <c r="Q23" s="39"/>
      <c r="R23" s="39"/>
      <c r="S23" s="39"/>
      <c r="T23" s="39"/>
      <c r="U23" s="39"/>
      <c r="V23" s="39"/>
    </row>
    <row r="24" spans="1:23" ht="25.5" customHeight="1">
      <c r="A24" s="39"/>
      <c r="B24" s="39"/>
      <c r="C24" s="39"/>
      <c r="D24" s="39"/>
      <c r="E24" s="39"/>
      <c r="F24" s="39"/>
      <c r="G24" s="39"/>
      <c r="H24" s="39"/>
      <c r="I24" s="39"/>
      <c r="J24" s="39"/>
      <c r="K24" s="39"/>
      <c r="L24" s="39"/>
      <c r="M24" s="39"/>
      <c r="N24" s="39"/>
      <c r="O24" s="39"/>
      <c r="P24" s="39"/>
      <c r="Q24" s="39"/>
      <c r="R24" s="39"/>
      <c r="S24" s="39"/>
      <c r="T24" s="39"/>
      <c r="U24" s="39"/>
      <c r="V24" s="39"/>
    </row>
    <row r="25" spans="1:23" ht="25.5" customHeight="1">
      <c r="A25" s="39"/>
      <c r="B25" s="39"/>
      <c r="C25" s="39"/>
      <c r="D25" s="39"/>
      <c r="E25" s="39"/>
      <c r="F25" s="39"/>
      <c r="G25" s="39"/>
      <c r="H25" s="39"/>
      <c r="I25" s="39"/>
      <c r="J25" s="39"/>
      <c r="K25" s="39"/>
      <c r="L25" s="39"/>
      <c r="M25" s="39"/>
      <c r="N25" s="39"/>
      <c r="O25" s="39"/>
      <c r="P25" s="39"/>
      <c r="Q25" s="39"/>
      <c r="R25" s="39"/>
      <c r="S25" s="39"/>
      <c r="T25" s="39"/>
      <c r="U25" s="39"/>
      <c r="V25" s="39"/>
    </row>
    <row r="26" spans="1:23" ht="25.5" customHeight="1">
      <c r="A26" s="39"/>
      <c r="B26" s="39"/>
      <c r="C26" s="39"/>
      <c r="D26" s="39"/>
      <c r="E26" s="39"/>
      <c r="F26" s="39"/>
      <c r="G26" s="39"/>
      <c r="H26" s="39"/>
      <c r="I26" s="39"/>
      <c r="J26" s="39"/>
      <c r="K26" s="39"/>
      <c r="L26" s="39"/>
      <c r="M26" s="39"/>
      <c r="N26" s="39"/>
      <c r="O26" s="39"/>
      <c r="P26" s="39"/>
      <c r="Q26" s="39"/>
      <c r="R26" s="39"/>
      <c r="S26" s="39"/>
      <c r="T26" s="39"/>
      <c r="U26" s="39"/>
      <c r="V26" s="39"/>
    </row>
    <row r="27" spans="1:23" ht="25.5" customHeight="1">
      <c r="A27" s="39"/>
      <c r="B27" s="39"/>
      <c r="C27" s="39"/>
      <c r="D27" s="39"/>
      <c r="E27" s="39"/>
      <c r="F27" s="39"/>
      <c r="G27" s="39"/>
      <c r="H27" s="39"/>
      <c r="I27" s="39"/>
      <c r="J27" s="39"/>
      <c r="K27" s="39"/>
      <c r="L27" s="39"/>
      <c r="M27" s="39"/>
      <c r="N27" s="39"/>
      <c r="O27" s="39"/>
      <c r="P27" s="39"/>
      <c r="Q27" s="39"/>
      <c r="R27" s="39"/>
      <c r="S27" s="39"/>
      <c r="T27" s="39"/>
      <c r="U27" s="39"/>
      <c r="V27" s="39"/>
    </row>
    <row r="28" spans="1:23" ht="25.5" customHeight="1">
      <c r="A28" s="39"/>
      <c r="B28" s="39"/>
      <c r="C28" s="39"/>
      <c r="D28" s="39"/>
      <c r="E28" s="39"/>
      <c r="F28" s="39"/>
      <c r="G28" s="39"/>
      <c r="H28" s="39"/>
      <c r="I28" s="39"/>
      <c r="J28" s="39"/>
      <c r="K28" s="39"/>
      <c r="L28" s="39"/>
      <c r="M28" s="39"/>
      <c r="N28" s="39"/>
      <c r="O28" s="39"/>
      <c r="P28" s="39"/>
      <c r="Q28" s="39"/>
      <c r="R28" s="39"/>
      <c r="S28" s="39"/>
      <c r="T28" s="39"/>
      <c r="U28" s="39"/>
      <c r="V28" s="39"/>
      <c r="W28" s="128" t="s">
        <v>36</v>
      </c>
    </row>
    <row r="29" spans="1:23" ht="25.5" customHeight="1">
      <c r="A29" s="39"/>
      <c r="B29" s="39"/>
      <c r="C29" s="39"/>
      <c r="D29" s="39"/>
      <c r="E29" s="39"/>
      <c r="F29" s="39"/>
      <c r="G29" s="39"/>
      <c r="H29" s="39"/>
      <c r="I29" s="39"/>
      <c r="J29" s="39"/>
      <c r="K29" s="39"/>
      <c r="L29" s="39"/>
      <c r="M29" s="39"/>
      <c r="N29" s="39"/>
      <c r="O29" s="39"/>
      <c r="P29" s="39"/>
      <c r="Q29" s="39"/>
      <c r="R29" s="39"/>
      <c r="S29" s="39"/>
      <c r="T29" s="39"/>
      <c r="U29" s="39"/>
      <c r="V29" s="39"/>
    </row>
    <row r="30" spans="1:23" ht="25.5" customHeight="1">
      <c r="A30" s="39"/>
      <c r="B30" s="39"/>
      <c r="C30" s="39"/>
      <c r="D30" s="39"/>
      <c r="E30" s="39"/>
      <c r="F30" s="39"/>
      <c r="G30" s="39"/>
      <c r="H30" s="39"/>
      <c r="I30" s="39"/>
      <c r="J30" s="39"/>
      <c r="K30" s="39"/>
      <c r="L30" s="39"/>
      <c r="M30" s="39"/>
      <c r="N30" s="39"/>
      <c r="O30" s="39"/>
      <c r="P30" s="39"/>
      <c r="Q30" s="39"/>
      <c r="R30" s="39"/>
      <c r="S30" s="39"/>
      <c r="T30" s="39"/>
      <c r="U30" s="39"/>
      <c r="V30" s="39"/>
    </row>
    <row r="31" spans="1:23" ht="25.5" customHeight="1">
      <c r="A31" s="39"/>
      <c r="B31" s="39"/>
      <c r="C31" s="39"/>
      <c r="D31" s="39"/>
      <c r="E31" s="39"/>
      <c r="F31" s="39"/>
      <c r="G31" s="39"/>
      <c r="H31" s="39"/>
      <c r="I31" s="39"/>
      <c r="J31" s="39"/>
      <c r="K31" s="39"/>
      <c r="L31" s="39"/>
      <c r="M31" s="39"/>
      <c r="N31" s="39"/>
      <c r="O31" s="39"/>
      <c r="P31" s="39"/>
      <c r="Q31" s="39"/>
      <c r="R31" s="39"/>
      <c r="S31" s="39"/>
      <c r="T31" s="39"/>
      <c r="U31" s="39"/>
      <c r="V31" s="39"/>
    </row>
    <row r="32" spans="1:23" ht="25.5" customHeight="1">
      <c r="A32" s="39"/>
      <c r="B32" s="39"/>
      <c r="C32" s="39"/>
      <c r="D32" s="39"/>
      <c r="E32" s="39"/>
      <c r="F32" s="39"/>
      <c r="G32" s="39"/>
      <c r="H32" s="39"/>
      <c r="I32" s="39"/>
      <c r="J32" s="39"/>
      <c r="K32" s="39"/>
      <c r="L32" s="39"/>
      <c r="M32" s="39"/>
      <c r="N32" s="39"/>
      <c r="O32" s="39"/>
      <c r="P32" s="39"/>
      <c r="Q32" s="39"/>
      <c r="R32" s="39"/>
      <c r="S32" s="39"/>
      <c r="T32" s="39"/>
      <c r="U32" s="39"/>
      <c r="V32" s="39"/>
    </row>
    <row r="33" spans="1:30" ht="25.5" customHeight="1">
      <c r="A33" s="39"/>
      <c r="B33" s="39"/>
      <c r="C33" s="39"/>
      <c r="D33" s="39"/>
      <c r="E33" s="39"/>
      <c r="F33" s="39"/>
      <c r="G33" s="39"/>
      <c r="H33" s="39"/>
      <c r="I33" s="39"/>
      <c r="J33" s="39"/>
      <c r="K33" s="39"/>
      <c r="L33" s="39"/>
      <c r="M33" s="39"/>
      <c r="N33" s="39"/>
      <c r="O33" s="39"/>
      <c r="P33" s="39"/>
      <c r="Q33" s="39"/>
      <c r="R33" s="39"/>
      <c r="S33" s="39" t="s">
        <v>252</v>
      </c>
      <c r="T33" s="39"/>
      <c r="U33" s="39"/>
      <c r="V33" s="39"/>
    </row>
    <row r="34" spans="1:30" ht="25.5" customHeight="1">
      <c r="A34" s="39"/>
      <c r="B34" s="39"/>
      <c r="C34" s="39"/>
      <c r="D34" s="39"/>
      <c r="E34" s="39"/>
      <c r="F34" s="39"/>
      <c r="G34" s="39"/>
      <c r="H34" s="39"/>
      <c r="I34" s="39"/>
      <c r="J34" s="39"/>
      <c r="K34" s="39"/>
      <c r="L34" s="39"/>
      <c r="M34" s="39"/>
      <c r="N34" s="39"/>
      <c r="O34" s="39"/>
      <c r="P34" s="39"/>
      <c r="Q34" s="39"/>
      <c r="R34" s="39"/>
      <c r="S34" s="39"/>
      <c r="T34" s="39"/>
      <c r="U34" s="39"/>
      <c r="V34" s="39"/>
    </row>
    <row r="35" spans="1:30" ht="25.5" customHeight="1">
      <c r="A35" s="39"/>
      <c r="B35" s="39"/>
      <c r="C35" s="39"/>
      <c r="D35" s="39"/>
      <c r="E35" s="39"/>
      <c r="F35" s="39"/>
      <c r="G35" s="39"/>
      <c r="H35" s="39"/>
      <c r="I35" s="39"/>
      <c r="J35" s="39"/>
      <c r="K35" s="39"/>
      <c r="L35" s="39"/>
      <c r="M35" s="39"/>
      <c r="N35" s="39"/>
      <c r="O35" s="39"/>
      <c r="P35" s="39"/>
      <c r="Q35" s="39"/>
      <c r="R35" s="39"/>
      <c r="S35" s="39"/>
      <c r="T35" s="39"/>
      <c r="U35" s="39"/>
      <c r="V35" s="39"/>
    </row>
    <row r="36" spans="1:30">
      <c r="S36" s="149"/>
      <c r="T36" s="149"/>
      <c r="U36" s="149"/>
      <c r="V36" s="149"/>
      <c r="W36" s="151"/>
      <c r="X36" s="151"/>
      <c r="Y36" s="151"/>
      <c r="Z36" s="151"/>
      <c r="AA36" s="151"/>
      <c r="AB36" s="151"/>
    </row>
    <row r="37" spans="1:30">
      <c r="S37" s="149"/>
      <c r="T37" s="149"/>
      <c r="U37" s="149"/>
      <c r="V37" s="149"/>
      <c r="W37" s="151"/>
      <c r="X37" s="151"/>
      <c r="Y37" s="151"/>
      <c r="Z37" s="151"/>
      <c r="AA37" s="151"/>
      <c r="AB37" s="151"/>
    </row>
    <row r="38" spans="1:30">
      <c r="S38" s="149"/>
      <c r="T38" s="149"/>
      <c r="U38" s="149"/>
      <c r="V38" s="149"/>
      <c r="W38" s="151"/>
      <c r="X38" s="151"/>
      <c r="Y38" s="151"/>
      <c r="Z38" s="151"/>
      <c r="AA38" s="151"/>
      <c r="AB38" s="151"/>
    </row>
    <row r="39" spans="1:30">
      <c r="S39" s="149"/>
      <c r="T39" s="149"/>
      <c r="U39" s="149"/>
      <c r="V39" s="149"/>
      <c r="W39" s="151"/>
      <c r="X39" s="151"/>
      <c r="Y39" s="151"/>
      <c r="Z39" s="151"/>
      <c r="AA39" s="151"/>
      <c r="AB39" s="151"/>
    </row>
    <row r="40" spans="1:30" ht="51" customHeight="1">
      <c r="S40" s="149"/>
      <c r="T40" s="149"/>
      <c r="U40" s="149"/>
      <c r="V40" s="149"/>
      <c r="W40" s="151"/>
      <c r="X40" s="151"/>
      <c r="Y40" s="151"/>
      <c r="Z40" s="151"/>
      <c r="AA40" s="151"/>
      <c r="AB40" s="151"/>
    </row>
    <row r="41" spans="1:30" ht="78" customHeight="1">
      <c r="A41" s="2199"/>
      <c r="B41" s="2199"/>
      <c r="C41" s="2199"/>
      <c r="D41" s="2199"/>
      <c r="E41" s="2199"/>
      <c r="F41" s="2199"/>
      <c r="G41" s="2199"/>
      <c r="H41" s="2199"/>
      <c r="I41" s="2199"/>
      <c r="J41" s="2199"/>
      <c r="K41" s="2199"/>
      <c r="L41" s="2199"/>
      <c r="M41" s="2199"/>
      <c r="N41" s="2199"/>
      <c r="O41" s="2199"/>
      <c r="P41" s="2199"/>
      <c r="Q41" s="2199"/>
      <c r="R41" s="2199"/>
      <c r="S41" s="2199"/>
      <c r="T41" s="2199"/>
      <c r="U41" s="2199"/>
      <c r="V41" s="2199"/>
      <c r="W41" s="2199"/>
      <c r="X41" s="2199"/>
      <c r="Y41" s="2199"/>
      <c r="Z41" s="151"/>
      <c r="AA41" s="151"/>
      <c r="AB41" s="151"/>
    </row>
    <row r="42" spans="1:30">
      <c r="S42" s="151"/>
      <c r="T42" s="151"/>
      <c r="U42" s="151"/>
      <c r="V42" s="151"/>
      <c r="W42" s="151"/>
    </row>
    <row r="43" spans="1:30">
      <c r="S43" s="151"/>
      <c r="T43" s="151"/>
      <c r="U43" s="151"/>
      <c r="V43" s="151"/>
      <c r="W43" s="151"/>
    </row>
    <row r="44" spans="1:30">
      <c r="S44" s="151"/>
      <c r="T44" s="151"/>
      <c r="U44" s="151"/>
      <c r="V44" s="151"/>
      <c r="W44" s="151"/>
    </row>
    <row r="45" spans="1:30">
      <c r="S45" s="151"/>
      <c r="T45" s="151"/>
      <c r="U45" s="151"/>
      <c r="V45" s="151"/>
      <c r="W45" s="151"/>
    </row>
    <row r="46" spans="1:30">
      <c r="S46" s="151"/>
      <c r="T46" s="151"/>
      <c r="U46" s="151"/>
      <c r="V46" s="151"/>
      <c r="W46" s="151"/>
    </row>
    <row r="47" spans="1:30">
      <c r="S47" s="151"/>
      <c r="T47" s="151"/>
      <c r="U47" s="151"/>
      <c r="V47" s="151"/>
      <c r="W47" s="151"/>
      <c r="X47" s="151"/>
      <c r="Y47" s="151"/>
      <c r="Z47" s="151"/>
      <c r="AA47" s="151"/>
      <c r="AB47" s="151"/>
      <c r="AC47" s="151"/>
      <c r="AD47" s="151"/>
    </row>
    <row r="48" spans="1:30">
      <c r="S48" s="151"/>
      <c r="T48" s="151"/>
      <c r="U48" s="151"/>
      <c r="V48" s="151"/>
      <c r="W48" s="151"/>
      <c r="X48" s="151"/>
      <c r="Y48" s="151"/>
      <c r="Z48" s="151"/>
      <c r="AA48" s="151"/>
      <c r="AB48" s="151"/>
      <c r="AC48" s="151"/>
      <c r="AD48" s="151"/>
    </row>
    <row r="49" spans="2:30">
      <c r="S49" s="151"/>
      <c r="T49" s="151"/>
      <c r="U49" s="151"/>
      <c r="V49" s="151"/>
      <c r="W49" s="151"/>
      <c r="X49" s="151"/>
      <c r="Y49" s="151"/>
      <c r="Z49" s="151"/>
      <c r="AA49" s="151"/>
      <c r="AB49" s="151"/>
      <c r="AC49" s="151"/>
      <c r="AD49" s="151"/>
    </row>
    <row r="50" spans="2:30">
      <c r="S50" s="151"/>
      <c r="T50" s="151"/>
      <c r="U50" s="151"/>
      <c r="V50" s="151"/>
      <c r="W50" s="151"/>
      <c r="X50" s="151"/>
      <c r="Y50" s="151"/>
      <c r="Z50" s="151"/>
      <c r="AA50" s="151"/>
      <c r="AB50" s="151"/>
      <c r="AC50" s="151"/>
      <c r="AD50" s="151"/>
    </row>
    <row r="51" spans="2:30">
      <c r="S51" s="151"/>
      <c r="T51" s="151"/>
      <c r="U51" s="151"/>
      <c r="V51" s="151"/>
      <c r="W51" s="151"/>
      <c r="X51" s="151"/>
      <c r="Y51" s="151"/>
      <c r="Z51" s="151"/>
      <c r="AA51" s="151"/>
      <c r="AB51" s="151"/>
      <c r="AC51" s="151"/>
      <c r="AD51" s="151"/>
    </row>
    <row r="52" spans="2:30">
      <c r="S52" s="151"/>
      <c r="T52" s="151"/>
      <c r="U52" s="151"/>
      <c r="V52" s="151"/>
      <c r="W52" s="151"/>
      <c r="X52" s="151"/>
      <c r="Y52" s="151"/>
      <c r="Z52" s="151"/>
      <c r="AA52" s="151"/>
      <c r="AB52" s="151"/>
      <c r="AC52" s="151"/>
      <c r="AD52" s="151"/>
    </row>
    <row r="53" spans="2:30">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row>
    <row r="72" spans="24:24">
      <c r="X72" s="151"/>
    </row>
    <row r="73" spans="24:24">
      <c r="X73" s="151"/>
    </row>
    <row r="74" spans="24:24">
      <c r="X74" s="151"/>
    </row>
    <row r="75" spans="24:24">
      <c r="X75" s="151"/>
    </row>
    <row r="76" spans="24:24">
      <c r="X76" s="151"/>
    </row>
    <row r="77" spans="24:24">
      <c r="X77" s="151"/>
    </row>
    <row r="78" spans="24:24">
      <c r="X78" s="151"/>
    </row>
    <row r="79" spans="24:24">
      <c r="X79" s="151"/>
    </row>
    <row r="89" spans="24:24">
      <c r="X89" s="151"/>
    </row>
    <row r="90" spans="24:24">
      <c r="X90" s="151"/>
    </row>
    <row r="91" spans="24:24">
      <c r="X91" s="151"/>
    </row>
    <row r="92" spans="24:24">
      <c r="X92" s="151"/>
    </row>
  </sheetData>
  <mergeCells count="3">
    <mergeCell ref="A41:Y41"/>
    <mergeCell ref="A1:R1"/>
    <mergeCell ref="A12:J1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pageSetUpPr fitToPage="1"/>
  </sheetPr>
  <dimension ref="A1:Y88"/>
  <sheetViews>
    <sheetView showGridLines="0" view="pageBreakPreview" zoomScale="60" zoomScaleNormal="100" zoomScalePageLayoutView="62" workbookViewId="0">
      <pane xSplit="18870" topLeftCell="P1"/>
      <selection activeCell="L19" sqref="L19"/>
      <selection pane="topRight" activeCell="P1" sqref="P1"/>
    </sheetView>
  </sheetViews>
  <sheetFormatPr baseColWidth="10" defaultColWidth="11.42578125" defaultRowHeight="15"/>
  <cols>
    <col min="1" max="1" width="14.85546875" style="128" customWidth="1"/>
    <col min="2" max="2" width="16" style="128" customWidth="1"/>
    <col min="3" max="3" width="19.5703125" style="128" customWidth="1"/>
    <col min="4" max="4" width="19.42578125" style="128" customWidth="1"/>
    <col min="5" max="5" width="18.5703125" style="128" customWidth="1"/>
    <col min="6" max="6" width="19.7109375" style="128" customWidth="1"/>
    <col min="7" max="7" width="19" style="128" customWidth="1"/>
    <col min="8" max="8" width="25.42578125" style="128" customWidth="1"/>
    <col min="9" max="9" width="18" style="128" bestFit="1" customWidth="1"/>
    <col min="10" max="10" width="17.42578125" style="128" customWidth="1"/>
    <col min="11" max="11" width="24.7109375" style="128" customWidth="1"/>
    <col min="12" max="12" width="20.42578125" style="128" customWidth="1"/>
    <col min="13" max="13" width="14.7109375" style="128" customWidth="1"/>
    <col min="14" max="14" width="13" style="128" customWidth="1"/>
    <col min="15" max="18" width="11.42578125" style="128"/>
    <col min="19" max="19" width="18.7109375" style="128" bestFit="1" customWidth="1"/>
    <col min="20" max="16384" width="11.42578125" style="128"/>
  </cols>
  <sheetData>
    <row r="1" spans="1:25" ht="74.25" customHeight="1" thickBot="1">
      <c r="A1" s="2266" t="s">
        <v>750</v>
      </c>
      <c r="B1" s="2267"/>
      <c r="C1" s="2267"/>
      <c r="D1" s="2267"/>
      <c r="E1" s="2267"/>
      <c r="F1" s="2267"/>
      <c r="G1" s="2267"/>
      <c r="H1" s="2267"/>
      <c r="I1" s="2267"/>
      <c r="J1" s="2267"/>
      <c r="K1" s="2267"/>
    </row>
    <row r="2" spans="1:25" ht="108" customHeight="1" thickBot="1">
      <c r="A2" s="402" t="s">
        <v>495</v>
      </c>
      <c r="B2" s="396" t="s">
        <v>479</v>
      </c>
      <c r="C2" s="397" t="s">
        <v>480</v>
      </c>
      <c r="D2" s="398" t="s">
        <v>481</v>
      </c>
      <c r="E2" s="399" t="s">
        <v>744</v>
      </c>
      <c r="F2" s="399" t="s">
        <v>745</v>
      </c>
      <c r="G2" s="400" t="s">
        <v>746</v>
      </c>
      <c r="H2" s="401" t="s">
        <v>723</v>
      </c>
      <c r="I2" s="90"/>
      <c r="J2" s="90"/>
      <c r="K2" s="31"/>
      <c r="L2" s="31"/>
      <c r="M2" s="31"/>
      <c r="N2" s="31"/>
    </row>
    <row r="3" spans="1:25" ht="25.5" customHeight="1">
      <c r="A3" s="403" t="s">
        <v>32</v>
      </c>
      <c r="B3" s="394">
        <f>'IV.1.1.1 Afil. SFS RC Anual '!B4</f>
        <v>919911</v>
      </c>
      <c r="C3" s="395">
        <f>'IV.1.1.1 Afil. SFS RC Anual '!C4</f>
        <v>557270</v>
      </c>
      <c r="D3" s="404">
        <f>C3/B3</f>
        <v>0.60578686416403327</v>
      </c>
      <c r="E3" s="394">
        <f>'IV.1.1.1 Afil. SFS RC Anual '!I4</f>
        <v>1005990</v>
      </c>
      <c r="F3" s="395">
        <f>'IV.1.1.1 Afil. SFS RC Anual '!J4</f>
        <v>593477</v>
      </c>
      <c r="G3" s="407">
        <f>F3/E3</f>
        <v>0.58994323999244525</v>
      </c>
      <c r="H3" s="408">
        <f>D3-G3</f>
        <v>1.5843624171588022E-2</v>
      </c>
      <c r="I3" s="90"/>
      <c r="J3" s="90"/>
      <c r="K3" s="31"/>
      <c r="L3" s="31"/>
      <c r="M3" s="31"/>
      <c r="N3" s="31"/>
    </row>
    <row r="4" spans="1:25" ht="25.5" customHeight="1">
      <c r="A4" s="367" t="s">
        <v>33</v>
      </c>
      <c r="B4" s="361">
        <f>'IV.1.1.1 Afil. SFS RC Anual '!B5</f>
        <v>966146</v>
      </c>
      <c r="C4" s="231">
        <f>'IV.1.1.1 Afil. SFS RC Anual '!C5</f>
        <v>726113</v>
      </c>
      <c r="D4" s="405">
        <f>C4/B4</f>
        <v>0.75155618301995764</v>
      </c>
      <c r="E4" s="361">
        <v>992746</v>
      </c>
      <c r="F4" s="231">
        <v>736925</v>
      </c>
      <c r="G4" s="409">
        <f>F4/E4</f>
        <v>0.74230971467021778</v>
      </c>
      <c r="H4" s="410">
        <f>D4-G4</f>
        <v>9.2464683497398559E-3</v>
      </c>
      <c r="I4" s="90"/>
      <c r="J4" s="90" t="s">
        <v>264</v>
      </c>
      <c r="K4" s="31"/>
      <c r="L4" s="31"/>
      <c r="M4" s="31"/>
      <c r="N4" s="31"/>
    </row>
    <row r="5" spans="1:25" ht="25.5" customHeight="1">
      <c r="A5" s="367" t="s">
        <v>34</v>
      </c>
      <c r="B5" s="362">
        <f>'IV.1.1.1 Afil. SFS RC Anual '!B6</f>
        <v>1079602</v>
      </c>
      <c r="C5" s="232">
        <f>'IV.1.1.1 Afil. SFS RC Anual '!C6</f>
        <v>1008697</v>
      </c>
      <c r="D5" s="405">
        <f>C5/B5</f>
        <v>0.93432301903849757</v>
      </c>
      <c r="E5" s="361">
        <v>1084705</v>
      </c>
      <c r="F5" s="231">
        <v>1011527</v>
      </c>
      <c r="G5" s="409">
        <f>F5/E5</f>
        <v>0.93253649609801748</v>
      </c>
      <c r="H5" s="411">
        <f>D5-G5</f>
        <v>1.7865229404800953E-3</v>
      </c>
      <c r="I5" s="90"/>
      <c r="J5" s="90"/>
      <c r="K5" s="31"/>
      <c r="L5" s="31"/>
      <c r="M5" s="31"/>
      <c r="N5" s="31"/>
    </row>
    <row r="6" spans="1:25" ht="25.5" customHeight="1">
      <c r="A6" s="367" t="s">
        <v>359</v>
      </c>
      <c r="B6" s="362">
        <f>'IV.1.1.1 Afil. SFS RC Anual '!B7</f>
        <v>1152861</v>
      </c>
      <c r="C6" s="232">
        <f>'IV.1.1.1 Afil. SFS RC Anual '!C7</f>
        <v>1211222</v>
      </c>
      <c r="D6" s="405">
        <f>C6/B6</f>
        <v>1.0506227550415879</v>
      </c>
      <c r="E6" s="361">
        <v>1183463</v>
      </c>
      <c r="F6" s="231">
        <v>1234529</v>
      </c>
      <c r="G6" s="409">
        <f>F6/E6</f>
        <v>1.043149637969248</v>
      </c>
      <c r="H6" s="411">
        <f>D6-G6</f>
        <v>7.4731170723398854E-3</v>
      </c>
      <c r="I6" s="90"/>
      <c r="J6" s="90"/>
      <c r="K6" s="31"/>
      <c r="L6" s="31"/>
      <c r="M6" s="31"/>
      <c r="N6" s="31"/>
    </row>
    <row r="7" spans="1:25" ht="25.5" customHeight="1" thickBot="1">
      <c r="A7" s="368" t="s">
        <v>477</v>
      </c>
      <c r="B7" s="363">
        <f>'IV.1.1.1 Afil. SFS RC Anual '!B8</f>
        <v>1188345</v>
      </c>
      <c r="C7" s="360">
        <f>'IV.1.1.1 Afil. SFS RC Anual '!C8</f>
        <v>1329078</v>
      </c>
      <c r="D7" s="406">
        <f>C7/B7</f>
        <v>1.1184277293210305</v>
      </c>
      <c r="E7" s="364">
        <v>1224959</v>
      </c>
      <c r="F7" s="365">
        <v>1361984</v>
      </c>
      <c r="G7" s="412">
        <f>F7/E7</f>
        <v>1.1118608867725368</v>
      </c>
      <c r="H7" s="413">
        <f>D7-G7</f>
        <v>6.5668425484937121E-3</v>
      </c>
      <c r="I7" s="90"/>
      <c r="J7" s="90"/>
      <c r="K7" s="31"/>
      <c r="L7" s="31"/>
      <c r="M7" s="31"/>
      <c r="N7" s="31"/>
    </row>
    <row r="8" spans="1:25" ht="20.25" customHeight="1">
      <c r="A8" s="39" t="s">
        <v>478</v>
      </c>
      <c r="B8" s="39"/>
      <c r="C8" s="39"/>
      <c r="D8" s="39"/>
      <c r="E8" s="39"/>
      <c r="F8" s="39"/>
      <c r="G8" s="39"/>
      <c r="H8" s="39"/>
      <c r="I8" s="90"/>
      <c r="J8" s="90"/>
      <c r="K8" s="31"/>
      <c r="L8" s="31"/>
      <c r="M8" s="31"/>
      <c r="N8" s="31"/>
    </row>
    <row r="9" spans="1:25" ht="18" customHeight="1">
      <c r="A9" s="39"/>
      <c r="B9" s="39"/>
      <c r="C9" s="39"/>
      <c r="D9" s="39"/>
      <c r="E9" s="39"/>
      <c r="F9" s="39"/>
      <c r="G9" s="39"/>
      <c r="H9" s="39"/>
      <c r="I9" s="90"/>
      <c r="J9" s="90"/>
      <c r="K9" s="31"/>
      <c r="L9" s="31"/>
      <c r="M9" s="31"/>
      <c r="N9" s="31"/>
    </row>
    <row r="10" spans="1:25" ht="25.5" customHeight="1">
      <c r="A10" s="39"/>
      <c r="B10" s="39"/>
      <c r="C10" s="39"/>
      <c r="D10" s="39"/>
      <c r="E10" s="39"/>
      <c r="F10" s="39"/>
      <c r="G10" s="39"/>
      <c r="H10" s="39"/>
      <c r="I10" s="90"/>
      <c r="J10" s="90"/>
      <c r="K10" s="31"/>
      <c r="L10" s="31"/>
      <c r="M10" s="31"/>
      <c r="N10" s="31"/>
    </row>
    <row r="11" spans="1:25" ht="25.5" customHeight="1">
      <c r="A11" s="39"/>
      <c r="B11" s="39"/>
      <c r="C11" s="39"/>
      <c r="D11" s="39"/>
      <c r="E11" s="39"/>
      <c r="F11" s="39"/>
      <c r="G11" s="39"/>
      <c r="H11" s="39"/>
      <c r="I11" s="39"/>
      <c r="J11" s="39"/>
      <c r="K11" s="39"/>
      <c r="L11" s="39"/>
      <c r="M11" s="39"/>
      <c r="N11" s="39"/>
    </row>
    <row r="12" spans="1:25" ht="25.5" customHeight="1">
      <c r="A12" s="39"/>
      <c r="B12" s="39"/>
      <c r="C12" s="39"/>
      <c r="D12" s="39"/>
      <c r="E12" s="39"/>
      <c r="F12" s="39"/>
      <c r="G12" s="39"/>
      <c r="H12" s="39"/>
      <c r="I12" s="39"/>
      <c r="J12" s="39"/>
      <c r="K12" s="39"/>
      <c r="L12" s="39"/>
      <c r="M12" s="39"/>
      <c r="N12" s="39"/>
      <c r="Y12" s="128" t="s">
        <v>36</v>
      </c>
    </row>
    <row r="13" spans="1:25" ht="25.5" customHeight="1">
      <c r="A13" s="39"/>
      <c r="B13" s="39"/>
      <c r="C13" s="39"/>
      <c r="D13" s="39"/>
      <c r="E13" s="39"/>
      <c r="F13" s="39"/>
      <c r="G13" s="39"/>
      <c r="H13" s="39"/>
      <c r="I13" s="39"/>
      <c r="J13" s="39"/>
      <c r="K13" s="39"/>
      <c r="L13" s="39"/>
      <c r="M13" s="39"/>
      <c r="N13" s="39"/>
    </row>
    <row r="14" spans="1:25" ht="25.5" customHeight="1">
      <c r="A14" s="39"/>
      <c r="B14" s="39"/>
      <c r="C14" s="39"/>
      <c r="D14" s="39"/>
      <c r="E14" s="39"/>
      <c r="F14" s="39"/>
      <c r="G14" s="39"/>
      <c r="H14" s="39"/>
      <c r="I14" s="39"/>
      <c r="J14" s="39"/>
      <c r="K14" s="39"/>
      <c r="L14" s="39"/>
      <c r="M14" s="39"/>
      <c r="N14" s="39"/>
    </row>
    <row r="15" spans="1:25" ht="25.5" customHeight="1">
      <c r="A15" s="39"/>
      <c r="B15" s="39"/>
      <c r="C15" s="39"/>
      <c r="D15" s="39"/>
      <c r="E15" s="39"/>
      <c r="F15" s="39"/>
      <c r="G15" s="39"/>
      <c r="H15" s="39"/>
      <c r="I15" s="39"/>
      <c r="J15" s="39"/>
      <c r="K15" s="39"/>
      <c r="L15" s="39"/>
      <c r="M15" s="39"/>
      <c r="N15" s="39"/>
    </row>
    <row r="16" spans="1:25" ht="25.5" customHeight="1">
      <c r="A16" s="39"/>
      <c r="B16" s="39"/>
      <c r="C16" s="39"/>
      <c r="D16" s="39"/>
      <c r="E16" s="39"/>
      <c r="F16" s="39"/>
      <c r="G16" s="39"/>
      <c r="H16" s="39"/>
      <c r="I16" s="39"/>
      <c r="J16" s="39"/>
      <c r="K16" s="39"/>
      <c r="L16" s="39"/>
      <c r="M16" s="39"/>
      <c r="N16" s="39"/>
    </row>
    <row r="17" spans="1:20" ht="25.5" customHeight="1">
      <c r="A17" s="39"/>
      <c r="B17" s="39"/>
      <c r="C17" s="39"/>
      <c r="D17" s="39"/>
      <c r="E17" s="39"/>
      <c r="F17" s="39"/>
      <c r="G17" s="39"/>
      <c r="H17" s="39"/>
      <c r="I17" s="39"/>
      <c r="J17" s="39"/>
      <c r="K17" s="39"/>
      <c r="L17" s="39"/>
      <c r="M17" s="39"/>
      <c r="N17" s="39"/>
    </row>
    <row r="18" spans="1:20" ht="25.5" customHeight="1">
      <c r="A18" s="39"/>
      <c r="B18" s="39"/>
      <c r="C18" s="39"/>
      <c r="D18" s="39"/>
      <c r="E18" s="39"/>
      <c r="F18" s="39"/>
      <c r="G18" s="39"/>
      <c r="H18" s="39"/>
      <c r="I18" s="39"/>
      <c r="J18" s="39"/>
      <c r="K18" s="39"/>
      <c r="L18" s="39"/>
      <c r="M18" s="39"/>
      <c r="N18" s="39"/>
    </row>
    <row r="19" spans="1:20" ht="25.5" customHeight="1">
      <c r="A19" s="39"/>
      <c r="B19" s="39"/>
      <c r="C19" s="39"/>
      <c r="D19" s="39"/>
      <c r="E19" s="39"/>
      <c r="F19" s="39"/>
      <c r="G19" s="39"/>
      <c r="H19" s="39"/>
      <c r="I19" s="39"/>
      <c r="J19" s="39"/>
      <c r="K19" s="39"/>
      <c r="L19" s="39"/>
      <c r="M19" s="39"/>
      <c r="N19" s="39"/>
    </row>
    <row r="20" spans="1:20" ht="25.5" customHeight="1">
      <c r="A20" s="39"/>
      <c r="B20" s="39"/>
      <c r="C20" s="39"/>
      <c r="D20" s="39"/>
      <c r="E20" s="39"/>
      <c r="F20" s="39"/>
      <c r="G20" s="39"/>
      <c r="H20" s="39"/>
      <c r="I20" s="39"/>
      <c r="J20" s="39"/>
      <c r="K20" s="39"/>
      <c r="L20" s="39"/>
      <c r="M20" s="39"/>
      <c r="N20" s="39"/>
    </row>
    <row r="21" spans="1:20" ht="25.5" customHeight="1">
      <c r="A21" s="39"/>
      <c r="B21" s="39"/>
      <c r="C21" s="39"/>
      <c r="D21" s="39"/>
      <c r="E21" s="39"/>
      <c r="F21" s="39"/>
      <c r="G21" s="39"/>
      <c r="H21" s="39"/>
      <c r="I21" s="39"/>
      <c r="J21" s="39"/>
      <c r="K21" s="39"/>
      <c r="L21" s="39"/>
      <c r="M21" s="39"/>
      <c r="N21" s="39"/>
    </row>
    <row r="22" spans="1:20" ht="25.5" customHeight="1">
      <c r="A22" s="39"/>
      <c r="B22" s="39"/>
      <c r="C22" s="39"/>
      <c r="D22" s="39"/>
      <c r="E22" s="39"/>
      <c r="F22" s="39"/>
      <c r="G22" s="39"/>
      <c r="H22" s="39"/>
      <c r="I22" s="39"/>
      <c r="J22" s="39"/>
      <c r="K22" s="39"/>
      <c r="L22" s="39"/>
      <c r="M22" s="39"/>
      <c r="N22" s="39"/>
    </row>
    <row r="23" spans="1:20" ht="25.5" customHeight="1">
      <c r="A23" s="39"/>
      <c r="B23" s="39"/>
      <c r="C23" s="39"/>
      <c r="D23" s="39"/>
      <c r="E23" s="39"/>
      <c r="F23" s="39"/>
      <c r="G23" s="39"/>
      <c r="H23" s="39"/>
      <c r="I23" s="39"/>
      <c r="J23" s="39"/>
      <c r="K23" s="39"/>
      <c r="L23" s="39"/>
      <c r="M23" s="39"/>
      <c r="N23" s="39"/>
    </row>
    <row r="24" spans="1:20" ht="25.5" customHeight="1">
      <c r="A24" s="39"/>
      <c r="B24" s="39"/>
      <c r="C24" s="39"/>
      <c r="D24" s="39"/>
      <c r="E24" s="39"/>
      <c r="F24" s="39"/>
      <c r="G24" s="39"/>
      <c r="H24" s="39"/>
      <c r="I24" s="39"/>
      <c r="J24" s="39"/>
      <c r="K24" s="39"/>
      <c r="L24" s="39"/>
      <c r="M24" s="39"/>
      <c r="N24" s="39"/>
      <c r="O24" s="128" t="s">
        <v>36</v>
      </c>
    </row>
    <row r="25" spans="1:20" ht="25.5" customHeight="1">
      <c r="A25" s="39"/>
      <c r="B25" s="39"/>
      <c r="C25" s="39"/>
      <c r="D25" s="39"/>
      <c r="E25" s="39"/>
      <c r="F25" s="39"/>
      <c r="G25" s="39"/>
      <c r="H25" s="39"/>
      <c r="I25" s="39"/>
      <c r="J25" s="39"/>
      <c r="K25" s="39"/>
      <c r="L25" s="39"/>
      <c r="M25" s="39"/>
      <c r="N25" s="39"/>
    </row>
    <row r="26" spans="1:20" ht="25.5" customHeight="1">
      <c r="A26" s="39"/>
      <c r="B26" s="39"/>
      <c r="C26" s="39"/>
      <c r="D26" s="39"/>
      <c r="E26" s="39"/>
      <c r="F26" s="39"/>
      <c r="G26" s="39"/>
      <c r="H26" s="39"/>
      <c r="I26" s="39"/>
      <c r="J26" s="39"/>
      <c r="K26" s="39"/>
      <c r="L26" s="39"/>
      <c r="M26" s="39"/>
      <c r="N26" s="39"/>
    </row>
    <row r="27" spans="1:20" ht="25.5" customHeight="1">
      <c r="A27" s="39"/>
      <c r="B27" s="39"/>
      <c r="C27" s="39"/>
      <c r="D27" s="39"/>
      <c r="E27" s="39"/>
      <c r="F27" s="39"/>
      <c r="G27" s="39"/>
      <c r="H27" s="39"/>
      <c r="I27" s="39"/>
      <c r="J27" s="39"/>
      <c r="K27" s="39"/>
      <c r="L27" s="39"/>
      <c r="M27" s="39"/>
      <c r="N27" s="39"/>
    </row>
    <row r="28" spans="1:20" ht="25.5" customHeight="1">
      <c r="A28" s="39"/>
      <c r="B28" s="39"/>
      <c r="C28" s="39"/>
      <c r="D28" s="39"/>
      <c r="E28" s="39"/>
      <c r="F28" s="39"/>
      <c r="G28" s="39"/>
      <c r="H28" s="39"/>
      <c r="I28" s="39"/>
      <c r="J28" s="39"/>
      <c r="K28" s="39"/>
      <c r="L28" s="39"/>
      <c r="M28" s="39"/>
      <c r="N28" s="39"/>
    </row>
    <row r="29" spans="1:20" ht="25.5" customHeight="1">
      <c r="A29" s="39"/>
      <c r="B29" s="39"/>
      <c r="C29" s="39"/>
      <c r="D29" s="39"/>
      <c r="E29" s="39"/>
      <c r="F29" s="39"/>
      <c r="G29" s="39"/>
      <c r="H29" s="39"/>
      <c r="I29" s="39"/>
      <c r="J29" s="39"/>
      <c r="K29" s="39"/>
      <c r="L29" s="39"/>
      <c r="M29" s="39"/>
      <c r="N29" s="39"/>
    </row>
    <row r="30" spans="1:20" ht="25.5" customHeight="1">
      <c r="A30" s="39"/>
      <c r="B30" s="39"/>
      <c r="C30" s="39"/>
      <c r="D30" s="39"/>
      <c r="E30" s="39"/>
      <c r="F30" s="39"/>
      <c r="G30" s="39"/>
      <c r="H30" s="39"/>
      <c r="I30" s="39"/>
      <c r="J30" s="39"/>
      <c r="K30" s="39"/>
      <c r="L30" s="39"/>
      <c r="M30" s="39"/>
      <c r="N30" s="39"/>
    </row>
    <row r="31" spans="1:20" ht="25.5" customHeight="1">
      <c r="A31" s="39"/>
      <c r="B31" s="39"/>
      <c r="C31" s="39"/>
      <c r="D31" s="39"/>
      <c r="E31" s="39"/>
      <c r="F31" s="39"/>
      <c r="G31" s="39"/>
      <c r="H31" s="39"/>
      <c r="I31" s="39"/>
      <c r="J31" s="39"/>
      <c r="K31" s="39"/>
      <c r="L31" s="39"/>
      <c r="M31" s="39"/>
      <c r="N31" s="39"/>
    </row>
    <row r="32" spans="1:20">
      <c r="K32" s="149"/>
      <c r="L32" s="149"/>
      <c r="M32" s="149"/>
      <c r="N32" s="149"/>
      <c r="O32" s="151"/>
      <c r="P32" s="151"/>
      <c r="Q32" s="151"/>
      <c r="R32" s="151"/>
      <c r="S32" s="151"/>
      <c r="T32" s="151"/>
    </row>
    <row r="33" spans="1:22">
      <c r="K33" s="149"/>
      <c r="L33" s="149"/>
      <c r="M33" s="149"/>
      <c r="N33" s="149"/>
      <c r="O33" s="151"/>
      <c r="P33" s="151"/>
      <c r="Q33" s="151"/>
      <c r="R33" s="151"/>
      <c r="S33" s="151"/>
      <c r="T33" s="151"/>
    </row>
    <row r="34" spans="1:22">
      <c r="K34" s="149"/>
      <c r="L34" s="149"/>
      <c r="M34" s="149"/>
      <c r="N34" s="149"/>
      <c r="O34" s="151"/>
      <c r="P34" s="151"/>
      <c r="Q34" s="151"/>
      <c r="R34" s="151"/>
      <c r="S34" s="151"/>
      <c r="T34" s="151"/>
    </row>
    <row r="35" spans="1:22">
      <c r="K35" s="149"/>
      <c r="L35" s="149"/>
      <c r="M35" s="149"/>
      <c r="N35" s="149"/>
      <c r="O35" s="151"/>
      <c r="P35" s="151"/>
      <c r="Q35" s="151"/>
      <c r="R35" s="151"/>
      <c r="S35" s="151"/>
      <c r="T35" s="151"/>
    </row>
    <row r="36" spans="1:22" ht="21" customHeight="1">
      <c r="K36" s="149"/>
      <c r="L36" s="149"/>
      <c r="M36" s="149"/>
      <c r="N36" s="149"/>
      <c r="O36" s="151"/>
      <c r="P36" s="151"/>
      <c r="Q36" s="151"/>
      <c r="R36" s="151"/>
      <c r="S36" s="151"/>
      <c r="T36" s="151"/>
    </row>
    <row r="37" spans="1:22" ht="29.25" customHeight="1">
      <c r="A37" s="2199"/>
      <c r="B37" s="2199"/>
      <c r="C37" s="2199"/>
      <c r="D37" s="2199"/>
      <c r="E37" s="2199"/>
      <c r="F37" s="2199"/>
      <c r="G37" s="2199"/>
      <c r="H37" s="2199"/>
      <c r="I37" s="2199"/>
      <c r="J37" s="2199"/>
      <c r="K37" s="2199"/>
      <c r="L37" s="2199"/>
      <c r="M37" s="2199"/>
      <c r="N37" s="2199"/>
      <c r="O37" s="2199"/>
      <c r="P37" s="2199"/>
      <c r="Q37" s="2199"/>
      <c r="R37" s="151"/>
      <c r="S37" s="151"/>
      <c r="T37" s="151"/>
    </row>
    <row r="38" spans="1:22">
      <c r="K38" s="151"/>
      <c r="L38" s="151"/>
      <c r="M38" s="151"/>
      <c r="N38" s="151"/>
      <c r="O38" s="151"/>
    </row>
    <row r="39" spans="1:22">
      <c r="K39" s="151"/>
      <c r="L39" s="151"/>
      <c r="M39" s="151"/>
      <c r="N39" s="151"/>
      <c r="O39" s="151"/>
    </row>
    <row r="40" spans="1:22">
      <c r="K40" s="151"/>
      <c r="L40" s="151"/>
      <c r="M40" s="151"/>
      <c r="N40" s="151"/>
      <c r="O40" s="151"/>
    </row>
    <row r="41" spans="1:22">
      <c r="K41" s="151"/>
      <c r="L41" s="151"/>
      <c r="M41" s="151"/>
      <c r="N41" s="151"/>
      <c r="O41" s="151"/>
    </row>
    <row r="42" spans="1:22">
      <c r="K42" s="151"/>
      <c r="L42" s="151"/>
      <c r="M42" s="151"/>
      <c r="N42" s="151"/>
      <c r="O42" s="151"/>
    </row>
    <row r="43" spans="1:22">
      <c r="K43" s="151"/>
      <c r="L43" s="151"/>
      <c r="M43" s="151"/>
      <c r="N43" s="151"/>
      <c r="O43" s="151"/>
      <c r="P43" s="151"/>
      <c r="Q43" s="151"/>
      <c r="R43" s="151"/>
      <c r="S43" s="151"/>
      <c r="T43" s="151"/>
      <c r="U43" s="151"/>
      <c r="V43" s="151"/>
    </row>
    <row r="44" spans="1:22">
      <c r="K44" s="151"/>
      <c r="L44" s="151"/>
      <c r="M44" s="151"/>
      <c r="N44" s="151"/>
      <c r="O44" s="151"/>
      <c r="P44" s="151"/>
      <c r="Q44" s="151"/>
      <c r="R44" s="151"/>
      <c r="S44" s="151"/>
      <c r="T44" s="151"/>
      <c r="U44" s="151"/>
      <c r="V44" s="151"/>
    </row>
    <row r="45" spans="1:22">
      <c r="K45" s="151"/>
      <c r="L45" s="151"/>
      <c r="M45" s="151"/>
      <c r="N45" s="151"/>
      <c r="O45" s="151"/>
      <c r="P45" s="151"/>
      <c r="Q45" s="151"/>
      <c r="R45" s="151"/>
      <c r="S45" s="151"/>
      <c r="T45" s="151"/>
      <c r="U45" s="151"/>
      <c r="V45" s="151"/>
    </row>
    <row r="46" spans="1:22">
      <c r="K46" s="151"/>
      <c r="L46" s="151"/>
      <c r="M46" s="151"/>
      <c r="N46" s="151"/>
      <c r="O46" s="151"/>
      <c r="P46" s="151"/>
      <c r="Q46" s="151"/>
      <c r="R46" s="151"/>
      <c r="S46" s="151"/>
      <c r="T46" s="151"/>
      <c r="U46" s="151"/>
      <c r="V46" s="151"/>
    </row>
    <row r="47" spans="1:22">
      <c r="K47" s="151"/>
      <c r="L47" s="151"/>
      <c r="M47" s="151"/>
      <c r="N47" s="151"/>
      <c r="O47" s="151"/>
      <c r="P47" s="151"/>
      <c r="Q47" s="151"/>
      <c r="R47" s="151"/>
      <c r="S47" s="151"/>
      <c r="T47" s="151"/>
      <c r="U47" s="151"/>
      <c r="V47" s="151"/>
    </row>
    <row r="48" spans="1:22">
      <c r="K48" s="151"/>
      <c r="L48" s="151"/>
      <c r="M48" s="151"/>
      <c r="N48" s="151"/>
      <c r="O48" s="151"/>
      <c r="P48" s="151"/>
      <c r="Q48" s="151"/>
      <c r="R48" s="151"/>
      <c r="S48" s="151"/>
      <c r="T48" s="151"/>
      <c r="U48" s="151"/>
      <c r="V48" s="151"/>
    </row>
    <row r="49" spans="2:22">
      <c r="B49" s="151"/>
      <c r="C49" s="151"/>
      <c r="D49" s="151"/>
      <c r="E49" s="151"/>
      <c r="F49" s="151"/>
      <c r="G49" s="151"/>
      <c r="H49" s="151"/>
      <c r="I49" s="151"/>
      <c r="J49" s="151"/>
      <c r="K49" s="151"/>
      <c r="L49" s="151"/>
      <c r="M49" s="151"/>
      <c r="N49" s="151"/>
      <c r="O49" s="151"/>
      <c r="P49" s="151"/>
      <c r="Q49" s="151"/>
      <c r="R49" s="151"/>
      <c r="S49" s="151"/>
      <c r="T49" s="151"/>
      <c r="U49" s="151"/>
      <c r="V49" s="151"/>
    </row>
    <row r="68" spans="16:16">
      <c r="P68" s="151"/>
    </row>
    <row r="69" spans="16:16">
      <c r="P69" s="151"/>
    </row>
    <row r="70" spans="16:16">
      <c r="P70" s="151"/>
    </row>
    <row r="71" spans="16:16">
      <c r="P71" s="151"/>
    </row>
    <row r="72" spans="16:16">
      <c r="P72" s="151"/>
    </row>
    <row r="73" spans="16:16">
      <c r="P73" s="151"/>
    </row>
    <row r="74" spans="16:16">
      <c r="P74" s="151"/>
    </row>
    <row r="75" spans="16:16">
      <c r="P75" s="151"/>
    </row>
    <row r="85" spans="16:16">
      <c r="P85" s="151"/>
    </row>
    <row r="86" spans="16:16">
      <c r="P86" s="151"/>
    </row>
    <row r="87" spans="16:16">
      <c r="P87" s="151"/>
    </row>
    <row r="88" spans="16:16">
      <c r="P88" s="151"/>
    </row>
  </sheetData>
  <mergeCells count="2">
    <mergeCell ref="A37:Q37"/>
    <mergeCell ref="A1:K1"/>
  </mergeCells>
  <printOptions horizontalCentered="1" verticalCentered="1"/>
  <pageMargins left="0.39370078740157483" right="0.39370078740157483" top="0.23622047244094491" bottom="0.23622047244094491" header="0.31496062992125984" footer="0.31496062992125984"/>
  <pageSetup paperSize="10023" scale="5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pageSetUpPr fitToPage="1"/>
  </sheetPr>
  <dimension ref="A1:AB31"/>
  <sheetViews>
    <sheetView showGridLines="0" view="pageBreakPreview" zoomScale="70" zoomScaleNormal="55" zoomScaleSheetLayoutView="70" workbookViewId="0">
      <selection activeCell="B2" sqref="B2"/>
    </sheetView>
  </sheetViews>
  <sheetFormatPr baseColWidth="10" defaultColWidth="11.5703125" defaultRowHeight="15"/>
  <cols>
    <col min="1" max="1" width="18.140625" customWidth="1"/>
    <col min="2" max="2" width="18" customWidth="1"/>
    <col min="3" max="3" width="26.5703125" customWidth="1"/>
    <col min="4" max="4" width="19.5703125" customWidth="1"/>
    <col min="5" max="5" width="24.140625" customWidth="1"/>
    <col min="6" max="6" width="22" customWidth="1"/>
    <col min="7" max="7" width="25.5703125" customWidth="1"/>
    <col min="8" max="8" width="15.85546875" bestFit="1" customWidth="1"/>
    <col min="9" max="9" width="14.5703125" bestFit="1" customWidth="1"/>
    <col min="10" max="10" width="13.5703125" bestFit="1" customWidth="1"/>
    <col min="14" max="15" width="14.5703125" bestFit="1" customWidth="1"/>
    <col min="17" max="17" width="15.85546875" customWidth="1"/>
    <col min="18" max="18" width="18.5703125" customWidth="1"/>
    <col min="19" max="19" width="16.7109375" customWidth="1"/>
    <col min="21" max="21" width="15.85546875" bestFit="1" customWidth="1"/>
    <col min="27" max="27" width="15.42578125" bestFit="1" customWidth="1"/>
    <col min="28" max="28" width="14.28515625" bestFit="1" customWidth="1"/>
  </cols>
  <sheetData>
    <row r="1" spans="1:28" ht="74.25" customHeight="1" thickBot="1">
      <c r="A1" s="2268" t="s">
        <v>452</v>
      </c>
      <c r="B1" s="2269"/>
      <c r="C1" s="2269"/>
      <c r="D1" s="2269"/>
      <c r="E1" s="2269"/>
      <c r="F1" s="2269"/>
      <c r="G1" s="2269"/>
      <c r="H1" s="2269"/>
      <c r="I1" s="2269"/>
      <c r="J1" s="2269"/>
      <c r="K1" s="2269"/>
      <c r="L1" s="2270"/>
    </row>
    <row r="2" spans="1:28" ht="50.25" customHeight="1">
      <c r="A2" s="301" t="s">
        <v>25</v>
      </c>
      <c r="B2" s="302" t="s">
        <v>192</v>
      </c>
      <c r="C2" s="302" t="s">
        <v>194</v>
      </c>
      <c r="D2" s="302" t="s">
        <v>190</v>
      </c>
      <c r="E2" s="302" t="s">
        <v>193</v>
      </c>
      <c r="F2" s="303" t="s">
        <v>191</v>
      </c>
      <c r="G2" s="304" t="s">
        <v>115</v>
      </c>
      <c r="H2" s="148"/>
      <c r="I2" s="148"/>
      <c r="J2" s="148"/>
      <c r="K2" s="148"/>
      <c r="L2" s="27"/>
      <c r="N2" s="266" t="s">
        <v>438</v>
      </c>
      <c r="O2" s="166" t="s">
        <v>444</v>
      </c>
      <c r="P2" s="166" t="s">
        <v>445</v>
      </c>
      <c r="Q2" s="166" t="s">
        <v>447</v>
      </c>
      <c r="R2" s="166" t="s">
        <v>442</v>
      </c>
      <c r="S2" s="166" t="s">
        <v>439</v>
      </c>
      <c r="T2" s="166" t="s">
        <v>441</v>
      </c>
      <c r="U2" s="166" t="s">
        <v>448</v>
      </c>
      <c r="V2" s="166" t="s">
        <v>442</v>
      </c>
      <c r="W2" s="166" t="s">
        <v>440</v>
      </c>
      <c r="X2" s="166" t="s">
        <v>441</v>
      </c>
      <c r="Y2" s="166" t="s">
        <v>449</v>
      </c>
      <c r="Z2" s="166" t="s">
        <v>442</v>
      </c>
      <c r="AA2" s="166" t="s">
        <v>446</v>
      </c>
      <c r="AB2" s="166" t="s">
        <v>443</v>
      </c>
    </row>
    <row r="3" spans="1:28" ht="15.75">
      <c r="A3" s="160">
        <v>2007</v>
      </c>
      <c r="B3" s="162">
        <v>599800</v>
      </c>
      <c r="C3" s="163">
        <f>B3/F3</f>
        <v>0.37352331251284415</v>
      </c>
      <c r="D3" s="162">
        <f>'IV.1.1.4 Tit. Vs pob ocup.'!E4</f>
        <v>1005990</v>
      </c>
      <c r="E3" s="163">
        <f>D3/F3</f>
        <v>0.6264766874871559</v>
      </c>
      <c r="F3" s="162">
        <f>+B3+D3</f>
        <v>1605790</v>
      </c>
      <c r="G3" s="164">
        <f>B3/D3</f>
        <v>0.59622859074145862</v>
      </c>
      <c r="H3" s="148"/>
      <c r="I3" s="268"/>
      <c r="J3" s="269"/>
      <c r="L3" s="27"/>
      <c r="N3" s="202">
        <v>40544</v>
      </c>
      <c r="O3" s="215">
        <f>1852079+1526173</f>
        <v>3378252</v>
      </c>
      <c r="P3" s="263">
        <f t="shared" ref="P3:P8" si="0">O3/AA3</f>
        <v>0.62292077898011244</v>
      </c>
      <c r="Q3" s="215">
        <v>2407712</v>
      </c>
      <c r="R3" s="263">
        <f t="shared" ref="R3:R8" si="1">Q3/AB3</f>
        <v>0.54119885840135284</v>
      </c>
      <c r="S3" s="215">
        <f>900737+1117151</f>
        <v>2017888</v>
      </c>
      <c r="T3" s="263">
        <f t="shared" ref="T3:T8" si="2">S3/AA3</f>
        <v>0.37208129081389463</v>
      </c>
      <c r="U3" s="215">
        <v>2013786</v>
      </c>
      <c r="V3" s="263">
        <f t="shared" ref="V3:V8" si="3">U3/AB3</f>
        <v>0.45265325930369854</v>
      </c>
      <c r="W3" s="215">
        <v>27105</v>
      </c>
      <c r="X3" s="263">
        <f t="shared" ref="X3:X8" si="4">W3/AA3</f>
        <v>4.9979302059929061E-3</v>
      </c>
      <c r="Y3" s="215">
        <v>27351</v>
      </c>
      <c r="Z3" s="263">
        <f t="shared" ref="Z3:Z8" si="5">Y3/AB3</f>
        <v>6.1478822949486483E-3</v>
      </c>
      <c r="AA3" s="215">
        <f t="shared" ref="AA3:AA8" si="6">O3+S3+W3</f>
        <v>5423245</v>
      </c>
      <c r="AB3" s="215">
        <f t="shared" ref="AB3:AB8" si="7">Q3+U3+Y3</f>
        <v>4448849</v>
      </c>
    </row>
    <row r="4" spans="1:28" ht="15.75">
      <c r="A4" s="160">
        <v>2008</v>
      </c>
      <c r="B4" s="162">
        <v>736925</v>
      </c>
      <c r="C4" s="163">
        <f>B4/F4</f>
        <v>0.42604923132780742</v>
      </c>
      <c r="D4" s="162">
        <f>'IV.1.1.4 Tit. Vs pob ocup.'!E5</f>
        <v>992746</v>
      </c>
      <c r="E4" s="163">
        <f>D4/F4</f>
        <v>0.57395076867219252</v>
      </c>
      <c r="F4" s="162">
        <f>+B4+D4</f>
        <v>1729671</v>
      </c>
      <c r="G4" s="164">
        <f>B4/D4</f>
        <v>0.74230971467021778</v>
      </c>
      <c r="H4" s="148"/>
      <c r="I4" s="128"/>
      <c r="J4" s="270"/>
      <c r="K4" s="148"/>
      <c r="L4" s="27"/>
      <c r="N4" s="202">
        <v>40575</v>
      </c>
      <c r="O4" s="215">
        <f>1868203+1547861</f>
        <v>3416064</v>
      </c>
      <c r="P4" s="263">
        <f t="shared" si="0"/>
        <v>0.62586698633653171</v>
      </c>
      <c r="Q4" s="215">
        <v>2486189</v>
      </c>
      <c r="R4" s="263">
        <f t="shared" si="1"/>
        <v>0.54935002205187622</v>
      </c>
      <c r="S4" s="215">
        <f>897402+1117372</f>
        <v>2014774</v>
      </c>
      <c r="T4" s="263">
        <f t="shared" si="2"/>
        <v>0.36913258402922172</v>
      </c>
      <c r="U4" s="215">
        <v>2012210</v>
      </c>
      <c r="V4" s="263">
        <f t="shared" si="3"/>
        <v>0.44461929799906841</v>
      </c>
      <c r="W4" s="215">
        <v>27293</v>
      </c>
      <c r="X4" s="263">
        <f t="shared" si="4"/>
        <v>5.0004296342465943E-3</v>
      </c>
      <c r="Y4" s="215">
        <v>27293</v>
      </c>
      <c r="Z4" s="263">
        <f t="shared" si="5"/>
        <v>6.0306799490553046E-3</v>
      </c>
      <c r="AA4" s="215">
        <f t="shared" si="6"/>
        <v>5458131</v>
      </c>
      <c r="AB4" s="215">
        <f t="shared" si="7"/>
        <v>4525692</v>
      </c>
    </row>
    <row r="5" spans="1:28" ht="15.75">
      <c r="A5" s="160">
        <v>2009</v>
      </c>
      <c r="B5" s="162">
        <v>1011527</v>
      </c>
      <c r="C5" s="163">
        <f>B5/F5</f>
        <v>0.48254534803399624</v>
      </c>
      <c r="D5" s="162">
        <f>'IV.1.1.4 Tit. Vs pob ocup.'!E6</f>
        <v>1084705</v>
      </c>
      <c r="E5" s="163">
        <f>D5/F5</f>
        <v>0.51745465196600371</v>
      </c>
      <c r="F5" s="162">
        <f>+B5+D5</f>
        <v>2096232</v>
      </c>
      <c r="G5" s="164">
        <f>B5/D5</f>
        <v>0.93253649609801748</v>
      </c>
      <c r="H5" s="148"/>
      <c r="I5" s="268"/>
      <c r="J5" s="270"/>
      <c r="K5" s="148"/>
      <c r="L5" s="27"/>
      <c r="N5" s="202">
        <v>40603</v>
      </c>
      <c r="O5" s="215">
        <f>1886107+1563667</f>
        <v>3449774</v>
      </c>
      <c r="P5" s="263">
        <f t="shared" si="0"/>
        <v>0.62891828084408186</v>
      </c>
      <c r="Q5" s="215">
        <v>2508215</v>
      </c>
      <c r="R5" s="263">
        <f t="shared" si="1"/>
        <v>0.55196158430204412</v>
      </c>
      <c r="S5" s="215">
        <f>893695+1114032</f>
        <v>2007727</v>
      </c>
      <c r="T5" s="263">
        <f t="shared" si="2"/>
        <v>0.3660228795405861</v>
      </c>
      <c r="U5" s="215">
        <v>2008220</v>
      </c>
      <c r="V5" s="263">
        <f t="shared" si="3"/>
        <v>0.44193192881274174</v>
      </c>
      <c r="W5" s="215">
        <v>27749</v>
      </c>
      <c r="X5" s="263">
        <f t="shared" si="4"/>
        <v>5.0588396153320265E-3</v>
      </c>
      <c r="Y5" s="215">
        <v>27749</v>
      </c>
      <c r="Z5" s="263">
        <f t="shared" si="5"/>
        <v>6.106486885214155E-3</v>
      </c>
      <c r="AA5" s="215">
        <f t="shared" si="6"/>
        <v>5485250</v>
      </c>
      <c r="AB5" s="215">
        <f t="shared" si="7"/>
        <v>4544184</v>
      </c>
    </row>
    <row r="6" spans="1:28" ht="15.75">
      <c r="A6" s="160">
        <v>2010</v>
      </c>
      <c r="B6" s="162">
        <v>1234529</v>
      </c>
      <c r="C6" s="163">
        <f>B6/F6</f>
        <v>0.51055958828647907</v>
      </c>
      <c r="D6" s="162">
        <v>1183463</v>
      </c>
      <c r="E6" s="163">
        <f>D6/F6</f>
        <v>0.48944041171352098</v>
      </c>
      <c r="F6" s="162">
        <f>+B6+D6</f>
        <v>2417992</v>
      </c>
      <c r="G6" s="164">
        <f>B6/D6</f>
        <v>1.043149637969248</v>
      </c>
      <c r="H6" s="148"/>
      <c r="I6" s="268"/>
      <c r="J6" s="268"/>
      <c r="K6" s="148"/>
      <c r="L6" s="27"/>
      <c r="N6" s="202">
        <v>40634</v>
      </c>
      <c r="O6" s="215">
        <f>1905426+1595237</f>
        <v>3500663</v>
      </c>
      <c r="P6" s="263">
        <f t="shared" si="0"/>
        <v>0.63296455364651427</v>
      </c>
      <c r="Q6" s="215">
        <v>2499439</v>
      </c>
      <c r="R6" s="263">
        <f t="shared" si="1"/>
        <v>0.55184000466299077</v>
      </c>
      <c r="S6" s="215">
        <f>889670+1111955</f>
        <v>2001625</v>
      </c>
      <c r="T6" s="263">
        <f t="shared" si="2"/>
        <v>0.36191934918976898</v>
      </c>
      <c r="U6" s="215">
        <v>2001160</v>
      </c>
      <c r="V6" s="263">
        <f t="shared" si="3"/>
        <v>0.44182720351702542</v>
      </c>
      <c r="W6" s="215">
        <v>28295</v>
      </c>
      <c r="X6" s="263">
        <f t="shared" si="4"/>
        <v>5.1160971637167364E-3</v>
      </c>
      <c r="Y6" s="215">
        <v>28683</v>
      </c>
      <c r="Z6" s="263">
        <f t="shared" si="5"/>
        <v>6.3327918199838299E-3</v>
      </c>
      <c r="AA6" s="215">
        <f t="shared" si="6"/>
        <v>5530583</v>
      </c>
      <c r="AB6" s="215">
        <f t="shared" si="7"/>
        <v>4529282</v>
      </c>
    </row>
    <row r="7" spans="1:28" s="59" customFormat="1" ht="15.75">
      <c r="A7" s="207">
        <v>40725</v>
      </c>
      <c r="B7" s="161">
        <v>1327263</v>
      </c>
      <c r="C7" s="163">
        <f>B7/F7</f>
        <v>0.5214658340582119</v>
      </c>
      <c r="D7" s="162">
        <f>+'[3]TSS Contributivo'!$DX$115</f>
        <v>1217991</v>
      </c>
      <c r="E7" s="163">
        <f>D7/F7</f>
        <v>0.4785341659417881</v>
      </c>
      <c r="F7" s="162">
        <f>+B7+D7</f>
        <v>2545254</v>
      </c>
      <c r="G7" s="164">
        <f>B7/D7</f>
        <v>1.0897149486326254</v>
      </c>
      <c r="H7" s="26"/>
      <c r="I7" s="26"/>
      <c r="J7" s="26"/>
      <c r="K7" s="26"/>
      <c r="L7" s="26"/>
      <c r="N7" s="202">
        <v>40664</v>
      </c>
      <c r="O7" s="215">
        <f>1918561+1611570</f>
        <v>3530131</v>
      </c>
      <c r="P7" s="263">
        <f t="shared" si="0"/>
        <v>0.63396743288276025</v>
      </c>
      <c r="Q7" s="215">
        <v>2462232</v>
      </c>
      <c r="R7" s="263">
        <f t="shared" si="1"/>
        <v>0.54861185536103929</v>
      </c>
      <c r="S7" s="215">
        <f>894003+1115399</f>
        <v>2009402</v>
      </c>
      <c r="T7" s="263">
        <f t="shared" si="2"/>
        <v>0.36086349984447724</v>
      </c>
      <c r="U7" s="215">
        <v>1997098</v>
      </c>
      <c r="V7" s="263">
        <f t="shared" si="3"/>
        <v>0.44497498169052341</v>
      </c>
      <c r="W7" s="215">
        <v>28783</v>
      </c>
      <c r="X7" s="263">
        <f t="shared" si="4"/>
        <v>5.1690672727625368E-3</v>
      </c>
      <c r="Y7" s="215">
        <v>28783</v>
      </c>
      <c r="Z7" s="263">
        <f t="shared" si="5"/>
        <v>6.4131629484373495E-3</v>
      </c>
      <c r="AA7" s="215">
        <f t="shared" si="6"/>
        <v>5568316</v>
      </c>
      <c r="AB7" s="215">
        <f t="shared" si="7"/>
        <v>4488113</v>
      </c>
    </row>
    <row r="8" spans="1:28" s="59" customFormat="1" ht="15.75">
      <c r="B8" s="26"/>
      <c r="C8" s="26"/>
      <c r="D8" s="26"/>
      <c r="E8" s="26"/>
      <c r="F8" s="26"/>
      <c r="G8" s="26"/>
      <c r="H8" s="26"/>
      <c r="I8" s="26"/>
      <c r="J8" s="26"/>
      <c r="K8" s="26"/>
      <c r="L8" s="26"/>
      <c r="N8" s="202">
        <v>40695</v>
      </c>
      <c r="O8" s="215">
        <f>1933205+1633967</f>
        <v>3567172</v>
      </c>
      <c r="P8" s="263">
        <f t="shared" si="0"/>
        <v>0.63639780884188146</v>
      </c>
      <c r="Q8" s="215">
        <v>2527064</v>
      </c>
      <c r="R8" s="263">
        <f t="shared" si="1"/>
        <v>0.55377544985172034</v>
      </c>
      <c r="S8" s="215">
        <f>892113+1116792</f>
        <v>2008905</v>
      </c>
      <c r="T8" s="263">
        <f t="shared" si="2"/>
        <v>0.35839671879334661</v>
      </c>
      <c r="U8" s="215">
        <v>2006919</v>
      </c>
      <c r="V8" s="263">
        <f t="shared" si="3"/>
        <v>0.43979197679242188</v>
      </c>
      <c r="W8" s="215">
        <v>29178</v>
      </c>
      <c r="X8" s="263">
        <f t="shared" si="4"/>
        <v>5.2054723647719861E-3</v>
      </c>
      <c r="Y8" s="215">
        <v>29354</v>
      </c>
      <c r="Z8" s="263">
        <f t="shared" si="5"/>
        <v>6.4325733558577855E-3</v>
      </c>
      <c r="AA8" s="215">
        <f t="shared" si="6"/>
        <v>5605255</v>
      </c>
      <c r="AB8" s="215">
        <f t="shared" si="7"/>
        <v>4563337</v>
      </c>
    </row>
    <row r="9" spans="1:28" s="59" customFormat="1" ht="15.75">
      <c r="B9" s="26"/>
      <c r="C9" s="26"/>
      <c r="D9" s="26"/>
      <c r="E9" s="26"/>
      <c r="F9" s="26"/>
      <c r="G9" s="26"/>
      <c r="H9" s="26"/>
      <c r="I9" s="26"/>
      <c r="J9" s="26"/>
      <c r="L9" s="26"/>
      <c r="N9" s="267"/>
      <c r="O9" s="288"/>
      <c r="P9" s="291"/>
      <c r="Q9" s="289"/>
      <c r="R9" s="292"/>
      <c r="S9" s="288"/>
      <c r="T9" s="293"/>
      <c r="U9" s="290"/>
      <c r="V9" s="290"/>
    </row>
    <row r="10" spans="1:28" s="59" customFormat="1" ht="15.75">
      <c r="B10" s="26"/>
      <c r="C10" s="26"/>
      <c r="D10" s="26"/>
      <c r="E10" s="26"/>
      <c r="F10" s="26"/>
      <c r="G10" s="26"/>
      <c r="H10" s="26"/>
      <c r="I10" s="26"/>
      <c r="J10" s="26"/>
      <c r="K10" s="26"/>
      <c r="L10" s="26"/>
      <c r="N10" s="267"/>
      <c r="O10" s="294"/>
      <c r="P10" s="291"/>
      <c r="Q10" s="289"/>
      <c r="R10" s="292"/>
      <c r="S10" s="288"/>
      <c r="T10" s="293"/>
      <c r="U10" s="290"/>
      <c r="V10" s="290"/>
    </row>
    <row r="11" spans="1:28" s="59" customFormat="1" ht="15.75">
      <c r="B11" s="26"/>
      <c r="C11" s="26"/>
      <c r="D11" s="26"/>
      <c r="E11" s="26"/>
      <c r="F11" s="26"/>
      <c r="G11" s="26"/>
      <c r="H11" s="26"/>
      <c r="I11" s="26"/>
      <c r="J11" s="26"/>
      <c r="K11" s="26"/>
      <c r="L11" s="26"/>
      <c r="N11" s="202"/>
      <c r="O11" s="294"/>
      <c r="P11" s="291"/>
      <c r="Q11" s="289"/>
      <c r="R11" s="292"/>
      <c r="S11" s="288"/>
      <c r="T11" s="293"/>
      <c r="U11" s="290"/>
      <c r="V11" s="290"/>
    </row>
    <row r="12" spans="1:28" s="59" customFormat="1" ht="15.75">
      <c r="B12" s="26"/>
      <c r="C12" s="26"/>
      <c r="D12" s="26"/>
      <c r="E12" s="26"/>
      <c r="F12" s="26"/>
      <c r="G12" s="26"/>
      <c r="H12" s="26"/>
      <c r="I12" s="26"/>
      <c r="J12" s="26"/>
      <c r="K12" s="26"/>
      <c r="L12" s="26"/>
      <c r="N12" s="295"/>
      <c r="O12" s="296"/>
      <c r="P12" s="297"/>
      <c r="Q12" s="297"/>
      <c r="R12" s="297"/>
      <c r="S12" s="266"/>
      <c r="T12" s="298"/>
      <c r="U12" s="299"/>
      <c r="V12" s="299"/>
    </row>
    <row r="13" spans="1:28" s="59" customFormat="1">
      <c r="B13" s="26"/>
      <c r="C13" s="26"/>
      <c r="D13" s="26"/>
      <c r="E13" s="26"/>
      <c r="F13" s="26"/>
      <c r="G13" s="26"/>
      <c r="H13" s="26"/>
      <c r="I13" s="26"/>
      <c r="J13" s="26"/>
      <c r="K13" s="26"/>
      <c r="L13" s="26"/>
    </row>
    <row r="14" spans="1:28" s="59" customFormat="1">
      <c r="B14" s="26"/>
      <c r="C14" s="26"/>
      <c r="D14" s="26"/>
      <c r="E14" s="26"/>
      <c r="F14" s="26"/>
      <c r="G14" s="26"/>
      <c r="H14" s="26"/>
      <c r="I14" s="26"/>
      <c r="J14" s="26"/>
      <c r="K14" s="26"/>
      <c r="L14" s="26"/>
    </row>
    <row r="15" spans="1:28" s="59" customFormat="1" ht="112.5">
      <c r="H15" s="26"/>
      <c r="I15" s="26"/>
      <c r="J15" s="26"/>
      <c r="K15" s="26"/>
      <c r="L15" s="26"/>
      <c r="N15" s="277" t="s">
        <v>25</v>
      </c>
      <c r="O15" s="277" t="s">
        <v>26</v>
      </c>
      <c r="P15" s="277" t="s">
        <v>238</v>
      </c>
      <c r="Q15" s="277" t="s">
        <v>27</v>
      </c>
      <c r="R15" s="277" t="s">
        <v>239</v>
      </c>
      <c r="S15" s="277" t="s">
        <v>358</v>
      </c>
    </row>
    <row r="16" spans="1:28" s="59" customFormat="1" ht="18.75">
      <c r="N16" s="160">
        <v>2003</v>
      </c>
      <c r="O16" s="278">
        <v>1026538</v>
      </c>
      <c r="P16" s="279"/>
      <c r="Q16" s="288">
        <v>8958206</v>
      </c>
      <c r="R16" s="279"/>
      <c r="S16" s="280">
        <f>O16/Q16</f>
        <v>0.11459191717627391</v>
      </c>
    </row>
    <row r="17" spans="1:26" s="59" customFormat="1" ht="18.75">
      <c r="N17" s="160">
        <v>2004</v>
      </c>
      <c r="O17" s="278">
        <v>1255219</v>
      </c>
      <c r="P17" s="281">
        <f>O17/O16-1</f>
        <v>0.22276915223791027</v>
      </c>
      <c r="Q17" s="288">
        <v>9092778</v>
      </c>
      <c r="R17" s="300">
        <f t="shared" ref="R17:R24" si="8">(Q17-Q16)/Q16*100</f>
        <v>1.5022204222586533</v>
      </c>
      <c r="S17" s="280">
        <f>O17/Q17</f>
        <v>0.1380457105628225</v>
      </c>
    </row>
    <row r="18" spans="1:26" s="59" customFormat="1" ht="18.75">
      <c r="N18" s="160">
        <v>2005</v>
      </c>
      <c r="O18" s="278">
        <v>1696052</v>
      </c>
      <c r="P18" s="281">
        <f t="shared" ref="P18:P24" si="9">O18/O17-1</f>
        <v>0.35120006946994908</v>
      </c>
      <c r="Q18" s="288">
        <v>9226449</v>
      </c>
      <c r="R18" s="300">
        <f t="shared" si="8"/>
        <v>1.47007878120416</v>
      </c>
      <c r="S18" s="280">
        <f t="shared" ref="S18:S24" si="10">O18/Q18</f>
        <v>0.18382500136292956</v>
      </c>
    </row>
    <row r="19" spans="1:26" s="59" customFormat="1" ht="18.75">
      <c r="N19" s="160">
        <v>2006</v>
      </c>
      <c r="O19" s="278">
        <v>2102037</v>
      </c>
      <c r="P19" s="281">
        <f t="shared" si="9"/>
        <v>0.23937060892000961</v>
      </c>
      <c r="Q19" s="288">
        <v>9353705</v>
      </c>
      <c r="R19" s="300">
        <f t="shared" si="8"/>
        <v>1.3792521911734408</v>
      </c>
      <c r="S19" s="280">
        <f t="shared" si="10"/>
        <v>0.22472774157406075</v>
      </c>
    </row>
    <row r="20" spans="1:26" s="59" customFormat="1" ht="143.25" customHeight="1">
      <c r="N20" s="160">
        <v>2007</v>
      </c>
      <c r="O20" s="278">
        <v>2878963</v>
      </c>
      <c r="P20" s="281">
        <f t="shared" si="9"/>
        <v>0.36960624384822904</v>
      </c>
      <c r="Q20" s="288">
        <v>9482060</v>
      </c>
      <c r="R20" s="300">
        <f t="shared" si="8"/>
        <v>1.372236990582876</v>
      </c>
      <c r="S20" s="280">
        <f t="shared" si="10"/>
        <v>0.30362210321385857</v>
      </c>
      <c r="V20" s="2273" t="s">
        <v>453</v>
      </c>
      <c r="W20" s="2273"/>
      <c r="X20" s="2273"/>
      <c r="Y20" s="2273"/>
      <c r="Z20" s="2273"/>
    </row>
    <row r="21" spans="1:26" s="59" customFormat="1" ht="18.75">
      <c r="N21" s="160">
        <v>2008</v>
      </c>
      <c r="O21" s="278">
        <v>3208363</v>
      </c>
      <c r="P21" s="281">
        <f t="shared" si="9"/>
        <v>0.11441619777676904</v>
      </c>
      <c r="Q21" s="288">
        <v>9611787</v>
      </c>
      <c r="R21" s="300">
        <f t="shared" si="8"/>
        <v>1.3681309757584323</v>
      </c>
      <c r="S21" s="280">
        <f t="shared" si="10"/>
        <v>0.33379464193286845</v>
      </c>
    </row>
    <row r="22" spans="1:26" s="59" customFormat="1" ht="18.75">
      <c r="N22" s="160">
        <v>2009</v>
      </c>
      <c r="O22" s="278">
        <v>3540056</v>
      </c>
      <c r="P22" s="281">
        <f t="shared" si="9"/>
        <v>0.10338387520364756</v>
      </c>
      <c r="Q22" s="288">
        <v>9742374</v>
      </c>
      <c r="R22" s="300">
        <f t="shared" si="8"/>
        <v>1.3586131278189997</v>
      </c>
      <c r="S22" s="280">
        <f t="shared" si="10"/>
        <v>0.3633668754658772</v>
      </c>
    </row>
    <row r="23" spans="1:26" s="59" customFormat="1" ht="18.75">
      <c r="N23" s="160">
        <v>2010</v>
      </c>
      <c r="O23" s="282" t="e">
        <f>[5]Afiliación!U59</f>
        <v>#REF!</v>
      </c>
      <c r="P23" s="281" t="e">
        <f t="shared" si="9"/>
        <v>#REF!</v>
      </c>
      <c r="Q23" s="288">
        <v>9884371</v>
      </c>
      <c r="R23" s="300">
        <f t="shared" si="8"/>
        <v>1.4575194916557299</v>
      </c>
      <c r="S23" s="280" t="e">
        <f t="shared" si="10"/>
        <v>#REF!</v>
      </c>
    </row>
    <row r="24" spans="1:26" s="59" customFormat="1" ht="18.75">
      <c r="N24" s="283">
        <v>40695</v>
      </c>
      <c r="O24" s="282">
        <v>4563161</v>
      </c>
      <c r="P24" s="281" t="e">
        <f t="shared" si="9"/>
        <v>#REF!</v>
      </c>
      <c r="Q24" s="288">
        <v>9943019</v>
      </c>
      <c r="R24" s="300">
        <f t="shared" si="8"/>
        <v>0.59334073963836442</v>
      </c>
      <c r="S24" s="280">
        <f t="shared" si="10"/>
        <v>0.45893113550321085</v>
      </c>
    </row>
    <row r="25" spans="1:26" s="59" customFormat="1" ht="56.25" customHeight="1">
      <c r="N25" s="2271" t="s">
        <v>35</v>
      </c>
      <c r="O25" s="2272"/>
      <c r="P25" s="284" t="e">
        <f>AVERAGE(P16:P23)</f>
        <v>#REF!</v>
      </c>
      <c r="Q25" s="285" t="s">
        <v>36</v>
      </c>
      <c r="R25" s="286">
        <f>AVERAGE(R16:R23)</f>
        <v>1.4154359972074704</v>
      </c>
      <c r="S25" s="287"/>
    </row>
    <row r="26" spans="1:26" s="59" customFormat="1"/>
    <row r="27" spans="1:26" s="59" customFormat="1"/>
    <row r="28" spans="1:26" s="59" customFormat="1"/>
    <row r="29" spans="1:26" s="59" customFormat="1"/>
    <row r="30" spans="1:26" s="59" customFormat="1"/>
    <row r="31" spans="1:26" s="59" customFormat="1">
      <c r="A31"/>
      <c r="B31"/>
      <c r="C31"/>
      <c r="D31"/>
      <c r="E31"/>
      <c r="F31"/>
      <c r="G31"/>
    </row>
  </sheetData>
  <mergeCells count="3">
    <mergeCell ref="A1:L1"/>
    <mergeCell ref="N25:O25"/>
    <mergeCell ref="V20:Z20"/>
  </mergeCells>
  <printOptions horizontalCentered="1" verticalCentered="1"/>
  <pageMargins left="0.4" right="0.4" top="0.25" bottom="0.25" header="0.31496062992126" footer="0.31496062992126"/>
  <pageSetup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152"/>
  <sheetViews>
    <sheetView showGridLines="0" view="pageBreakPreview" topLeftCell="A82" zoomScale="70" zoomScaleNormal="100" zoomScaleSheetLayoutView="70" workbookViewId="0">
      <selection activeCell="A116" sqref="A116"/>
    </sheetView>
  </sheetViews>
  <sheetFormatPr baseColWidth="10" defaultColWidth="189.42578125" defaultRowHeight="23.25"/>
  <cols>
    <col min="1" max="1" width="143.85546875" style="1022" customWidth="1"/>
  </cols>
  <sheetData>
    <row r="1" spans="1:1" ht="15" customHeight="1">
      <c r="A1" s="2189" t="s">
        <v>1036</v>
      </c>
    </row>
    <row r="2" spans="1:1" ht="73.5" customHeight="1">
      <c r="A2" s="2190"/>
    </row>
    <row r="3" spans="1:1" ht="21">
      <c r="A3" s="1023" t="s">
        <v>824</v>
      </c>
    </row>
    <row r="4" spans="1:1" ht="21">
      <c r="A4" s="1024" t="s">
        <v>265</v>
      </c>
    </row>
    <row r="5" spans="1:1" ht="21">
      <c r="A5" s="1025" t="s">
        <v>266</v>
      </c>
    </row>
    <row r="6" spans="1:1" ht="21">
      <c r="A6" s="1026" t="s">
        <v>763</v>
      </c>
    </row>
    <row r="7" spans="1:1" ht="21">
      <c r="A7" s="1026" t="s">
        <v>764</v>
      </c>
    </row>
    <row r="8" spans="1:1" ht="21">
      <c r="A8" s="1026" t="s">
        <v>765</v>
      </c>
    </row>
    <row r="9" spans="1:1" ht="21">
      <c r="A9" s="1026" t="s">
        <v>766</v>
      </c>
    </row>
    <row r="10" spans="1:1" ht="21">
      <c r="A10" s="1026" t="s">
        <v>767</v>
      </c>
    </row>
    <row r="11" spans="1:1" ht="21">
      <c r="A11" s="1026" t="s">
        <v>419</v>
      </c>
    </row>
    <row r="12" spans="1:1" s="347" customFormat="1" ht="21">
      <c r="A12" s="1027" t="s">
        <v>272</v>
      </c>
    </row>
    <row r="13" spans="1:1" ht="21">
      <c r="A13" s="1026" t="s">
        <v>768</v>
      </c>
    </row>
    <row r="14" spans="1:1" ht="21">
      <c r="A14" s="1026" t="s">
        <v>769</v>
      </c>
    </row>
    <row r="15" spans="1:1" ht="21">
      <c r="A15" s="1026" t="s">
        <v>770</v>
      </c>
    </row>
    <row r="16" spans="1:1" ht="21">
      <c r="A16" s="1024" t="s">
        <v>278</v>
      </c>
    </row>
    <row r="17" spans="1:1" ht="21">
      <c r="A17" s="1026" t="s">
        <v>279</v>
      </c>
    </row>
    <row r="18" spans="1:1" ht="21">
      <c r="A18" s="1026" t="s">
        <v>280</v>
      </c>
    </row>
    <row r="19" spans="1:1" ht="21">
      <c r="A19" s="1024" t="s">
        <v>281</v>
      </c>
    </row>
    <row r="20" spans="1:1" ht="21">
      <c r="A20" s="1028" t="s">
        <v>282</v>
      </c>
    </row>
    <row r="21" spans="1:1" ht="21">
      <c r="A21" s="1024" t="s">
        <v>285</v>
      </c>
    </row>
    <row r="22" spans="1:1" ht="21">
      <c r="A22" s="1024" t="s">
        <v>1071</v>
      </c>
    </row>
    <row r="23" spans="1:1" ht="21">
      <c r="A23" s="1025" t="s">
        <v>1072</v>
      </c>
    </row>
    <row r="24" spans="1:1" ht="21">
      <c r="A24" s="1026" t="s">
        <v>771</v>
      </c>
    </row>
    <row r="25" spans="1:1" ht="21">
      <c r="A25" s="1026" t="s">
        <v>772</v>
      </c>
    </row>
    <row r="26" spans="1:1" ht="21">
      <c r="A26" s="1026" t="s">
        <v>773</v>
      </c>
    </row>
    <row r="27" spans="1:1" ht="21">
      <c r="A27" s="1026" t="s">
        <v>291</v>
      </c>
    </row>
    <row r="28" spans="1:1" s="128" customFormat="1" ht="21">
      <c r="A28" s="1026" t="s">
        <v>924</v>
      </c>
    </row>
    <row r="29" spans="1:1" s="128" customFormat="1" ht="42">
      <c r="A29" s="1026" t="s">
        <v>923</v>
      </c>
    </row>
    <row r="30" spans="1:1" s="128" customFormat="1" ht="21">
      <c r="A30" s="1026" t="s">
        <v>925</v>
      </c>
    </row>
    <row r="31" spans="1:1" s="128" customFormat="1" ht="21">
      <c r="A31" s="1026" t="s">
        <v>926</v>
      </c>
    </row>
    <row r="32" spans="1:1" s="128" customFormat="1" ht="21">
      <c r="A32" s="1026" t="s">
        <v>927</v>
      </c>
    </row>
    <row r="33" spans="1:1" s="128" customFormat="1" ht="42">
      <c r="A33" s="1026" t="s">
        <v>928</v>
      </c>
    </row>
    <row r="34" spans="1:1" s="128" customFormat="1" ht="42">
      <c r="A34" s="1026" t="s">
        <v>929</v>
      </c>
    </row>
    <row r="35" spans="1:1" s="128" customFormat="1" ht="42">
      <c r="A35" s="1026" t="s">
        <v>930</v>
      </c>
    </row>
    <row r="36" spans="1:1" s="128" customFormat="1" ht="21">
      <c r="A36" s="1026" t="s">
        <v>933</v>
      </c>
    </row>
    <row r="37" spans="1:1" s="128" customFormat="1" ht="21">
      <c r="A37" s="1026" t="s">
        <v>931</v>
      </c>
    </row>
    <row r="38" spans="1:1" s="128" customFormat="1" ht="21">
      <c r="A38" s="1026" t="s">
        <v>932</v>
      </c>
    </row>
    <row r="39" spans="1:1" ht="21">
      <c r="A39" s="1025" t="s">
        <v>1112</v>
      </c>
    </row>
    <row r="40" spans="1:1" ht="21">
      <c r="A40" s="1026" t="s">
        <v>774</v>
      </c>
    </row>
    <row r="41" spans="1:1" ht="21">
      <c r="A41" s="1026" t="s">
        <v>775</v>
      </c>
    </row>
    <row r="42" spans="1:1" ht="21">
      <c r="A42" s="1026" t="s">
        <v>776</v>
      </c>
    </row>
    <row r="43" spans="1:1" ht="21">
      <c r="A43" s="1026" t="s">
        <v>777</v>
      </c>
    </row>
    <row r="44" spans="1:1" ht="21">
      <c r="A44" s="1026" t="s">
        <v>778</v>
      </c>
    </row>
    <row r="45" spans="1:1" ht="55.5" customHeight="1">
      <c r="A45" s="1033" t="s">
        <v>1111</v>
      </c>
    </row>
    <row r="46" spans="1:1" ht="21">
      <c r="A46" s="1026" t="s">
        <v>779</v>
      </c>
    </row>
    <row r="47" spans="1:1" ht="21">
      <c r="A47" s="1026" t="s">
        <v>780</v>
      </c>
    </row>
    <row r="48" spans="1:1" ht="21">
      <c r="A48" s="1024" t="s">
        <v>300</v>
      </c>
    </row>
    <row r="49" spans="1:1" ht="21">
      <c r="A49" s="1025" t="s">
        <v>301</v>
      </c>
    </row>
    <row r="50" spans="1:1" s="866" customFormat="1" ht="21">
      <c r="A50" s="1026" t="s">
        <v>781</v>
      </c>
    </row>
    <row r="51" spans="1:1" s="866" customFormat="1" ht="21">
      <c r="A51" s="1026" t="s">
        <v>782</v>
      </c>
    </row>
    <row r="52" spans="1:1" s="866" customFormat="1" ht="42">
      <c r="A52" s="1026" t="s">
        <v>1068</v>
      </c>
    </row>
    <row r="53" spans="1:1" s="866" customFormat="1" ht="21">
      <c r="A53" s="1026" t="s">
        <v>1069</v>
      </c>
    </row>
    <row r="54" spans="1:1" s="866" customFormat="1" ht="21">
      <c r="A54" s="1026" t="s">
        <v>1070</v>
      </c>
    </row>
    <row r="55" spans="1:1" ht="21">
      <c r="A55" s="1024" t="s">
        <v>432</v>
      </c>
    </row>
    <row r="56" spans="1:1" ht="21">
      <c r="A56" s="1026" t="s">
        <v>306</v>
      </c>
    </row>
    <row r="57" spans="1:1" ht="21">
      <c r="A57" s="1026" t="s">
        <v>307</v>
      </c>
    </row>
    <row r="58" spans="1:1" ht="21">
      <c r="A58" s="1024" t="s">
        <v>1037</v>
      </c>
    </row>
    <row r="59" spans="1:1" ht="21">
      <c r="A59" s="1026" t="s">
        <v>309</v>
      </c>
    </row>
    <row r="60" spans="1:1" ht="21">
      <c r="A60" s="1026" t="s">
        <v>310</v>
      </c>
    </row>
    <row r="61" spans="1:1" ht="21">
      <c r="A61" s="1026" t="s">
        <v>934</v>
      </c>
    </row>
    <row r="62" spans="1:1" ht="21">
      <c r="A62" s="1024" t="s">
        <v>783</v>
      </c>
    </row>
    <row r="63" spans="1:1" ht="21">
      <c r="A63" s="1024" t="s">
        <v>1073</v>
      </c>
    </row>
    <row r="64" spans="1:1" ht="21">
      <c r="A64" s="1026" t="s">
        <v>825</v>
      </c>
    </row>
    <row r="65" spans="1:1" ht="21">
      <c r="A65" s="1026" t="s">
        <v>826</v>
      </c>
    </row>
    <row r="66" spans="1:1" ht="21">
      <c r="A66" s="1026" t="s">
        <v>827</v>
      </c>
    </row>
    <row r="67" spans="1:1" ht="21">
      <c r="A67" s="1026" t="s">
        <v>828</v>
      </c>
    </row>
    <row r="68" spans="1:1" ht="21">
      <c r="A68" s="1024" t="s">
        <v>1113</v>
      </c>
    </row>
    <row r="69" spans="1:1" ht="21">
      <c r="A69" s="1026" t="s">
        <v>784</v>
      </c>
    </row>
    <row r="70" spans="1:1" ht="42">
      <c r="A70" s="1026" t="s">
        <v>785</v>
      </c>
    </row>
    <row r="71" spans="1:1" ht="21">
      <c r="A71" s="1024" t="s">
        <v>315</v>
      </c>
    </row>
    <row r="72" spans="1:1" ht="21">
      <c r="A72" s="1025" t="s">
        <v>316</v>
      </c>
    </row>
    <row r="73" spans="1:1" ht="21">
      <c r="A73" s="1026" t="s">
        <v>317</v>
      </c>
    </row>
    <row r="74" spans="1:1" ht="21">
      <c r="A74" s="1026" t="s">
        <v>786</v>
      </c>
    </row>
    <row r="75" spans="1:1" ht="21">
      <c r="A75" s="1026" t="s">
        <v>426</v>
      </c>
    </row>
    <row r="76" spans="1:1" ht="21">
      <c r="A76" s="1026" t="s">
        <v>787</v>
      </c>
    </row>
    <row r="77" spans="1:1" ht="21">
      <c r="A77" s="1026" t="s">
        <v>788</v>
      </c>
    </row>
    <row r="78" spans="1:1" ht="21">
      <c r="A78" s="1026" t="s">
        <v>789</v>
      </c>
    </row>
    <row r="79" spans="1:1" ht="21">
      <c r="A79" s="1026" t="s">
        <v>790</v>
      </c>
    </row>
    <row r="80" spans="1:1" ht="21">
      <c r="A80" s="1026" t="s">
        <v>791</v>
      </c>
    </row>
    <row r="81" spans="1:1" s="128" customFormat="1" ht="21">
      <c r="A81" s="1026" t="s">
        <v>955</v>
      </c>
    </row>
    <row r="82" spans="1:1" ht="21">
      <c r="A82" s="1025" t="s">
        <v>320</v>
      </c>
    </row>
    <row r="83" spans="1:1" ht="21">
      <c r="A83" s="1026" t="s">
        <v>321</v>
      </c>
    </row>
    <row r="84" spans="1:1" ht="21">
      <c r="A84" s="1026" t="s">
        <v>322</v>
      </c>
    </row>
    <row r="85" spans="1:1" ht="21">
      <c r="A85" s="1025" t="s">
        <v>323</v>
      </c>
    </row>
    <row r="86" spans="1:1" ht="21">
      <c r="A86" s="1026" t="s">
        <v>422</v>
      </c>
    </row>
    <row r="87" spans="1:1" ht="21">
      <c r="A87" s="1026" t="s">
        <v>423</v>
      </c>
    </row>
    <row r="88" spans="1:1" ht="21">
      <c r="A88" s="1026" t="s">
        <v>424</v>
      </c>
    </row>
    <row r="89" spans="1:1" ht="21">
      <c r="A89" s="1026" t="s">
        <v>425</v>
      </c>
    </row>
    <row r="90" spans="1:1" ht="21">
      <c r="A90" s="1025" t="s">
        <v>324</v>
      </c>
    </row>
    <row r="91" spans="1:1" ht="21">
      <c r="A91" s="1026" t="s">
        <v>416</v>
      </c>
    </row>
    <row r="92" spans="1:1" ht="29.25" customHeight="1">
      <c r="A92" s="1029" t="s">
        <v>325</v>
      </c>
    </row>
    <row r="93" spans="1:1" ht="21">
      <c r="A93" s="1030" t="s">
        <v>417</v>
      </c>
    </row>
    <row r="94" spans="1:1" ht="21">
      <c r="A94" s="1030" t="s">
        <v>792</v>
      </c>
    </row>
    <row r="95" spans="1:1" ht="21">
      <c r="A95" s="1030" t="s">
        <v>793</v>
      </c>
    </row>
    <row r="96" spans="1:1" ht="21">
      <c r="A96" s="1024" t="s">
        <v>326</v>
      </c>
    </row>
    <row r="97" spans="1:1" ht="21">
      <c r="A97" s="1025" t="s">
        <v>327</v>
      </c>
    </row>
    <row r="98" spans="1:1" ht="21">
      <c r="A98" s="1026" t="s">
        <v>328</v>
      </c>
    </row>
    <row r="99" spans="1:1" ht="21">
      <c r="A99" s="1026" t="s">
        <v>329</v>
      </c>
    </row>
    <row r="100" spans="1:1" ht="21">
      <c r="A100" s="1026" t="s">
        <v>330</v>
      </c>
    </row>
    <row r="101" spans="1:1" ht="21">
      <c r="A101" s="1025" t="s">
        <v>331</v>
      </c>
    </row>
    <row r="102" spans="1:1" ht="21">
      <c r="A102" s="1026" t="s">
        <v>332</v>
      </c>
    </row>
    <row r="103" spans="1:1" ht="21">
      <c r="A103" s="1026" t="s">
        <v>333</v>
      </c>
    </row>
    <row r="104" spans="1:1" ht="21">
      <c r="A104" s="1025" t="s">
        <v>335</v>
      </c>
    </row>
    <row r="105" spans="1:1" ht="21">
      <c r="A105" s="1026" t="s">
        <v>794</v>
      </c>
    </row>
    <row r="106" spans="1:1" ht="21">
      <c r="A106" s="1026" t="s">
        <v>823</v>
      </c>
    </row>
    <row r="107" spans="1:1" ht="21">
      <c r="A107" s="1026" t="s">
        <v>795</v>
      </c>
    </row>
    <row r="108" spans="1:1" ht="21">
      <c r="A108" s="1026" t="s">
        <v>796</v>
      </c>
    </row>
    <row r="109" spans="1:1" ht="21">
      <c r="A109" s="1026" t="s">
        <v>797</v>
      </c>
    </row>
    <row r="110" spans="1:1" ht="21">
      <c r="A110" s="1026" t="s">
        <v>798</v>
      </c>
    </row>
    <row r="111" spans="1:1" ht="21">
      <c r="A111" s="1026" t="s">
        <v>799</v>
      </c>
    </row>
    <row r="112" spans="1:1" ht="21">
      <c r="A112" s="1026" t="s">
        <v>800</v>
      </c>
    </row>
    <row r="113" spans="1:1" ht="42">
      <c r="A113" s="1026" t="s">
        <v>801</v>
      </c>
    </row>
    <row r="114" spans="1:1" ht="21">
      <c r="A114" s="1026" t="s">
        <v>802</v>
      </c>
    </row>
    <row r="115" spans="1:1" ht="42">
      <c r="A115" s="1026" t="s">
        <v>803</v>
      </c>
    </row>
    <row r="116" spans="1:1" ht="21">
      <c r="A116" s="1026" t="s">
        <v>804</v>
      </c>
    </row>
    <row r="117" spans="1:1" ht="42">
      <c r="A117" s="1026" t="s">
        <v>805</v>
      </c>
    </row>
    <row r="118" spans="1:1" ht="21">
      <c r="A118" s="1026" t="s">
        <v>806</v>
      </c>
    </row>
    <row r="119" spans="1:1" ht="21">
      <c r="A119" s="1026" t="s">
        <v>807</v>
      </c>
    </row>
    <row r="120" spans="1:1" ht="21">
      <c r="A120" s="1026" t="s">
        <v>808</v>
      </c>
    </row>
    <row r="121" spans="1:1" ht="21">
      <c r="A121" s="1026" t="s">
        <v>809</v>
      </c>
    </row>
    <row r="122" spans="1:1" ht="21">
      <c r="A122" s="1026" t="s">
        <v>810</v>
      </c>
    </row>
    <row r="123" spans="1:1" ht="21">
      <c r="A123" s="1026" t="s">
        <v>811</v>
      </c>
    </row>
    <row r="124" spans="1:1" ht="21">
      <c r="A124" s="1026" t="s">
        <v>812</v>
      </c>
    </row>
    <row r="125" spans="1:1" ht="21">
      <c r="A125" s="1026" t="s">
        <v>813</v>
      </c>
    </row>
    <row r="126" spans="1:1" ht="21">
      <c r="A126" s="1026" t="s">
        <v>814</v>
      </c>
    </row>
    <row r="127" spans="1:1" ht="21">
      <c r="A127" s="1026" t="s">
        <v>815</v>
      </c>
    </row>
    <row r="128" spans="1:1" ht="21">
      <c r="A128" s="1026" t="s">
        <v>816</v>
      </c>
    </row>
    <row r="129" spans="1:1" ht="21">
      <c r="A129" s="1026" t="s">
        <v>817</v>
      </c>
    </row>
    <row r="130" spans="1:1" ht="21">
      <c r="A130" s="1026" t="s">
        <v>818</v>
      </c>
    </row>
    <row r="131" spans="1:1" ht="21">
      <c r="A131" s="1026" t="s">
        <v>819</v>
      </c>
    </row>
    <row r="132" spans="1:1" ht="21">
      <c r="A132" s="1026" t="s">
        <v>820</v>
      </c>
    </row>
    <row r="133" spans="1:1" ht="21">
      <c r="A133" s="1026" t="s">
        <v>821</v>
      </c>
    </row>
    <row r="134" spans="1:1" ht="21">
      <c r="A134" s="1026" t="s">
        <v>822</v>
      </c>
    </row>
    <row r="135" spans="1:1" ht="6" customHeight="1">
      <c r="A135" s="1026"/>
    </row>
    <row r="136" spans="1:1" ht="37.5" customHeight="1">
      <c r="A136" s="1025" t="s">
        <v>340</v>
      </c>
    </row>
    <row r="137" spans="1:1" ht="21">
      <c r="A137" s="1026" t="s">
        <v>341</v>
      </c>
    </row>
    <row r="138" spans="1:1" ht="21">
      <c r="A138" s="1026" t="s">
        <v>342</v>
      </c>
    </row>
    <row r="139" spans="1:1" ht="21">
      <c r="A139" s="1026" t="s">
        <v>343</v>
      </c>
    </row>
    <row r="140" spans="1:1" ht="21">
      <c r="A140" s="1026" t="s">
        <v>344</v>
      </c>
    </row>
    <row r="141" spans="1:1" ht="21">
      <c r="A141" s="1026" t="s">
        <v>345</v>
      </c>
    </row>
    <row r="142" spans="1:1" ht="21">
      <c r="A142" s="1026" t="s">
        <v>346</v>
      </c>
    </row>
    <row r="143" spans="1:1" ht="21">
      <c r="A143" s="1026" t="s">
        <v>347</v>
      </c>
    </row>
    <row r="144" spans="1:1" ht="21">
      <c r="A144" s="1026" t="s">
        <v>382</v>
      </c>
    </row>
    <row r="145" spans="1:1" ht="21">
      <c r="A145" s="1026" t="s">
        <v>418</v>
      </c>
    </row>
    <row r="146" spans="1:1" ht="55.5" customHeight="1">
      <c r="A146" s="1032" t="s">
        <v>348</v>
      </c>
    </row>
    <row r="147" spans="1:1" ht="21">
      <c r="A147" s="1026" t="s">
        <v>349</v>
      </c>
    </row>
    <row r="148" spans="1:1" ht="26.25" customHeight="1">
      <c r="A148" s="1024" t="s">
        <v>1110</v>
      </c>
    </row>
    <row r="149" spans="1:1" ht="21">
      <c r="A149" s="1026" t="s">
        <v>1107</v>
      </c>
    </row>
    <row r="150" spans="1:1" ht="21">
      <c r="A150" s="1026" t="s">
        <v>1108</v>
      </c>
    </row>
    <row r="151" spans="1:1" ht="42">
      <c r="A151" s="1026" t="s">
        <v>1109</v>
      </c>
    </row>
    <row r="152" spans="1:1" ht="21">
      <c r="A152" s="1031"/>
    </row>
  </sheetData>
  <mergeCells count="1">
    <mergeCell ref="A1:A2"/>
  </mergeCells>
  <hyperlinks>
    <hyperlink ref="A9" location="'I.1.4 Afil. SDSS Anual'!Área_de_impresión" display="I.1.4. Distribución  de Afiliados al SDSS por Regímenes"/>
    <hyperlink ref="A11" location="'I.1.6 Proy. afil.Vs pobl.'!Área_de_impresión" display="I.1.6. Comparación Proyección de la Afiliación del SDSS vs. Población Nacional"/>
    <hyperlink ref="A17" location="'II.1 Pob. econ.'!Área_de_impresión" display="II.1. Población República Dominicana"/>
    <hyperlink ref="A18" location="'II.2 Ocup. formal '!Área_de_impresión" display="II.2. Distribución de la Población Ocupada Formal por Rama de Actividad"/>
    <hyperlink ref="A20" location="'III.1 Ingr y egr SDSS'!Área_de_impresión" display="III.1.  Ingresos y Egresos Anuales del SDSS "/>
    <hyperlink ref="A24" location="'IV.1.1.1 Afil. SFS RC Anual '!Área_de_impresión" display="IV.1.1.1.  Afiliación Anual al  SFS del RC y Cobertura Efectiva"/>
    <hyperlink ref="A25" location="'IV.1.1.2 Afil. SFS RC Mensual '!Área_de_impresión" display="IV.1.1.2. Afiliación Mensual al  SFS del RC y Cobertura Efectiva"/>
    <hyperlink ref="A26" location="'IV.1.1.3 Ind. Dep SFS RC Mens'!Área_de_impresión" display="IV.1.1.3.  Indice de Dependencia en Afiliación Activa y Cobertura Efectiva SFS del RC"/>
    <hyperlink ref="A27" location="'IV.1.1.4 Tit. Vs pob ocup.'!Área_de_impresión" display="IV.1.1.4. Comparativo Afiliados Titulares con Población Ocupada Asalariada"/>
    <hyperlink ref="A40" location="'IV.1.2.1 Rec. disp. salud'!Área_de_impresión" display="IV.1.2.1. Ingresos y Dispersión de las Cuentas Cuidado de la Salud y FONAMAT del SFS del RC"/>
    <hyperlink ref="A41" location="'IV.1.2.2 Disp. SFS'!A1" display="IV.1.2.2. Fondos Dispersados Anualmente por Cuentas al SFS del RC"/>
    <hyperlink ref="A42" location="'IV.1.2.3 Dip. SFS mensual'!A1" display="IV.1.2.3. Fondos Dispersados Mensualmente por Cuentas al SFS del RC"/>
    <hyperlink ref="A43" location="'IV.1.2.4 Disp. x ARS 2'!Área_de_impresión" display="IV.1.2.4. Fondos Dispersados  a las ARS del SFS del RC"/>
    <hyperlink ref="A44" location="'IV.1.2.5 Disp. x ARS'!Área_de_impresión" display="IV.1.2.5. Fondos Dispersados del RC a las ARS del SFS"/>
    <hyperlink ref="A46" location="'IV.1.3.1 Por cuentas'!Área_de_impresión" display="IV.1.3.1.  Distribución de Fondos del SFS del RC en Certificados Financieros por Cuentas"/>
    <hyperlink ref="A50" location="'IV.2.1.1 fil anual SFS RS '!Área_de_impresión" display="IV.2.1.1.Afiliación  Anual Definitiva y Cobertura Efectiva al  SFS del  RS"/>
    <hyperlink ref="A51" location="'IV.2.1.2 Afil. RS mensual'!Área_de_impresión" display="IV.2.1.2. Afiliación  Mensual Definitiva y Cobertura Efectiva al  SFS del  RS"/>
    <hyperlink ref="A52" location="'IV.2.1.3 Afil. SFS RS Vs pob.'!Área_de_impresión" display="IV.2.1.3. Comportamiento de la Afiliación al SFS del RS con relación  a la Población Pobre del País ( Escenario MEPYD)"/>
    <hyperlink ref="A54" location="'IV.2.1.6 Ind. depend.'!Área_de_impresión" display="IV.2.1.4. Indice de Dependencia del RS"/>
    <hyperlink ref="A56" location="'IV.2.2.1 Aport. Disp. RS'!Área_de_impresión" display="IV.2.2.1. Aporte  y Dispersión Anual  al SFS del RS"/>
    <hyperlink ref="A57" location="'IV.2.2.2 Saldos RS mensual'!Área_de_impresión" display="IV.2.2.2. Aporte  y Dispersión Mensual al SFS del RS"/>
    <hyperlink ref="A59" location="'IV.3.1 Afil. SFSP Anual.'!Área_de_impresión" display="IV.3.1. Afiliación Mensual  de Pensionados"/>
    <hyperlink ref="A60" location="'IV.3.2 Afil. SFSP Mensual'!Área_de_impresión" display="IV.3.2. Afiliación Pensionados por ARS"/>
    <hyperlink ref="A61" location="'IV.3.3 Disp.SFS Pens.x ARS'!Área_de_impresión" display="IV.3.3. Dispersión SFSP por  ARS"/>
    <hyperlink ref="A65" location="'IV.4.1.2 Afil. a EI (2)'!Área_de_impresión" display="IV.4.1.2. Niños Beneficiarios de las Estancias Infantiles "/>
    <hyperlink ref="A73" location="'V.1.1 Afil. SVDS'!Área_de_impresión" display="V.1.1. Cantidad  de Afiliados  y Cotizantes  Anual al SVDS del RC"/>
    <hyperlink ref="A75" location="'V.1.3 Afil. SVDS mensual'!Área_de_impresión" display="V.1.3. Cantidad  de Afiliados  y Cotizantes  Mensual al SVDS del RC"/>
    <hyperlink ref="A78" location="'V.1.6 Cotiz x sal. min. cotiz.'!Área_de_impresión" display="V.1.6. Cotizantes del SVDS por Salario Mínimo Cotizable "/>
    <hyperlink ref="A77" location="'V.1.5 Cotiz. x rango de edad'!Área_de_impresión" display="V.1.5. Cantidad de Cotizantes del SVDS por Rango de Edad "/>
    <hyperlink ref="A79" location="'V.1.7 Cotiz.x AFP y fondos'!Área_de_impresión" display="V.1.7. Distribución de los Afiliados Cotizantes por AFP's y Fondos de Reparto"/>
    <hyperlink ref="A80" location="'V.1.8 Cotiz. x sexo'!Área_de_impresión" display="V.1.8. Distribución de los Afiliados Cotizantes  al SVDS por sexo"/>
    <hyperlink ref="A83" location="'V.2.1 Disp. SVDS'!Área_de_impresión" display="V.2.1. Dispersión Histórica al SVDS"/>
    <hyperlink ref="A84" location="'V.2.2 Disp. anual  x cuentas'!Área_de_impresión" display="V.2.2. Dispersión Anual por Cuentas del SVDS "/>
    <hyperlink ref="A87" location="'V.3.2 Trasp. recibidos.'!Área_de_impresión" display="V.3.2. Traspasos Recibidos en Entidades de CCI/ Reparto"/>
    <hyperlink ref="A88" location="'V.3.3 Trasp. cedidos'!Área_de_impresión" display="V.3.3. Traspasos Cedidos en  Entidades de  CCI / Reparto"/>
    <hyperlink ref="A89" location="'V.3.4 Trasp. netos'!Área_de_impresión" display="V.3.4. Traspasos Netos en  Entidades de CCI (Reparto)"/>
    <hyperlink ref="A94" location="'V.5.2 Cartera de inv fp'!Área_de_impresión" display="V.5.2. Composición de la Cartera de inversión de los Fondos de Pensiones por tipo de Emisor"/>
    <hyperlink ref="A98" location="'VI.1.1 Afil. SRL'!Área_de_impresión" display="VI.1.1. Comparativo Afiliación al SRL en relación a la Población Asalariada  "/>
    <hyperlink ref="A99" location="'VI.1.2 Afil. SRL x sexoy edad'!Área_de_impresión" display="VI.1.2. Afiliación al SRL por Grupo de Edad y sexo "/>
    <hyperlink ref="A100" location="'VI.1.3 Afil. ARL x riesgo'!Área_de_impresión" display="VI.1.3. Empleados Afiliados Activos al SDSS por Tipo de Riesgos Laborales de sus Empresas"/>
    <hyperlink ref="A102" location="'VI.2.1 Disp. anual ARL'!Área_de_impresión" display="VI.2.1 Dispersión Anual al SRL por Cuentas"/>
    <hyperlink ref="A103" location="'VI.2.2 Disp. mensual a ARL'!Área_de_impresión" display="VI.2.2 Dispersión mensual por cuentas al Seguro de Riesgos laborales"/>
    <hyperlink ref="A138" location="'VI.4.2 Gastos med. ARL'!A1" display="VI.4.2. Prestaciones en  Gastos Médicos al Seguro de Riesgos Laborales (SRL)"/>
    <hyperlink ref="A139" location="'VI.4.3 Gastos prevenc. riesgos'!A1" display="VI.4.3. Gastos del SRL en el Programa de Prevención de Riesgos"/>
    <hyperlink ref="A140" location="'VI.4.4 Pensión sobrev. ARL'!A1" display="VI.4.4. Pensiones por Sobrevivencia del SRL"/>
    <hyperlink ref="A141" location="'VI.4.5 Pensión discap ARL'!A1" display="VI.4.5. Pago Pensión por Discapacidad  Permanente del SRL"/>
    <hyperlink ref="A142" location="'VI.4.6 Discap. temporal ARL'!A1" display="VI.4.6. Subsidio por Discapacidad Temporal del SRL"/>
    <hyperlink ref="A143" location="'VI.4.7 Indemniz.ARL'!A1" display="VI.4.7. Indemnizaciones por Pérdida de Miembro del SRL"/>
    <hyperlink ref="A147" location="'VII.1 CMR'!A1" display="VII.1. Solicitudes de Evaluación de Discapacidad Permanente y Dictámenes de las CMRN"/>
    <hyperlink ref="A93" location="'V.5.1 Patrim. fp anual'!Área_de_impresión" display="V.5.1. Patrimonio de los Fondos de Pensiones por año"/>
    <hyperlink ref="A91" location="'V.4.1 Pensiones por año'!Área_de_impresión" display="V.4.1. Pensiones Totales Otorgadas por Año"/>
    <hyperlink ref="A86" location="'VI.3.1 NA. Reportes ARL'!Área_de_impresión" display="V.3.1. Traspasos Totales por año"/>
    <hyperlink ref="A144" location="'VI.4.8 Remuneración SRL'!A1" display="VI.4.8. Remuneración SRL"/>
    <hyperlink ref="A145" location="'VI.4.9 Beneficios SRL'!A1" display="VI.4.9. Pagos de Prestaciones y Gastos en Salud de la ARL"/>
    <hyperlink ref="A47" location="'IV.1.3.2 Por entidad'!Área_de_impresión" display="IV.1.3.2. Distribución de Fondos del SFS del RC en Certificados Financieros  por Entidad  "/>
    <hyperlink ref="A53" location="'IV.2.1.5 Afil. SFS RS Vs pob 4'!Área_de_impresión" display="IV.2.1.4. Porcentaje de Cobertura del Régimen Subsidiado con Relación a la Población pobre según ICV"/>
    <hyperlink ref="A10" location="'I.1.5 Afil. SDSS Mensual'!Área_de_impresión" display="I.1.5 Afiliación Mensual Definitiva y Cobertura Efectiva del SDSS     "/>
    <hyperlink ref="A66" location="'IV.4.1.3 Evol. afil. EI'!Área_de_impresión" display="IV.4.1.3. Evolución en el Resultado del Proceso de Afiliación"/>
    <hyperlink ref="A74" location="'V.1.2 Afil. cotiz.'!Área_de_impresión" display="V.1.2. Comparación anual del número de Afiliados  Cotizantes con la  Población Asalariada  "/>
    <hyperlink ref="A95" location="'V.5.3 Rent. nom. de los FP'!Área_de_impresión" display="V.5.3. Rentabilidad Nominal Promedio  de los Fondos de Pensiones por semestre"/>
    <hyperlink ref="A6" location="'I.1.1 Cobertura SDSS '!Área_de_impresión" display="I.1.1 Porcentaje de Cobertura Efectiva del SDSS con Relación a la Población Nacional"/>
    <hyperlink ref="A7" location="'I.1.2 Cobertura SDSS '!Área_de_impresión" display="I.1.2 Porcentaje de Cobertura de Afiliación Definitiva del SDSS con Relación a la Población Nacional "/>
    <hyperlink ref="A8" location="'I.1.3 Cobertura SDSS '!Área_de_impresión" display="I.1.3 Cobertura del SDSS a la población nacional: Afiliación Definitiva y Efectiva "/>
    <hyperlink ref="A64" location="'IV.4.1.1 Afil. a EI'!Área_de_impresión" display="IV.4.1.1. Afiliación de Niños a las Estancias Infantiles"/>
    <hyperlink ref="A13" location="'I.2.1 Empl x sector '!Área_de_impresión" display="1.2.1 Empresas y Empleados Afiliados Activos al SDSS por sector"/>
    <hyperlink ref="A14" location="'I.2.2 Empr x No. de empl'!Área_de_impresión" display="1.2.2 Empresas Afiliadas Activas al SDSS, por Cantidad de Empleados registrados en TSS"/>
    <hyperlink ref="A15" location="'I.2.3 Salario prom.'!Área_de_impresión" display="1.2.3 Salario Promedio Mensual de los Empleados Afiliados Activos al SDSS, por Sector"/>
    <hyperlink ref="A69" location="'IV.4.2.1 Benef. subsid'!Área_de_impresión" display="IV.4.2.1. Afiliados (as) Beneficiarios por Subsidio de Maternidad, Lactancia y Enfermedad Común"/>
    <hyperlink ref="A70" location="'IV.4.2.2 Monto subsid'!Área_de_impresión" display="IV.4.2.2. Montos aprobados en RD$ por concepto de subsidios por Matenidad, Lactancia y Enfermedad Común"/>
    <hyperlink ref="A76" location="'V.1.4 Afil. SVDS x sexo'!Área_de_impresión" display="V.1.4. Afiliación Anual del SVDS por Sexo "/>
    <hyperlink ref="A105" location="'VI.3.1 NA. Reportes ARL'!Área_de_impresión" display="VI.3.1. Reporte de Accidentes Laborales y Enfermedades Profesionales"/>
    <hyperlink ref="A106" location="'VI.3.2 ID. Accidentabilidad'!Área_de_impresión" display="VI.3.2. Accidentabilidad Laboral de los Afiliados al SRL"/>
    <hyperlink ref="A107" location="'VI.3.3 NA.Cant. accid x región'!Área_de_impresión" display="VI.3.3. Reporte de Accidentes Laborales y Enfermedades Profesionales por Región"/>
    <hyperlink ref="A108" location="'VI.3.4 NA.Cant. accid x Prov.)'!Área_de_impresión" display="VI.3.4. Reporte de Accidentes Laborales y Enfermedades Profesionales por Provincia"/>
    <hyperlink ref="A109" location="'VI.3.5 NA.Cant. accid x Proced.'!Área_de_impresión" display="VI.3.5. Reporte de Accidentes Laborales y Enfermedades Profesionales por Zona de Procedencia"/>
    <hyperlink ref="A110" location="'VI.3.6 Accid x activ. econ.'!Área_de_impresión" display="VI.3.6. Reporte de Accidentes Laborales y Enfermedades Profesionales por Actividad Económica"/>
    <hyperlink ref="A111" location="' VI.3.7 Accid x ocupación'!A1" display="VI.3.7. Reporte de Accidentes Laborales y Enfermedades Profesionales por Ocupación"/>
    <hyperlink ref="A112" location="' VI.3.8 NA.Cant. accid x sector'!A1" display="VI.3.8. Reporte de Accidentes Laborales y Enfermedades Profesionales por Sector"/>
    <hyperlink ref="A113" location="'VI.3.9 Accid x sector '!A1" display="VI.3.9. Comparación Reporte de Accidentes Laborales y Enfermedades Profesionales y Afiliación al SRL por Sector"/>
    <hyperlink ref="A114" location="'VI.3.10 Accid x sexo'!A1" display="VI.3.10. Reporte de Accidentes Laborales y Enfermedades Profesionales por Sexo"/>
    <hyperlink ref="A115" location="'VI.3.11 Accid x sexo (2)'!A1" display="VI.3.11. Comparación Reporte de Accidentes Laborales y Enfermedades Profesionales y Afilación al SRL  por Sexo"/>
    <hyperlink ref="A116" location="'VI.3.12 Accid x rango de edad'!A1" display="VI.3.12. Reporte de Accidentes Laborales y Enfermedades Profesionales por Rango de Edad"/>
    <hyperlink ref="A117" location="'VI.3.13 Accid x edad'!A1" display="VI.3.13. Comparación Reporte de Accidentes Laborales y Enfermedades Profesionales y Afilación al SRL por edad"/>
    <hyperlink ref="A119" location="'VI.3.15 EC. Accid. Lab.'!A1" display="VI.3.15. Cantidad de Expedientes de Accidentes Laborales Calificados por la ARL"/>
    <hyperlink ref="A120" location="'VI.3.16 EC. Accid. Lab (2)'!A1" display="VI.3.16. Cantidad de Expedientes Calificados  por la ARL Vs. Casos Reportados"/>
    <hyperlink ref="A121" location="'VI.3.17 EC. Accid. Lab x tipo'!A1" display="VI.3.17. Cantidad de Expedientes Calificados por la ARL por tipo de Accidente"/>
    <hyperlink ref="A122" location="'VI.3.18 EC. Accid. Lab x Lesión'!A1" display="VI.3.18. Cantidad de Expedientes Calificados  por la ARL por Grado de Lesión"/>
    <hyperlink ref="A123" location="'VI.3.19 Accid.Lab suceso'!A1" display="VI.3.19. Cantidad de Expedientes Calificados  por la ARL según Circunstancia del Suceso"/>
    <hyperlink ref="A124" location="'VI.3.20 EC. x mecanismo causal'!A1" display="VI.3.20. Cantidad de Expedientes Calificados por la ARL según Mecanismo de Producción del Accidente"/>
    <hyperlink ref="A125" location="'VI.3.21 EC. x Agente daño'!A1" display="VI.3.21. Cantidad de Expedientes Calificados  por la ARL según Agente Dañino"/>
    <hyperlink ref="A126" location="'VI.3.22 EC. x  lugar de accid.'!A1" display="VI.3.22. Cantidad de Expedientes Calificados  por la ARL según Lugar del Accidente"/>
    <hyperlink ref="A127" location="'VI.3.23 Exped. Calif. x antig.'!A1" display="VI.3.23. Cantidad de Expedientes Calificados  por la ARL por Antiguedad en el Puesto de Trabajo"/>
    <hyperlink ref="A128" location="'VI.3.24 EC. Accid incapac.'!A1" display="VI.3.24. Accidentes Laborales con Lesiones Discapacitantes"/>
    <hyperlink ref="A129" location="'VI.3.25 EC. Enferm. Prof (R)'!A1" display="VI.3.25. Cantidad de Expedientes de Enfermedades Profesionales Calificados en  Proceso de Reinvestigación"/>
    <hyperlink ref="A130" location="'VI.3.26 EC. Accid Lab.(R)'!A1" display="VI.3.26. Cantidad de Expedientes de Accidentes Laborales Calificados en  Proceso de Reinvestigación"/>
    <hyperlink ref="A131" location="'VI.3.27. Accid. Aprobxtipo'!A1" display="VI.3.27. Casos Aprobados en Proceso de Reinvestigación por tipo de Accidente "/>
    <hyperlink ref="A132" location="'VI.3.28. Accid. Aprob xLesión '!A1" display="VI.3.28. Casos Aprobados en Proceso de Reinvestigación por Grado de Lesión"/>
    <hyperlink ref="A133" location="'VI.3.29 Accid.Aprob Según suc.'!A1" display="VI.3.29. Casos Aprobados en Proceso de Reinvestigación por Circunstancia del Suceso"/>
    <hyperlink ref="A134" location="'VI.3.30 Pagos de ARLSS'!A1" display="VI.3.30. Histórico de los pagos realizados por la ARLSS a las Subcuentas"/>
    <hyperlink ref="A137" location="'VI.4.1 Prest. econ. SRL'!A1" display="VI.4.1. Prestaciones Económicas Otorgadas por el SRL, por Tipo de Prestación"/>
    <hyperlink ref="A28" location="'IV.1.1.5.Afil. SFS x ARS'!A1" display="IV.1.1.5. Afiliación Definitiva al SFS del  RC por ARS y Rango de Edad"/>
    <hyperlink ref="A29" location="'IV.1.1.6. Afil. SFS.Región.Edad'!A1" display="IV.1.1.6. Composición de la Afiliación Definitiva al SFS del  RC por Región de Salud, Tipo de Empleador y Estatus "/>
    <hyperlink ref="A30" location="'IV.1.1.7. Afil. SFS.Región.Edad'!A1" display="IV.1.1.7. Afiliación Definitiva al SFS del  RC por Región de Salud y Rango de Edad"/>
    <hyperlink ref="A31" location="'IV.1.1.8 Afil. SFS.Prov.Edad'!A31" display="IV.1.1.8. Afiliación Definitiva al SFS del  RC  Por Provincia y Rango de Edad"/>
    <hyperlink ref="A32" location="'IV.1.1.9 Afil. SFS.Prov.Sector'!A1" display="IV.1.1.9. Afiliación Definitiva al SFS del  RC de por Provincia y Sector Económico"/>
    <hyperlink ref="A33" location="'IV.1.1.10 Afil. SFS.Prov.EPriv'!Área_de_impresión" display="IV.1.1.10. Afiliación Definitiva al SFS del  RC de Trabajadores de Empresas Privadas Por Provincia y Rango de Edad"/>
    <hyperlink ref="A34" location="'IV.1.1.11 Afil.SFS.Prov EPub D '!A1" display="IV.1.1.11. Afiliación Definitiva al SFS del  RC de Trabajadores de Empresas Pública Descentralizadas por Provincia y Rango de Edad"/>
    <hyperlink ref="A35" location="'IV.1.1.12 Afil. SFS.Prov.EPub.C'!A1" display="IV.1.1.12. Régimen Especial Transitorio para la Salud de Pensionados Ley 1896-379.  Afiliación Definitiva al SFS del  RC de Trabajadores de Empresas Pública Centralizadas por Provincia y Rango de Edad "/>
    <hyperlink ref="A36" location="'IV.1.1.13 Afil.SFS.Art.124 Ley'!A1" display="IV.1.1.13. Afiliación Definitiva al SFS del  RC (Aplicación Artículo 24 de la Ley 87-01)"/>
    <hyperlink ref="A37" location="'IV.1.1.14 Comparativo afil.edad'!A1" display="IV.1.1.14. Comparativo de la Población Afiliada al SFS RC  con la Población Nacional por Rango de Edad"/>
    <hyperlink ref="A38" location="'IV.1.1.15 Comp. afil. región'!A1" display="IV.1.1.15. Comparativo de la Población Afiliada al SFS RC  con la Población Nacional por Región"/>
    <hyperlink ref="A67" location="'IV.4.1.4 EI Estancias'!Área_de_impresión" display="IV.4.1.4. Estancias Infantiles Habilitadas para la Afiliación de Hijos de Trabajadores Afiliados al RC"/>
    <hyperlink ref="A118" location="'VI.3.14 Accid x Escolaridad'!A1" display="VI.3.14. Reporte de Accidentes Laborales y Enfermedades Profesionales por Nivel de Escolaridad"/>
  </hyperlinks>
  <pageMargins left="0.98425196850393704" right="0.98425196850393704" top="0.98425196850393704" bottom="0.98425196850393704" header="0.51181102362204722" footer="0.51181102362204722"/>
  <pageSetup scale="65" fitToHeight="0" orientation="portrait" r:id="rId1"/>
  <rowBreaks count="2" manualBreakCount="2">
    <brk id="91" man="1"/>
    <brk id="13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pageSetUpPr fitToPage="1"/>
  </sheetPr>
  <dimension ref="A1:AB110"/>
  <sheetViews>
    <sheetView showGridLines="0" view="pageBreakPreview" zoomScale="55" zoomScaleNormal="100" zoomScaleSheetLayoutView="55" zoomScalePageLayoutView="62" workbookViewId="0">
      <pane ySplit="1" topLeftCell="A2" activePane="bottomLeft" state="frozen"/>
      <selection pane="bottomLeft" activeCell="K27" sqref="K27"/>
    </sheetView>
  </sheetViews>
  <sheetFormatPr baseColWidth="10" defaultColWidth="11.42578125" defaultRowHeight="15"/>
  <cols>
    <col min="1" max="1" width="14.140625" style="128" customWidth="1"/>
    <col min="2" max="2" width="17.7109375" style="128" customWidth="1"/>
    <col min="3" max="3" width="17.5703125" style="128" customWidth="1"/>
    <col min="4" max="4" width="17" style="128" customWidth="1"/>
    <col min="5" max="5" width="17.7109375" style="128" customWidth="1"/>
    <col min="6" max="6" width="17.5703125" style="128" customWidth="1"/>
    <col min="7" max="7" width="14.85546875" style="128" customWidth="1"/>
    <col min="8" max="8" width="14.5703125" style="128" customWidth="1"/>
    <col min="9" max="9" width="20" style="128" customWidth="1"/>
    <col min="10" max="10" width="21" style="128" customWidth="1"/>
    <col min="11" max="11" width="20.85546875" style="128" customWidth="1"/>
    <col min="12" max="12" width="21.140625" style="128" customWidth="1"/>
    <col min="13" max="13" width="16.5703125" style="128" customWidth="1"/>
    <col min="14" max="14" width="13.140625" style="128" customWidth="1"/>
    <col min="15" max="15" width="15.7109375" style="128" customWidth="1"/>
    <col min="16" max="16" width="16.5703125" style="128" customWidth="1"/>
    <col min="17" max="17" width="17.5703125" style="128" customWidth="1"/>
    <col min="18" max="18" width="16" style="128" customWidth="1"/>
    <col min="19" max="19" width="36.85546875" style="128" customWidth="1"/>
    <col min="20" max="27" width="11.42578125" style="128"/>
    <col min="28" max="28" width="18.7109375" style="128" bestFit="1" customWidth="1"/>
    <col min="29" max="16384" width="11.42578125" style="128"/>
  </cols>
  <sheetData>
    <row r="1" spans="1:19" ht="93" customHeight="1">
      <c r="A1" s="2263" t="s">
        <v>1938</v>
      </c>
      <c r="B1" s="2263"/>
      <c r="C1" s="2263"/>
      <c r="D1" s="2263"/>
      <c r="E1" s="2263"/>
      <c r="F1" s="2263"/>
      <c r="G1" s="2263"/>
      <c r="H1" s="2263"/>
      <c r="I1" s="2263"/>
      <c r="J1" s="2263"/>
      <c r="K1" s="2263"/>
      <c r="L1" s="2263"/>
      <c r="M1" s="2263"/>
      <c r="N1" s="2263"/>
      <c r="O1" s="2263"/>
      <c r="P1" s="2263"/>
      <c r="Q1" s="2263"/>
      <c r="R1" s="2263"/>
    </row>
    <row r="2" spans="1:19" ht="5.25" customHeight="1">
      <c r="A2" s="591"/>
      <c r="B2" s="591"/>
      <c r="C2" s="591"/>
      <c r="D2" s="591"/>
      <c r="E2" s="591"/>
      <c r="F2" s="591"/>
      <c r="G2" s="591"/>
      <c r="H2" s="591"/>
      <c r="I2" s="591"/>
      <c r="J2" s="591"/>
      <c r="K2" s="591"/>
      <c r="L2" s="591"/>
      <c r="M2" s="591"/>
      <c r="N2" s="591"/>
      <c r="O2" s="591"/>
      <c r="P2" s="591"/>
      <c r="Q2" s="591"/>
      <c r="R2" s="591"/>
    </row>
    <row r="3" spans="1:19" s="79" customFormat="1" ht="115.5" customHeight="1">
      <c r="A3" s="617" t="s">
        <v>52</v>
      </c>
      <c r="B3" s="623" t="s">
        <v>1248</v>
      </c>
      <c r="C3" s="623" t="s">
        <v>1249</v>
      </c>
      <c r="D3" s="623" t="s">
        <v>1250</v>
      </c>
      <c r="E3" s="623" t="s">
        <v>1251</v>
      </c>
      <c r="F3" s="623" t="s">
        <v>1252</v>
      </c>
      <c r="G3" s="623" t="s">
        <v>940</v>
      </c>
      <c r="H3" s="623" t="s">
        <v>1253</v>
      </c>
      <c r="I3" s="1698" t="s">
        <v>1254</v>
      </c>
      <c r="J3" s="1698" t="s">
        <v>1255</v>
      </c>
      <c r="K3" s="1698" t="s">
        <v>1256</v>
      </c>
      <c r="L3" s="1698" t="s">
        <v>1257</v>
      </c>
      <c r="M3" s="1698" t="s">
        <v>1258</v>
      </c>
      <c r="N3" s="1698" t="s">
        <v>1259</v>
      </c>
      <c r="O3" s="1698" t="s">
        <v>1260</v>
      </c>
      <c r="P3" s="845" t="s">
        <v>1261</v>
      </c>
      <c r="Q3" s="845" t="s">
        <v>1262</v>
      </c>
      <c r="R3" s="845" t="s">
        <v>493</v>
      </c>
      <c r="S3" s="846"/>
    </row>
    <row r="4" spans="1:19" ht="18.75" hidden="1">
      <c r="A4" s="944">
        <v>40940</v>
      </c>
      <c r="B4" s="939">
        <v>1190787</v>
      </c>
      <c r="C4" s="937">
        <f t="shared" ref="C4:C19" si="0">D4+E4</f>
        <v>1346002</v>
      </c>
      <c r="D4" s="939">
        <v>1247260</v>
      </c>
      <c r="E4" s="939">
        <v>98742</v>
      </c>
      <c r="F4" s="1157">
        <f t="shared" ref="F4:F12" si="1">B4+C4</f>
        <v>2536789</v>
      </c>
      <c r="G4" s="847">
        <f t="shared" ref="G4:G12" si="2">B4/F4</f>
        <v>0.46940719153228749</v>
      </c>
      <c r="H4" s="847">
        <f t="shared" ref="H4:H12" si="3">C4/F4</f>
        <v>0.53059280846771251</v>
      </c>
      <c r="I4" s="939">
        <v>1231300</v>
      </c>
      <c r="J4" s="937">
        <f t="shared" ref="J4:J10" si="4">K4+L4</f>
        <v>1384840</v>
      </c>
      <c r="K4" s="942">
        <v>1284740</v>
      </c>
      <c r="L4" s="942">
        <v>100100</v>
      </c>
      <c r="M4" s="1158">
        <f t="shared" ref="M4:M11" si="5">I4+J4</f>
        <v>2616140</v>
      </c>
      <c r="N4" s="848">
        <f t="shared" ref="N4:N9" si="6">I4/M4</f>
        <v>0.47065524016298821</v>
      </c>
      <c r="O4" s="848">
        <f t="shared" ref="O4:O10" si="7">J4/M4</f>
        <v>0.52934475983701179</v>
      </c>
      <c r="P4" s="706">
        <f t="shared" ref="P4:P9" si="8">M4/F4</f>
        <v>1.0312800946393255</v>
      </c>
      <c r="Q4" s="706">
        <f t="shared" ref="Q4:Q9" si="9">I4/B4</f>
        <v>1.0340220375264426</v>
      </c>
      <c r="R4" s="706">
        <f t="shared" ref="R4:R9" si="10">J4/C4</f>
        <v>1.0288543404838923</v>
      </c>
    </row>
    <row r="5" spans="1:19" ht="18.75" hidden="1">
      <c r="A5" s="944">
        <v>40969</v>
      </c>
      <c r="B5" s="940">
        <v>1205800</v>
      </c>
      <c r="C5" s="941">
        <f t="shared" si="0"/>
        <v>1368424</v>
      </c>
      <c r="D5" s="940">
        <v>1266851</v>
      </c>
      <c r="E5" s="940">
        <v>101573</v>
      </c>
      <c r="F5" s="1157">
        <f t="shared" si="1"/>
        <v>2574224</v>
      </c>
      <c r="G5" s="1196">
        <f t="shared" si="2"/>
        <v>0.46841300523963725</v>
      </c>
      <c r="H5" s="1196">
        <f t="shared" si="3"/>
        <v>0.53158699476036275</v>
      </c>
      <c r="I5" s="939">
        <v>1245484</v>
      </c>
      <c r="J5" s="937">
        <f t="shared" si="4"/>
        <v>1410984</v>
      </c>
      <c r="K5" s="939">
        <v>1302922</v>
      </c>
      <c r="L5" s="939">
        <v>108062</v>
      </c>
      <c r="M5" s="1159">
        <f t="shared" si="5"/>
        <v>2656468</v>
      </c>
      <c r="N5" s="1197">
        <f t="shared" si="6"/>
        <v>0.46884961535392106</v>
      </c>
      <c r="O5" s="1198">
        <f t="shared" si="7"/>
        <v>0.53115038464607889</v>
      </c>
      <c r="P5" s="1199">
        <f t="shared" si="8"/>
        <v>1.0319490456153</v>
      </c>
      <c r="Q5" s="1199">
        <f t="shared" si="9"/>
        <v>1.032910930502571</v>
      </c>
      <c r="R5" s="1199">
        <f t="shared" si="10"/>
        <v>1.0311014714737536</v>
      </c>
    </row>
    <row r="6" spans="1:19" ht="18.75" hidden="1">
      <c r="A6" s="944">
        <v>41000</v>
      </c>
      <c r="B6" s="940">
        <v>1211245</v>
      </c>
      <c r="C6" s="941">
        <f t="shared" si="0"/>
        <v>1377586</v>
      </c>
      <c r="D6" s="940">
        <v>1274320</v>
      </c>
      <c r="E6" s="940">
        <v>103266</v>
      </c>
      <c r="F6" s="1157">
        <f t="shared" si="1"/>
        <v>2588831</v>
      </c>
      <c r="G6" s="1196">
        <f t="shared" si="2"/>
        <v>0.46787333742527032</v>
      </c>
      <c r="H6" s="1196">
        <f t="shared" si="3"/>
        <v>0.53212666257472963</v>
      </c>
      <c r="I6" s="939">
        <v>1241072</v>
      </c>
      <c r="J6" s="937">
        <f t="shared" si="4"/>
        <v>1406250</v>
      </c>
      <c r="K6" s="939">
        <v>1302081</v>
      </c>
      <c r="L6" s="939">
        <v>104169</v>
      </c>
      <c r="M6" s="1159">
        <f t="shared" si="5"/>
        <v>2647322</v>
      </c>
      <c r="N6" s="1197">
        <f t="shared" si="6"/>
        <v>0.46880281280478914</v>
      </c>
      <c r="O6" s="1198">
        <f t="shared" si="7"/>
        <v>0.53119718719521081</v>
      </c>
      <c r="P6" s="1199">
        <f t="shared" si="8"/>
        <v>1.0225935953331833</v>
      </c>
      <c r="Q6" s="1199">
        <f t="shared" si="9"/>
        <v>1.0246250758517064</v>
      </c>
      <c r="R6" s="1199">
        <f t="shared" si="10"/>
        <v>1.0208074123865951</v>
      </c>
    </row>
    <row r="7" spans="1:19" ht="18.75" hidden="1">
      <c r="A7" s="944">
        <v>41030</v>
      </c>
      <c r="B7" s="940">
        <v>1214917</v>
      </c>
      <c r="C7" s="941">
        <f t="shared" si="0"/>
        <v>1389402</v>
      </c>
      <c r="D7" s="940">
        <v>1284028</v>
      </c>
      <c r="E7" s="940">
        <v>105374</v>
      </c>
      <c r="F7" s="1157">
        <f t="shared" si="1"/>
        <v>2604319</v>
      </c>
      <c r="G7" s="1196">
        <f t="shared" si="2"/>
        <v>0.4665008395668887</v>
      </c>
      <c r="H7" s="1196">
        <f t="shared" si="3"/>
        <v>0.5334991604331113</v>
      </c>
      <c r="I7" s="939">
        <v>1247594</v>
      </c>
      <c r="J7" s="937">
        <f t="shared" si="4"/>
        <v>1422637</v>
      </c>
      <c r="K7" s="939">
        <v>1316035</v>
      </c>
      <c r="L7" s="939">
        <v>106602</v>
      </c>
      <c r="M7" s="1159">
        <f t="shared" si="5"/>
        <v>2670231</v>
      </c>
      <c r="N7" s="1197">
        <f t="shared" si="6"/>
        <v>0.46722324772650758</v>
      </c>
      <c r="O7" s="1198">
        <f t="shared" si="7"/>
        <v>0.53277675227349242</v>
      </c>
      <c r="P7" s="1199">
        <f t="shared" si="8"/>
        <v>1.0253087275406738</v>
      </c>
      <c r="Q7" s="1199">
        <f t="shared" si="9"/>
        <v>1.0268964875789868</v>
      </c>
      <c r="R7" s="1199">
        <f t="shared" si="10"/>
        <v>1.0239203628611446</v>
      </c>
    </row>
    <row r="8" spans="1:19" ht="18.75" hidden="1">
      <c r="A8" s="944">
        <v>41061</v>
      </c>
      <c r="B8" s="940">
        <v>1223012</v>
      </c>
      <c r="C8" s="941">
        <f t="shared" si="0"/>
        <v>1403503</v>
      </c>
      <c r="D8" s="940">
        <v>1296177</v>
      </c>
      <c r="E8" s="940">
        <v>107326</v>
      </c>
      <c r="F8" s="1157">
        <f t="shared" si="1"/>
        <v>2626515</v>
      </c>
      <c r="G8" s="1196">
        <f t="shared" si="2"/>
        <v>0.46564059219155418</v>
      </c>
      <c r="H8" s="1196">
        <f t="shared" si="3"/>
        <v>0.53435940780844582</v>
      </c>
      <c r="I8" s="939">
        <v>1254835</v>
      </c>
      <c r="J8" s="937">
        <f t="shared" si="4"/>
        <v>1437351</v>
      </c>
      <c r="K8" s="939">
        <v>1328834</v>
      </c>
      <c r="L8" s="939">
        <v>108517</v>
      </c>
      <c r="M8" s="1159">
        <f t="shared" si="5"/>
        <v>2692186</v>
      </c>
      <c r="N8" s="1197">
        <f t="shared" si="6"/>
        <v>0.46610263926786633</v>
      </c>
      <c r="O8" s="1198">
        <f t="shared" si="7"/>
        <v>0.53389736073213367</v>
      </c>
      <c r="P8" s="1199">
        <f t="shared" si="8"/>
        <v>1.025003093452731</v>
      </c>
      <c r="Q8" s="1199">
        <f t="shared" si="9"/>
        <v>1.0260201862287532</v>
      </c>
      <c r="R8" s="1199">
        <f t="shared" si="10"/>
        <v>1.0241167991803366</v>
      </c>
    </row>
    <row r="9" spans="1:19" ht="18.75" hidden="1">
      <c r="A9" s="944">
        <v>41122</v>
      </c>
      <c r="B9" s="940">
        <v>1221877</v>
      </c>
      <c r="C9" s="941">
        <f t="shared" si="0"/>
        <v>1413832</v>
      </c>
      <c r="D9" s="940">
        <v>1305287</v>
      </c>
      <c r="E9" s="940">
        <v>108545</v>
      </c>
      <c r="F9" s="1157">
        <f t="shared" si="1"/>
        <v>2635709</v>
      </c>
      <c r="G9" s="1196">
        <f t="shared" si="2"/>
        <v>0.46358569933175475</v>
      </c>
      <c r="H9" s="1196">
        <f t="shared" si="3"/>
        <v>0.53641430066824525</v>
      </c>
      <c r="I9" s="939">
        <v>1268293</v>
      </c>
      <c r="J9" s="937">
        <f t="shared" si="4"/>
        <v>1457728</v>
      </c>
      <c r="K9" s="939">
        <v>1347701</v>
      </c>
      <c r="L9" s="939">
        <v>110027</v>
      </c>
      <c r="M9" s="1159">
        <f t="shared" si="5"/>
        <v>2726021</v>
      </c>
      <c r="N9" s="1197">
        <f t="shared" si="6"/>
        <v>0.46525430288321329</v>
      </c>
      <c r="O9" s="1198">
        <f t="shared" si="7"/>
        <v>0.53474569711678666</v>
      </c>
      <c r="P9" s="1199">
        <f t="shared" si="8"/>
        <v>1.0342647841624397</v>
      </c>
      <c r="Q9" s="1199">
        <f t="shared" si="9"/>
        <v>1.037987457002628</v>
      </c>
      <c r="R9" s="1199">
        <f t="shared" si="10"/>
        <v>1.0310475360580325</v>
      </c>
    </row>
    <row r="10" spans="1:19" ht="18.75" hidden="1">
      <c r="A10" s="944">
        <v>41153</v>
      </c>
      <c r="B10" s="940">
        <f>+'IV.1.1.1 Afil. SFS RC Anual '!B9</f>
        <v>1242830</v>
      </c>
      <c r="C10" s="941">
        <f t="shared" si="0"/>
        <v>1432322</v>
      </c>
      <c r="D10" s="940">
        <v>1320947</v>
      </c>
      <c r="E10" s="940">
        <v>111375</v>
      </c>
      <c r="F10" s="1157">
        <f t="shared" si="1"/>
        <v>2675152</v>
      </c>
      <c r="G10" s="1196">
        <f t="shared" si="2"/>
        <v>0.46458294706244729</v>
      </c>
      <c r="H10" s="1196">
        <f t="shared" si="3"/>
        <v>0.53541705293755271</v>
      </c>
      <c r="I10" s="939">
        <v>1271489</v>
      </c>
      <c r="J10" s="937">
        <f t="shared" si="4"/>
        <v>1469145</v>
      </c>
      <c r="K10" s="939">
        <v>1355257</v>
      </c>
      <c r="L10" s="939">
        <v>113888</v>
      </c>
      <c r="M10" s="1159">
        <f t="shared" si="5"/>
        <v>2740634</v>
      </c>
      <c r="N10" s="1197">
        <f t="shared" ref="N10:N15" si="11">I10/M10</f>
        <v>0.46393973073383749</v>
      </c>
      <c r="O10" s="1198">
        <f t="shared" si="7"/>
        <v>0.53606026926616246</v>
      </c>
      <c r="P10" s="1199">
        <f t="shared" ref="P10:P15" si="12">M10/F10</f>
        <v>1.0244778614448824</v>
      </c>
      <c r="Q10" s="1199">
        <f t="shared" ref="Q10:R15" si="13">I10/B10</f>
        <v>1.0230594691148427</v>
      </c>
      <c r="R10" s="1199">
        <f t="shared" si="13"/>
        <v>1.0257086046294059</v>
      </c>
    </row>
    <row r="11" spans="1:19" ht="18.75" hidden="1">
      <c r="A11" s="944">
        <v>41183</v>
      </c>
      <c r="B11" s="938">
        <v>1229165</v>
      </c>
      <c r="C11" s="941">
        <f t="shared" si="0"/>
        <v>1430194</v>
      </c>
      <c r="D11" s="940">
        <v>1319116</v>
      </c>
      <c r="E11" s="940">
        <v>111078</v>
      </c>
      <c r="F11" s="1157">
        <f t="shared" si="1"/>
        <v>2659359</v>
      </c>
      <c r="G11" s="1196">
        <f t="shared" si="2"/>
        <v>0.46220348587761184</v>
      </c>
      <c r="H11" s="1196">
        <f t="shared" si="3"/>
        <v>0.53779651412238816</v>
      </c>
      <c r="I11" s="940">
        <v>1252244</v>
      </c>
      <c r="J11" s="937">
        <f>K11+L11</f>
        <v>1453290</v>
      </c>
      <c r="K11" s="940">
        <v>1341255</v>
      </c>
      <c r="L11" s="940">
        <v>112035</v>
      </c>
      <c r="M11" s="1159">
        <f t="shared" si="5"/>
        <v>2705534</v>
      </c>
      <c r="N11" s="1197">
        <f t="shared" si="11"/>
        <v>0.46284541240287502</v>
      </c>
      <c r="O11" s="1198">
        <f t="shared" ref="O11:O16" si="14">J11/M11</f>
        <v>0.53715458759712498</v>
      </c>
      <c r="P11" s="1199">
        <f t="shared" si="12"/>
        <v>1.0173632066975538</v>
      </c>
      <c r="Q11" s="1199">
        <f t="shared" si="13"/>
        <v>1.0187761610524217</v>
      </c>
      <c r="R11" s="1199">
        <f t="shared" si="13"/>
        <v>1.0161488581269393</v>
      </c>
    </row>
    <row r="12" spans="1:19" s="347" customFormat="1" ht="18.75" hidden="1">
      <c r="A12" s="944">
        <v>41214</v>
      </c>
      <c r="B12" s="938">
        <v>1237619</v>
      </c>
      <c r="C12" s="941">
        <f t="shared" si="0"/>
        <v>1437672</v>
      </c>
      <c r="D12" s="940">
        <v>1325484</v>
      </c>
      <c r="E12" s="940">
        <v>112188</v>
      </c>
      <c r="F12" s="1157">
        <f t="shared" si="1"/>
        <v>2675291</v>
      </c>
      <c r="G12" s="1196">
        <f t="shared" si="2"/>
        <v>0.46261098325378436</v>
      </c>
      <c r="H12" s="1196">
        <f t="shared" si="3"/>
        <v>0.53738901674621564</v>
      </c>
      <c r="I12" s="940">
        <v>1262782</v>
      </c>
      <c r="J12" s="937">
        <f t="shared" ref="J12:J22" si="15">K12+L12</f>
        <v>1462402</v>
      </c>
      <c r="K12" s="940">
        <v>1349205</v>
      </c>
      <c r="L12" s="940">
        <v>113197</v>
      </c>
      <c r="M12" s="1159">
        <f>+L12+K12+I12</f>
        <v>2725184</v>
      </c>
      <c r="N12" s="1197">
        <f t="shared" si="11"/>
        <v>0.46337495009511287</v>
      </c>
      <c r="O12" s="1198">
        <f t="shared" si="14"/>
        <v>0.53662504990488713</v>
      </c>
      <c r="P12" s="1199">
        <f t="shared" si="12"/>
        <v>1.0186495599917915</v>
      </c>
      <c r="Q12" s="1199">
        <f t="shared" si="13"/>
        <v>1.020331782236698</v>
      </c>
      <c r="R12" s="1199">
        <f t="shared" si="13"/>
        <v>1.0172014200735633</v>
      </c>
    </row>
    <row r="13" spans="1:19" ht="18.75" hidden="1">
      <c r="A13" s="944">
        <v>41244</v>
      </c>
      <c r="B13" s="938">
        <v>1242830</v>
      </c>
      <c r="C13" s="941">
        <f t="shared" si="0"/>
        <v>1445581</v>
      </c>
      <c r="D13" s="940">
        <v>1332478</v>
      </c>
      <c r="E13" s="940">
        <v>113103</v>
      </c>
      <c r="F13" s="1157">
        <f>B13+C13</f>
        <v>2688411</v>
      </c>
      <c r="G13" s="1196">
        <f t="shared" ref="G13:G18" si="16">B13/F13</f>
        <v>0.46229166596922866</v>
      </c>
      <c r="H13" s="1196">
        <f t="shared" ref="H13:H18" si="17">C13/F13</f>
        <v>0.53770833403077134</v>
      </c>
      <c r="I13" s="940">
        <v>1270865</v>
      </c>
      <c r="J13" s="937">
        <f t="shared" si="15"/>
        <v>1476870</v>
      </c>
      <c r="K13" s="940">
        <v>1362366</v>
      </c>
      <c r="L13" s="940">
        <v>114504</v>
      </c>
      <c r="M13" s="1159">
        <f>+L13+K13+I13</f>
        <v>2747735</v>
      </c>
      <c r="N13" s="1197">
        <f t="shared" si="11"/>
        <v>0.46251367035030672</v>
      </c>
      <c r="O13" s="1198">
        <f t="shared" si="14"/>
        <v>0.53748632964969334</v>
      </c>
      <c r="P13" s="1199">
        <f t="shared" si="12"/>
        <v>1.0220665664587743</v>
      </c>
      <c r="Q13" s="1199">
        <f t="shared" si="13"/>
        <v>1.0225573891843616</v>
      </c>
      <c r="R13" s="1199">
        <f t="shared" si="13"/>
        <v>1.0216445844266078</v>
      </c>
    </row>
    <row r="14" spans="1:19" ht="18.75" hidden="1">
      <c r="A14" s="944">
        <v>41275</v>
      </c>
      <c r="B14" s="938">
        <v>1240536</v>
      </c>
      <c r="C14" s="941">
        <f t="shared" si="0"/>
        <v>1450145</v>
      </c>
      <c r="D14" s="940">
        <v>1336222</v>
      </c>
      <c r="E14" s="940">
        <v>113923</v>
      </c>
      <c r="F14" s="1157">
        <f>B14+C14</f>
        <v>2690681</v>
      </c>
      <c r="G14" s="1196">
        <f t="shared" si="16"/>
        <v>0.46104908013993484</v>
      </c>
      <c r="H14" s="1196">
        <f t="shared" si="17"/>
        <v>0.53895091986006516</v>
      </c>
      <c r="I14" s="943">
        <v>1275175</v>
      </c>
      <c r="J14" s="937">
        <f t="shared" si="15"/>
        <v>1491822</v>
      </c>
      <c r="K14" s="943">
        <v>1375547</v>
      </c>
      <c r="L14" s="943">
        <v>116275</v>
      </c>
      <c r="M14" s="1159">
        <f>+L14+K14+I14</f>
        <v>2766997</v>
      </c>
      <c r="N14" s="1197">
        <f t="shared" si="11"/>
        <v>0.46085160193523883</v>
      </c>
      <c r="O14" s="1198">
        <f t="shared" si="14"/>
        <v>0.53914839806476123</v>
      </c>
      <c r="P14" s="1199">
        <f t="shared" si="12"/>
        <v>1.0283630798299761</v>
      </c>
      <c r="Q14" s="1199">
        <f t="shared" si="13"/>
        <v>1.0279226076470172</v>
      </c>
      <c r="R14" s="1199">
        <f t="shared" si="13"/>
        <v>1.0287398846322264</v>
      </c>
    </row>
    <row r="15" spans="1:19" ht="18.75" hidden="1">
      <c r="A15" s="944">
        <v>41306</v>
      </c>
      <c r="B15" s="938">
        <v>1249039</v>
      </c>
      <c r="C15" s="941">
        <f t="shared" si="0"/>
        <v>1459376</v>
      </c>
      <c r="D15" s="940">
        <v>1343926</v>
      </c>
      <c r="E15" s="940">
        <v>115450</v>
      </c>
      <c r="F15" s="1157">
        <f t="shared" ref="F15:F33" si="18">+B15+D15+E15</f>
        <v>2708415</v>
      </c>
      <c r="G15" s="1196">
        <f t="shared" si="16"/>
        <v>0.46116972472830048</v>
      </c>
      <c r="H15" s="1196">
        <f t="shared" si="17"/>
        <v>0.53883027527169947</v>
      </c>
      <c r="I15" s="943">
        <v>1285398</v>
      </c>
      <c r="J15" s="937">
        <f t="shared" si="15"/>
        <v>1491978</v>
      </c>
      <c r="K15" s="943">
        <v>1374230</v>
      </c>
      <c r="L15" s="943">
        <v>117748</v>
      </c>
      <c r="M15" s="1159">
        <f>+L15+K15+I15</f>
        <v>2777376</v>
      </c>
      <c r="N15" s="1197">
        <f t="shared" si="11"/>
        <v>0.46281022087034668</v>
      </c>
      <c r="O15" s="1198">
        <f t="shared" si="14"/>
        <v>0.53718977912965327</v>
      </c>
      <c r="P15" s="1199">
        <f t="shared" si="12"/>
        <v>1.0254617553070708</v>
      </c>
      <c r="Q15" s="1199">
        <f t="shared" si="13"/>
        <v>1.029109579444677</v>
      </c>
      <c r="R15" s="1199">
        <f t="shared" si="13"/>
        <v>1.0223396849064257</v>
      </c>
    </row>
    <row r="16" spans="1:19" ht="18.75" hidden="1">
      <c r="A16" s="944">
        <v>41334</v>
      </c>
      <c r="B16" s="938">
        <v>1260455</v>
      </c>
      <c r="C16" s="941">
        <f t="shared" si="0"/>
        <v>1474743</v>
      </c>
      <c r="D16" s="940">
        <v>1356641</v>
      </c>
      <c r="E16" s="940">
        <v>118102</v>
      </c>
      <c r="F16" s="1157">
        <f t="shared" si="18"/>
        <v>2735198</v>
      </c>
      <c r="G16" s="1196">
        <f t="shared" si="16"/>
        <v>0.4608276987625759</v>
      </c>
      <c r="H16" s="1196">
        <f t="shared" si="17"/>
        <v>0.5391723012374241</v>
      </c>
      <c r="I16" s="943">
        <v>1294708</v>
      </c>
      <c r="J16" s="937">
        <f>K16+L16</f>
        <v>1508904</v>
      </c>
      <c r="K16" s="943">
        <v>1388481</v>
      </c>
      <c r="L16" s="943">
        <v>120423</v>
      </c>
      <c r="M16" s="1159">
        <f t="shared" ref="M16:M31" si="19">+L16+K16+I16</f>
        <v>2803612</v>
      </c>
      <c r="N16" s="1197">
        <f t="shared" ref="N16:N22" si="20">I16/M16</f>
        <v>0.46179999229565288</v>
      </c>
      <c r="O16" s="1198">
        <f t="shared" si="14"/>
        <v>0.53820000770434706</v>
      </c>
      <c r="P16" s="1199">
        <f t="shared" ref="P16:P22" si="21">M16/F16</f>
        <v>1.0250124488245458</v>
      </c>
      <c r="Q16" s="1199">
        <f t="shared" ref="Q16:R22" si="22">I16/B16</f>
        <v>1.0271751074016922</v>
      </c>
      <c r="R16" s="1199">
        <f t="shared" si="22"/>
        <v>1.0231640360388217</v>
      </c>
    </row>
    <row r="17" spans="1:18" ht="18.75" hidden="1" customHeight="1">
      <c r="A17" s="944">
        <v>41365</v>
      </c>
      <c r="B17" s="938">
        <v>1264822</v>
      </c>
      <c r="C17" s="941">
        <f t="shared" si="0"/>
        <v>1483253</v>
      </c>
      <c r="D17" s="940">
        <v>1363526</v>
      </c>
      <c r="E17" s="940">
        <v>119727</v>
      </c>
      <c r="F17" s="1157">
        <f t="shared" si="18"/>
        <v>2748075</v>
      </c>
      <c r="G17" s="1196">
        <f t="shared" si="16"/>
        <v>0.46025745294433373</v>
      </c>
      <c r="H17" s="1196">
        <f t="shared" si="17"/>
        <v>0.53974254705566627</v>
      </c>
      <c r="I17" s="943">
        <v>1304722</v>
      </c>
      <c r="J17" s="937">
        <f t="shared" si="15"/>
        <v>1525843</v>
      </c>
      <c r="K17" s="943">
        <v>1404642</v>
      </c>
      <c r="L17" s="943">
        <v>121201</v>
      </c>
      <c r="M17" s="1159">
        <f t="shared" si="19"/>
        <v>2830565</v>
      </c>
      <c r="N17" s="1197">
        <f t="shared" si="20"/>
        <v>0.4609404836136955</v>
      </c>
      <c r="O17" s="1198">
        <f t="shared" ref="O17:O22" si="23">J17/M17</f>
        <v>0.53905951638630445</v>
      </c>
      <c r="P17" s="1199">
        <f t="shared" si="21"/>
        <v>1.0300173757994233</v>
      </c>
      <c r="Q17" s="1199">
        <f t="shared" si="22"/>
        <v>1.0315459408517562</v>
      </c>
      <c r="R17" s="1199">
        <f t="shared" si="22"/>
        <v>1.0287139146187467</v>
      </c>
    </row>
    <row r="18" spans="1:18" ht="18.75" hidden="1">
      <c r="A18" s="944">
        <v>41395</v>
      </c>
      <c r="B18" s="938">
        <v>1277798</v>
      </c>
      <c r="C18" s="941">
        <f t="shared" si="0"/>
        <v>1502509</v>
      </c>
      <c r="D18" s="940">
        <v>1380238</v>
      </c>
      <c r="E18" s="940">
        <v>122271</v>
      </c>
      <c r="F18" s="1157">
        <f t="shared" si="18"/>
        <v>2780307</v>
      </c>
      <c r="G18" s="1196">
        <f t="shared" si="16"/>
        <v>0.45958881519199141</v>
      </c>
      <c r="H18" s="1196">
        <f t="shared" si="17"/>
        <v>0.54041118480800865</v>
      </c>
      <c r="I18" s="943">
        <v>1314375</v>
      </c>
      <c r="J18" s="937">
        <f t="shared" si="15"/>
        <v>1554545</v>
      </c>
      <c r="K18" s="943">
        <v>1430604</v>
      </c>
      <c r="L18" s="943">
        <v>123941</v>
      </c>
      <c r="M18" s="1159">
        <f t="shared" si="19"/>
        <v>2868920</v>
      </c>
      <c r="N18" s="1197">
        <f t="shared" si="20"/>
        <v>0.45814278543842279</v>
      </c>
      <c r="O18" s="1198">
        <f t="shared" si="23"/>
        <v>0.54185721456157721</v>
      </c>
      <c r="P18" s="1199">
        <f t="shared" si="21"/>
        <v>1.0318716602159401</v>
      </c>
      <c r="Q18" s="1199">
        <f t="shared" si="22"/>
        <v>1.028625025238731</v>
      </c>
      <c r="R18" s="1199">
        <f t="shared" si="22"/>
        <v>1.0346327376408395</v>
      </c>
    </row>
    <row r="19" spans="1:18" ht="18.75" hidden="1">
      <c r="A19" s="944">
        <v>41426</v>
      </c>
      <c r="B19" s="938">
        <v>1287291</v>
      </c>
      <c r="C19" s="941">
        <f t="shared" si="0"/>
        <v>1520489</v>
      </c>
      <c r="D19" s="940">
        <v>1396021</v>
      </c>
      <c r="E19" s="940">
        <v>124468</v>
      </c>
      <c r="F19" s="1157">
        <f t="shared" si="18"/>
        <v>2807780</v>
      </c>
      <c r="G19" s="1196">
        <f t="shared" ref="G19:G24" si="24">B19/F19</f>
        <v>0.45847288605232606</v>
      </c>
      <c r="H19" s="1196">
        <f t="shared" ref="H19:H24" si="25">C19/F19</f>
        <v>0.54152711394767394</v>
      </c>
      <c r="I19" s="943">
        <v>1322957</v>
      </c>
      <c r="J19" s="937">
        <f t="shared" si="15"/>
        <v>1553779</v>
      </c>
      <c r="K19" s="943">
        <v>1427923</v>
      </c>
      <c r="L19" s="943">
        <v>125856</v>
      </c>
      <c r="M19" s="1159">
        <f t="shared" si="19"/>
        <v>2876736</v>
      </c>
      <c r="N19" s="1197">
        <f t="shared" si="20"/>
        <v>0.45988126821508823</v>
      </c>
      <c r="O19" s="1198">
        <f t="shared" si="23"/>
        <v>0.54011873178491177</v>
      </c>
      <c r="P19" s="1199">
        <f t="shared" si="21"/>
        <v>1.0245589041876499</v>
      </c>
      <c r="Q19" s="1199">
        <f t="shared" si="22"/>
        <v>1.0277062451302774</v>
      </c>
      <c r="R19" s="1199">
        <f t="shared" si="22"/>
        <v>1.02189427217165</v>
      </c>
    </row>
    <row r="20" spans="1:18" ht="18.75" hidden="1">
      <c r="A20" s="944">
        <v>41456</v>
      </c>
      <c r="B20" s="938">
        <v>1291631</v>
      </c>
      <c r="C20" s="941">
        <f>D20+E20</f>
        <v>1520712</v>
      </c>
      <c r="D20" s="940">
        <v>1394607</v>
      </c>
      <c r="E20" s="940">
        <v>126105</v>
      </c>
      <c r="F20" s="1157">
        <f t="shared" si="18"/>
        <v>2812343</v>
      </c>
      <c r="G20" s="1196">
        <f t="shared" si="24"/>
        <v>0.45927221537344487</v>
      </c>
      <c r="H20" s="1196">
        <f t="shared" si="25"/>
        <v>0.54072778462655513</v>
      </c>
      <c r="I20" s="943">
        <v>1321168</v>
      </c>
      <c r="J20" s="937">
        <f t="shared" si="15"/>
        <v>1576232</v>
      </c>
      <c r="K20" s="943">
        <v>1448786</v>
      </c>
      <c r="L20" s="943">
        <v>127446</v>
      </c>
      <c r="M20" s="1159">
        <f t="shared" si="19"/>
        <v>2897400</v>
      </c>
      <c r="N20" s="1197">
        <f t="shared" si="20"/>
        <v>0.45598398564229997</v>
      </c>
      <c r="O20" s="1198">
        <f t="shared" si="23"/>
        <v>0.54401601435769997</v>
      </c>
      <c r="P20" s="1199">
        <f t="shared" si="21"/>
        <v>1.0302441771860686</v>
      </c>
      <c r="Q20" s="1199">
        <f t="shared" si="22"/>
        <v>1.0228679862902021</v>
      </c>
      <c r="R20" s="1199">
        <f t="shared" si="22"/>
        <v>1.0365092141049719</v>
      </c>
    </row>
    <row r="21" spans="1:18" ht="18.75" hidden="1">
      <c r="A21" s="944">
        <v>41487</v>
      </c>
      <c r="B21" s="938">
        <v>1300657</v>
      </c>
      <c r="C21" s="941">
        <f>D21+E21</f>
        <v>1541386</v>
      </c>
      <c r="D21" s="940">
        <v>1413807</v>
      </c>
      <c r="E21" s="940">
        <v>127579</v>
      </c>
      <c r="F21" s="1157">
        <f t="shared" si="18"/>
        <v>2842043</v>
      </c>
      <c r="G21" s="1196">
        <f t="shared" si="24"/>
        <v>0.45764859996840301</v>
      </c>
      <c r="H21" s="1196">
        <f t="shared" si="25"/>
        <v>0.54235140003159699</v>
      </c>
      <c r="I21" s="943">
        <v>1335783</v>
      </c>
      <c r="J21" s="937">
        <f t="shared" si="15"/>
        <v>1582747</v>
      </c>
      <c r="K21" s="943">
        <v>1453649</v>
      </c>
      <c r="L21" s="943">
        <v>129098</v>
      </c>
      <c r="M21" s="1159">
        <f t="shared" si="19"/>
        <v>2918530</v>
      </c>
      <c r="N21" s="1197">
        <f t="shared" si="20"/>
        <v>0.45769034411159043</v>
      </c>
      <c r="O21" s="1198">
        <f t="shared" si="23"/>
        <v>0.54230965588840963</v>
      </c>
      <c r="P21" s="1199">
        <f t="shared" si="21"/>
        <v>1.0269126821796855</v>
      </c>
      <c r="Q21" s="1199">
        <f t="shared" si="22"/>
        <v>1.0270063514054819</v>
      </c>
      <c r="R21" s="1199">
        <f t="shared" si="22"/>
        <v>1.0268336419300552</v>
      </c>
    </row>
    <row r="22" spans="1:18" ht="18.75" hidden="1">
      <c r="A22" s="944">
        <v>41518</v>
      </c>
      <c r="B22" s="1559">
        <v>1303324</v>
      </c>
      <c r="C22" s="938">
        <f>D22+E22</f>
        <v>1548470</v>
      </c>
      <c r="D22" s="1547">
        <v>1419509</v>
      </c>
      <c r="E22" s="1547">
        <v>128961</v>
      </c>
      <c r="F22" s="1157">
        <f t="shared" si="18"/>
        <v>2851794</v>
      </c>
      <c r="G22" s="1196">
        <f t="shared" si="24"/>
        <v>0.45701898524227208</v>
      </c>
      <c r="H22" s="1196">
        <f t="shared" si="25"/>
        <v>0.54298101475772798</v>
      </c>
      <c r="I22" s="943">
        <v>1332551</v>
      </c>
      <c r="J22" s="2090">
        <f t="shared" si="15"/>
        <v>1582520</v>
      </c>
      <c r="K22" s="943">
        <v>1452377</v>
      </c>
      <c r="L22" s="943">
        <v>130143</v>
      </c>
      <c r="M22" s="1159">
        <f t="shared" si="19"/>
        <v>2915071</v>
      </c>
      <c r="N22" s="1197">
        <f t="shared" si="20"/>
        <v>0.45712471497263701</v>
      </c>
      <c r="O22" s="1198">
        <f t="shared" si="23"/>
        <v>0.54287528502736293</v>
      </c>
      <c r="P22" s="1199">
        <f t="shared" si="21"/>
        <v>1.0221884890703887</v>
      </c>
      <c r="Q22" s="1199">
        <f t="shared" si="22"/>
        <v>1.0224249687721549</v>
      </c>
      <c r="R22" s="1199">
        <f t="shared" si="22"/>
        <v>1.0219894476483238</v>
      </c>
    </row>
    <row r="23" spans="1:18" ht="18.75" hidden="1">
      <c r="A23" s="944">
        <v>41548</v>
      </c>
      <c r="B23" s="1559">
        <v>1299098</v>
      </c>
      <c r="C23" s="938">
        <f t="shared" ref="C23:C34" si="26">D23+E23</f>
        <v>1551844</v>
      </c>
      <c r="D23" s="1547">
        <v>1421755</v>
      </c>
      <c r="E23" s="1547">
        <v>130089</v>
      </c>
      <c r="F23" s="1157">
        <f t="shared" si="18"/>
        <v>2850942</v>
      </c>
      <c r="G23" s="2107">
        <f t="shared" si="24"/>
        <v>0.45567324764937345</v>
      </c>
      <c r="H23" s="2107">
        <f t="shared" si="25"/>
        <v>0.54432675235062655</v>
      </c>
      <c r="I23" s="943">
        <v>1331542</v>
      </c>
      <c r="J23" s="2090">
        <f>K23+L23</f>
        <v>1588910</v>
      </c>
      <c r="K23" s="943">
        <v>1458095</v>
      </c>
      <c r="L23" s="943">
        <v>130815</v>
      </c>
      <c r="M23" s="1159">
        <f t="shared" si="19"/>
        <v>2920452</v>
      </c>
      <c r="N23" s="1197">
        <f t="shared" ref="N23:N28" si="27">I23/M23</f>
        <v>0.45593695770380749</v>
      </c>
      <c r="O23" s="1198">
        <f t="shared" ref="O23:O28" si="28">J23/M23</f>
        <v>0.54406304229619251</v>
      </c>
      <c r="P23" s="1199">
        <f t="shared" ref="P23:P28" si="29">M23/F23</f>
        <v>1.0243814149849417</v>
      </c>
      <c r="Q23" s="1199">
        <f t="shared" ref="Q23:R25" si="30">I23/B23</f>
        <v>1.0249742513651781</v>
      </c>
      <c r="R23" s="1199">
        <f t="shared" si="30"/>
        <v>1.0238851327839653</v>
      </c>
    </row>
    <row r="24" spans="1:18" ht="18.75" hidden="1">
      <c r="A24" s="944">
        <v>41579</v>
      </c>
      <c r="B24" s="1559">
        <v>1312472</v>
      </c>
      <c r="C24" s="941">
        <f t="shared" si="26"/>
        <v>1573940</v>
      </c>
      <c r="D24" s="1547">
        <v>1442084</v>
      </c>
      <c r="E24" s="1547">
        <v>131856</v>
      </c>
      <c r="F24" s="1157">
        <f t="shared" si="18"/>
        <v>2886412</v>
      </c>
      <c r="G24" s="2107">
        <f t="shared" si="24"/>
        <v>0.45470708963238787</v>
      </c>
      <c r="H24" s="2107">
        <f t="shared" si="25"/>
        <v>0.54529291036761207</v>
      </c>
      <c r="I24" s="943">
        <v>1355575</v>
      </c>
      <c r="J24" s="937">
        <f t="shared" ref="J24:J37" si="31">K24+L24</f>
        <v>1624903</v>
      </c>
      <c r="K24" s="943">
        <v>1491285</v>
      </c>
      <c r="L24" s="943">
        <v>133618</v>
      </c>
      <c r="M24" s="1159">
        <f t="shared" si="19"/>
        <v>2980478</v>
      </c>
      <c r="N24" s="1197">
        <f t="shared" si="27"/>
        <v>0.45481798557144187</v>
      </c>
      <c r="O24" s="1198">
        <f t="shared" si="28"/>
        <v>0.54518201442855807</v>
      </c>
      <c r="P24" s="1199">
        <f t="shared" si="29"/>
        <v>1.03258924921321</v>
      </c>
      <c r="Q24" s="1199">
        <f t="shared" si="30"/>
        <v>1.032841081562121</v>
      </c>
      <c r="R24" s="1199">
        <f t="shared" si="30"/>
        <v>1.0323792520680586</v>
      </c>
    </row>
    <row r="25" spans="1:18" ht="18.75">
      <c r="A25" s="944">
        <v>41609</v>
      </c>
      <c r="B25" s="1559">
        <v>1297821</v>
      </c>
      <c r="C25" s="941">
        <f t="shared" si="26"/>
        <v>1561485</v>
      </c>
      <c r="D25" s="1547">
        <v>1429474</v>
      </c>
      <c r="E25" s="1547">
        <v>132011</v>
      </c>
      <c r="F25" s="1157">
        <f t="shared" si="18"/>
        <v>2859306</v>
      </c>
      <c r="G25" s="2107">
        <f>B25/F25</f>
        <v>0.45389370707437399</v>
      </c>
      <c r="H25" s="2107">
        <f>C25/F25</f>
        <v>0.54610629292562596</v>
      </c>
      <c r="I25" s="943">
        <v>1353109</v>
      </c>
      <c r="J25" s="937">
        <f t="shared" si="31"/>
        <v>1612217</v>
      </c>
      <c r="K25" s="943">
        <v>1478208</v>
      </c>
      <c r="L25" s="943">
        <v>134009</v>
      </c>
      <c r="M25" s="1159">
        <f t="shared" si="19"/>
        <v>2965326</v>
      </c>
      <c r="N25" s="1197">
        <f t="shared" si="27"/>
        <v>0.45631036857330359</v>
      </c>
      <c r="O25" s="1198">
        <f t="shared" si="28"/>
        <v>0.54368963142669646</v>
      </c>
      <c r="P25" s="1199">
        <f t="shared" si="29"/>
        <v>1.0370789275439565</v>
      </c>
      <c r="Q25" s="1199">
        <f t="shared" si="30"/>
        <v>1.0426006359890925</v>
      </c>
      <c r="R25" s="1199">
        <f t="shared" si="30"/>
        <v>1.0324895852345684</v>
      </c>
    </row>
    <row r="26" spans="1:18" ht="18.75">
      <c r="A26" s="944">
        <v>41640</v>
      </c>
      <c r="B26" s="1559">
        <v>1321340</v>
      </c>
      <c r="C26" s="941">
        <f t="shared" si="26"/>
        <v>1581000</v>
      </c>
      <c r="D26" s="1547">
        <v>1450246</v>
      </c>
      <c r="E26" s="1547">
        <v>130754</v>
      </c>
      <c r="F26" s="1157">
        <f t="shared" si="18"/>
        <v>2902340</v>
      </c>
      <c r="G26" s="2107">
        <v>0.45526712928188978</v>
      </c>
      <c r="H26" s="2107">
        <v>0.54473287071811016</v>
      </c>
      <c r="I26" s="1724">
        <v>1346787</v>
      </c>
      <c r="J26" s="937">
        <f t="shared" si="31"/>
        <v>1624598</v>
      </c>
      <c r="K26" s="1724">
        <v>1492651</v>
      </c>
      <c r="L26" s="1724">
        <v>131947</v>
      </c>
      <c r="M26" s="1159">
        <f t="shared" si="19"/>
        <v>2971385</v>
      </c>
      <c r="N26" s="1197">
        <f t="shared" si="27"/>
        <v>0.45325227124724665</v>
      </c>
      <c r="O26" s="1198">
        <f t="shared" si="28"/>
        <v>0.54674772875275335</v>
      </c>
      <c r="P26" s="1199">
        <f t="shared" si="29"/>
        <v>1.0237894250845869</v>
      </c>
      <c r="Q26" s="1199">
        <f t="shared" ref="Q26:R30" si="32">I26/B26</f>
        <v>1.0192584800278506</v>
      </c>
      <c r="R26" s="1199">
        <f t="shared" si="32"/>
        <v>1.0275762175838077</v>
      </c>
    </row>
    <row r="27" spans="1:18" ht="18.75">
      <c r="A27" s="944">
        <v>41671</v>
      </c>
      <c r="B27" s="1559">
        <v>1322877</v>
      </c>
      <c r="C27" s="941">
        <f t="shared" si="26"/>
        <v>1585470</v>
      </c>
      <c r="D27" s="1547">
        <v>1454254</v>
      </c>
      <c r="E27" s="1547">
        <v>131216</v>
      </c>
      <c r="F27" s="1157">
        <f t="shared" si="18"/>
        <v>2908347</v>
      </c>
      <c r="G27" s="2107">
        <v>0.45526712928188978</v>
      </c>
      <c r="H27" s="2107">
        <v>0.54473287071811016</v>
      </c>
      <c r="I27" s="1724">
        <v>1359650</v>
      </c>
      <c r="J27" s="937">
        <f t="shared" si="31"/>
        <v>1661428</v>
      </c>
      <c r="K27" s="1724">
        <v>1528301</v>
      </c>
      <c r="L27" s="1724">
        <v>133127</v>
      </c>
      <c r="M27" s="1159">
        <f t="shared" si="19"/>
        <v>3021078</v>
      </c>
      <c r="N27" s="1197">
        <f t="shared" si="27"/>
        <v>0.45005458316534697</v>
      </c>
      <c r="O27" s="1198">
        <f t="shared" si="28"/>
        <v>0.54994541683465303</v>
      </c>
      <c r="P27" s="1199">
        <f t="shared" si="29"/>
        <v>1.0387611932138772</v>
      </c>
      <c r="Q27" s="1199">
        <f t="shared" si="32"/>
        <v>1.0277977468804733</v>
      </c>
      <c r="R27" s="1199">
        <f t="shared" si="32"/>
        <v>1.0479088219896939</v>
      </c>
    </row>
    <row r="28" spans="1:18" ht="18.75">
      <c r="A28" s="944">
        <v>41699</v>
      </c>
      <c r="B28" s="1559">
        <v>1333694</v>
      </c>
      <c r="C28" s="941">
        <f t="shared" si="26"/>
        <v>1600905</v>
      </c>
      <c r="D28" s="1547">
        <v>1465918</v>
      </c>
      <c r="E28" s="1547">
        <v>134987</v>
      </c>
      <c r="F28" s="1157">
        <f t="shared" si="18"/>
        <v>2934599</v>
      </c>
      <c r="G28" s="2107">
        <v>0.45526712928188978</v>
      </c>
      <c r="H28" s="2107">
        <v>0.54473287071811016</v>
      </c>
      <c r="I28" s="1724">
        <v>1372937</v>
      </c>
      <c r="J28" s="937">
        <f t="shared" si="31"/>
        <v>1643539</v>
      </c>
      <c r="K28" s="1724">
        <v>1505359</v>
      </c>
      <c r="L28" s="1724">
        <v>138180</v>
      </c>
      <c r="M28" s="1159">
        <f t="shared" si="19"/>
        <v>3016476</v>
      </c>
      <c r="N28" s="1197">
        <f t="shared" si="27"/>
        <v>0.45514600480825973</v>
      </c>
      <c r="O28" s="1198">
        <f t="shared" si="28"/>
        <v>0.54485399519174027</v>
      </c>
      <c r="P28" s="1199">
        <f t="shared" si="29"/>
        <v>1.0279005751722807</v>
      </c>
      <c r="Q28" s="1199">
        <f t="shared" si="32"/>
        <v>1.0294242907293578</v>
      </c>
      <c r="R28" s="1199">
        <f t="shared" si="32"/>
        <v>1.0266311867350031</v>
      </c>
    </row>
    <row r="29" spans="1:18" ht="18.75">
      <c r="A29" s="944">
        <v>41730</v>
      </c>
      <c r="B29" s="1559">
        <v>1347792</v>
      </c>
      <c r="C29" s="941">
        <f t="shared" si="26"/>
        <v>1621062</v>
      </c>
      <c r="D29" s="1547">
        <v>1483296</v>
      </c>
      <c r="E29" s="1547">
        <v>137766</v>
      </c>
      <c r="F29" s="1157">
        <f t="shared" si="18"/>
        <v>2968854</v>
      </c>
      <c r="G29" s="2107">
        <v>0.45526712928188978</v>
      </c>
      <c r="H29" s="2107">
        <v>0.54473287071811016</v>
      </c>
      <c r="I29" s="1724">
        <v>1401048</v>
      </c>
      <c r="J29" s="937">
        <f t="shared" si="31"/>
        <v>1683216</v>
      </c>
      <c r="K29" s="1724">
        <v>1542106</v>
      </c>
      <c r="L29" s="1724">
        <v>141110</v>
      </c>
      <c r="M29" s="1159">
        <f t="shared" si="19"/>
        <v>3084264</v>
      </c>
      <c r="N29" s="1197">
        <f t="shared" ref="N29:N34" si="33">I29/M29</f>
        <v>0.45425683404533462</v>
      </c>
      <c r="O29" s="1198">
        <f t="shared" ref="O29:O34" si="34">J29/M29</f>
        <v>0.54574316595466532</v>
      </c>
      <c r="P29" s="1199">
        <f t="shared" ref="P29:P34" si="35">M29/F29</f>
        <v>1.0388735855653393</v>
      </c>
      <c r="Q29" s="1199">
        <f t="shared" si="32"/>
        <v>1.0395135154385839</v>
      </c>
      <c r="R29" s="1199">
        <f t="shared" si="32"/>
        <v>1.0383415316625768</v>
      </c>
    </row>
    <row r="30" spans="1:18" ht="18.75">
      <c r="A30" s="944">
        <v>41760</v>
      </c>
      <c r="B30" s="1559">
        <v>1364259</v>
      </c>
      <c r="C30" s="941">
        <f t="shared" si="26"/>
        <v>1641278</v>
      </c>
      <c r="D30" s="1547">
        <v>1501777</v>
      </c>
      <c r="E30" s="1547">
        <v>139501</v>
      </c>
      <c r="F30" s="1157">
        <f t="shared" si="18"/>
        <v>3005537</v>
      </c>
      <c r="G30" s="2107">
        <v>0.45526712928188978</v>
      </c>
      <c r="H30" s="2107">
        <v>0.54473287071811016</v>
      </c>
      <c r="I30" s="1724">
        <v>1400615</v>
      </c>
      <c r="J30" s="937">
        <f t="shared" si="31"/>
        <v>1680285</v>
      </c>
      <c r="K30" s="1724">
        <v>1539307</v>
      </c>
      <c r="L30" s="1724">
        <v>140978</v>
      </c>
      <c r="M30" s="1159">
        <f t="shared" si="19"/>
        <v>3080900</v>
      </c>
      <c r="N30" s="1197">
        <f t="shared" si="33"/>
        <v>0.45461228861696257</v>
      </c>
      <c r="O30" s="1198">
        <f t="shared" si="34"/>
        <v>0.54538771138303743</v>
      </c>
      <c r="P30" s="1199">
        <f t="shared" si="35"/>
        <v>1.0250747204243369</v>
      </c>
      <c r="Q30" s="1199">
        <f t="shared" si="32"/>
        <v>1.026648898779484</v>
      </c>
      <c r="R30" s="1199">
        <f t="shared" si="32"/>
        <v>1.0237662358235473</v>
      </c>
    </row>
    <row r="31" spans="1:18" ht="18.75">
      <c r="A31" s="944">
        <v>41791</v>
      </c>
      <c r="B31" s="1559">
        <v>1374315</v>
      </c>
      <c r="C31" s="941">
        <f t="shared" si="26"/>
        <v>1656102</v>
      </c>
      <c r="D31" s="1547">
        <v>1514545</v>
      </c>
      <c r="E31" s="1547">
        <v>141557</v>
      </c>
      <c r="F31" s="1157">
        <f t="shared" si="18"/>
        <v>3030417</v>
      </c>
      <c r="G31" s="2107">
        <v>0.45350689360573149</v>
      </c>
      <c r="H31" s="2107">
        <v>0.54649310639426851</v>
      </c>
      <c r="I31" s="1724">
        <v>1414279</v>
      </c>
      <c r="J31" s="937">
        <f t="shared" si="31"/>
        <v>1698036</v>
      </c>
      <c r="K31" s="1724">
        <v>1553545</v>
      </c>
      <c r="L31" s="1724">
        <v>144491</v>
      </c>
      <c r="M31" s="1159">
        <f t="shared" si="19"/>
        <v>3112315</v>
      </c>
      <c r="N31" s="1197">
        <f t="shared" si="33"/>
        <v>0.45441383664571228</v>
      </c>
      <c r="O31" s="1198">
        <f t="shared" si="34"/>
        <v>0.54558616335428778</v>
      </c>
      <c r="P31" s="1199">
        <f t="shared" si="35"/>
        <v>1.0270253235775801</v>
      </c>
      <c r="Q31" s="1199">
        <f t="shared" ref="Q31:R37" si="36">I31/B31</f>
        <v>1.0290792140084333</v>
      </c>
      <c r="R31" s="1199">
        <f t="shared" si="36"/>
        <v>1.0253209041472082</v>
      </c>
    </row>
    <row r="32" spans="1:18" ht="18.75">
      <c r="A32" s="944">
        <v>41821</v>
      </c>
      <c r="B32" s="1559">
        <v>1375864</v>
      </c>
      <c r="C32" s="941">
        <f t="shared" si="26"/>
        <v>1661532</v>
      </c>
      <c r="D32" s="1547">
        <v>1519919</v>
      </c>
      <c r="E32" s="1547">
        <v>141613</v>
      </c>
      <c r="F32" s="1157">
        <f t="shared" si="18"/>
        <v>3037396</v>
      </c>
      <c r="G32" s="2107">
        <v>0.45350689360573149</v>
      </c>
      <c r="H32" s="2107">
        <v>0.54649310639426851</v>
      </c>
      <c r="I32" s="1724">
        <v>1404730</v>
      </c>
      <c r="J32" s="937">
        <f t="shared" si="31"/>
        <v>1698925</v>
      </c>
      <c r="K32" s="1724">
        <v>1555644</v>
      </c>
      <c r="L32" s="1724">
        <v>143281</v>
      </c>
      <c r="M32" s="1159">
        <f t="shared" ref="M32:M37" si="37">+L32+K32+I32</f>
        <v>3103655</v>
      </c>
      <c r="N32" s="1197">
        <f t="shared" si="33"/>
        <v>0.45260507369536884</v>
      </c>
      <c r="O32" s="1198">
        <f t="shared" si="34"/>
        <v>0.54739492630463116</v>
      </c>
      <c r="P32" s="1199">
        <f t="shared" si="35"/>
        <v>1.021814409448093</v>
      </c>
      <c r="Q32" s="1199">
        <f t="shared" si="36"/>
        <v>1.0209802713058849</v>
      </c>
      <c r="R32" s="1199">
        <f t="shared" si="36"/>
        <v>1.0225051338162612</v>
      </c>
    </row>
    <row r="33" spans="1:18" ht="18.75">
      <c r="A33" s="944">
        <v>41852</v>
      </c>
      <c r="B33" s="1559">
        <v>1390935</v>
      </c>
      <c r="C33" s="941">
        <f t="shared" si="26"/>
        <v>1678476</v>
      </c>
      <c r="D33" s="1547">
        <v>1535105</v>
      </c>
      <c r="E33" s="1547">
        <v>143371</v>
      </c>
      <c r="F33" s="1157">
        <f t="shared" si="18"/>
        <v>3069411</v>
      </c>
      <c r="G33" s="2107">
        <v>0.45350689360573149</v>
      </c>
      <c r="H33" s="2107">
        <v>0.54649310639426851</v>
      </c>
      <c r="I33" s="1724">
        <v>1430575</v>
      </c>
      <c r="J33" s="937">
        <f t="shared" si="31"/>
        <v>1730093</v>
      </c>
      <c r="K33" s="1724">
        <v>1584765</v>
      </c>
      <c r="L33" s="1724">
        <v>145328</v>
      </c>
      <c r="M33" s="1159">
        <f t="shared" si="37"/>
        <v>3160668</v>
      </c>
      <c r="N33" s="1197">
        <f t="shared" si="33"/>
        <v>0.45261792760264602</v>
      </c>
      <c r="O33" s="1198">
        <f t="shared" si="34"/>
        <v>0.54738207239735392</v>
      </c>
      <c r="P33" s="1199">
        <f t="shared" si="35"/>
        <v>1.0297311112783527</v>
      </c>
      <c r="Q33" s="1199">
        <f t="shared" si="36"/>
        <v>1.0284988155449393</v>
      </c>
      <c r="R33" s="1199">
        <f t="shared" si="36"/>
        <v>1.0307523014925444</v>
      </c>
    </row>
    <row r="34" spans="1:18" ht="18.75">
      <c r="A34" s="944">
        <v>41883</v>
      </c>
      <c r="B34" s="1559">
        <v>1391699</v>
      </c>
      <c r="C34" s="2123">
        <f t="shared" si="26"/>
        <v>1688073</v>
      </c>
      <c r="D34" s="1547">
        <v>1542660</v>
      </c>
      <c r="E34" s="1547">
        <v>145413</v>
      </c>
      <c r="F34" s="1157">
        <f>+B34+C34</f>
        <v>3079772</v>
      </c>
      <c r="G34" s="2107">
        <v>0.45350689360573149</v>
      </c>
      <c r="H34" s="2107">
        <v>0.54649310639426851</v>
      </c>
      <c r="I34" s="1724">
        <v>1422487</v>
      </c>
      <c r="J34" s="937">
        <f t="shared" si="31"/>
        <v>1725381</v>
      </c>
      <c r="K34" s="1724">
        <v>1578479</v>
      </c>
      <c r="L34" s="1724">
        <v>146902</v>
      </c>
      <c r="M34" s="1159">
        <f t="shared" si="37"/>
        <v>3147868</v>
      </c>
      <c r="N34" s="1197">
        <f t="shared" si="33"/>
        <v>0.45188902457155128</v>
      </c>
      <c r="O34" s="1198">
        <f t="shared" si="34"/>
        <v>0.54811097542844867</v>
      </c>
      <c r="P34" s="1199">
        <f t="shared" si="35"/>
        <v>1.0221107276772436</v>
      </c>
      <c r="Q34" s="1199">
        <f t="shared" si="36"/>
        <v>1.0221225997863044</v>
      </c>
      <c r="R34" s="1199">
        <f t="shared" si="36"/>
        <v>1.0221009399475023</v>
      </c>
    </row>
    <row r="35" spans="1:18" ht="18.75">
      <c r="A35" s="944">
        <v>41913</v>
      </c>
      <c r="B35" s="1559">
        <v>1400550</v>
      </c>
      <c r="C35" s="2123">
        <f>D35+E35</f>
        <v>1701350</v>
      </c>
      <c r="D35" s="1547">
        <v>1554245</v>
      </c>
      <c r="E35" s="1547">
        <v>147105</v>
      </c>
      <c r="F35" s="1157">
        <f>+B35+C35</f>
        <v>3101900</v>
      </c>
      <c r="G35" s="2107">
        <v>0.45350689360573149</v>
      </c>
      <c r="H35" s="2107">
        <v>0.54649310639426851</v>
      </c>
      <c r="I35" s="1724">
        <v>1434785</v>
      </c>
      <c r="J35" s="937">
        <f t="shared" si="31"/>
        <v>1744429</v>
      </c>
      <c r="K35" s="1724">
        <v>1595792</v>
      </c>
      <c r="L35" s="1724">
        <v>148637</v>
      </c>
      <c r="M35" s="1159">
        <f t="shared" si="37"/>
        <v>3179214</v>
      </c>
      <c r="N35" s="1197">
        <f>I35/M35</f>
        <v>0.4513017997530207</v>
      </c>
      <c r="O35" s="1198">
        <f>J35/M35</f>
        <v>0.54869820024697924</v>
      </c>
      <c r="P35" s="1199">
        <f>M35/F35</f>
        <v>1.02492472355653</v>
      </c>
      <c r="Q35" s="1199">
        <f t="shared" si="36"/>
        <v>1.0244439684409696</v>
      </c>
      <c r="R35" s="1199">
        <f t="shared" si="36"/>
        <v>1.025320480794663</v>
      </c>
    </row>
    <row r="36" spans="1:18" ht="18.75">
      <c r="A36" s="944">
        <v>41944</v>
      </c>
      <c r="B36" s="1559">
        <v>1417590</v>
      </c>
      <c r="C36" s="2123">
        <f>D36+E36</f>
        <v>1710872</v>
      </c>
      <c r="D36" s="1547">
        <v>1561834</v>
      </c>
      <c r="E36" s="1547">
        <v>149038</v>
      </c>
      <c r="F36" s="1157">
        <f>+B36+C36</f>
        <v>3128462</v>
      </c>
      <c r="G36" s="2107">
        <v>0.45350689360573149</v>
      </c>
      <c r="H36" s="2107">
        <v>0.54649310639426851</v>
      </c>
      <c r="I36" s="1724">
        <v>1448467</v>
      </c>
      <c r="J36" s="937">
        <f t="shared" si="31"/>
        <v>1752260</v>
      </c>
      <c r="K36" s="1724">
        <v>1601669</v>
      </c>
      <c r="L36" s="1724">
        <v>150591</v>
      </c>
      <c r="M36" s="1159">
        <f t="shared" si="37"/>
        <v>3200727</v>
      </c>
      <c r="N36" s="1197">
        <f>I36/M36</f>
        <v>0.45254312535870755</v>
      </c>
      <c r="O36" s="1198">
        <f>J36/M36</f>
        <v>0.54745687464129245</v>
      </c>
      <c r="P36" s="1199">
        <f>M36/F36</f>
        <v>1.0230992097714469</v>
      </c>
      <c r="Q36" s="1199">
        <f t="shared" si="36"/>
        <v>1.021781333107598</v>
      </c>
      <c r="R36" s="1199">
        <f t="shared" si="36"/>
        <v>1.0241911726885471</v>
      </c>
    </row>
    <row r="37" spans="1:18" ht="18.75">
      <c r="A37" s="944">
        <v>41974</v>
      </c>
      <c r="B37" s="1559">
        <v>1422986</v>
      </c>
      <c r="C37" s="2123">
        <f>D37+E37</f>
        <v>1718613</v>
      </c>
      <c r="D37" s="1547">
        <v>1568541</v>
      </c>
      <c r="E37" s="1547">
        <v>150072</v>
      </c>
      <c r="F37" s="1157">
        <f>+B37+C37</f>
        <v>3141599</v>
      </c>
      <c r="G37" s="2107">
        <v>0.45350689360573149</v>
      </c>
      <c r="H37" s="2107">
        <v>0.54649310639426851</v>
      </c>
      <c r="I37" s="1724">
        <v>1451773</v>
      </c>
      <c r="J37" s="937">
        <f t="shared" si="31"/>
        <v>1773174</v>
      </c>
      <c r="K37" s="1724">
        <v>1621827</v>
      </c>
      <c r="L37" s="1724">
        <v>151347</v>
      </c>
      <c r="M37" s="1159">
        <f t="shared" si="37"/>
        <v>3224947</v>
      </c>
      <c r="N37" s="1197">
        <f>I37/M37</f>
        <v>0.45016956867818292</v>
      </c>
      <c r="O37" s="1198">
        <f>J37/M37</f>
        <v>0.54983043132181708</v>
      </c>
      <c r="P37" s="1199">
        <f>M37/F37</f>
        <v>1.026530438798841</v>
      </c>
      <c r="Q37" s="1199">
        <f t="shared" si="36"/>
        <v>1.0202299952353713</v>
      </c>
      <c r="R37" s="1199">
        <f t="shared" si="36"/>
        <v>1.0317471123516464</v>
      </c>
    </row>
    <row r="38" spans="1:18" ht="25.5" customHeight="1">
      <c r="A38" s="2274" t="s">
        <v>1732</v>
      </c>
      <c r="B38" s="2274"/>
      <c r="C38" s="2274"/>
      <c r="D38" s="2274"/>
      <c r="E38" s="2274"/>
      <c r="F38" s="2274"/>
      <c r="G38" s="2274"/>
      <c r="H38" s="39"/>
      <c r="I38" s="39"/>
      <c r="J38" s="39"/>
      <c r="K38" s="39"/>
      <c r="L38" s="39"/>
      <c r="M38" s="39"/>
      <c r="N38" s="39"/>
      <c r="O38" s="39"/>
      <c r="P38" s="39"/>
      <c r="Q38" s="39"/>
      <c r="R38" s="39"/>
    </row>
    <row r="39" spans="1:18" ht="25.5" customHeight="1">
      <c r="A39" s="39"/>
      <c r="B39" s="39"/>
      <c r="C39" s="39"/>
      <c r="D39" s="39"/>
      <c r="E39" s="39"/>
      <c r="F39" s="39"/>
      <c r="G39" s="39"/>
      <c r="H39" s="39"/>
      <c r="I39" s="39"/>
      <c r="J39" s="39"/>
      <c r="K39" s="39"/>
      <c r="L39" s="39"/>
      <c r="M39" s="39"/>
      <c r="N39" s="39"/>
      <c r="O39" s="39"/>
      <c r="P39" s="39"/>
      <c r="Q39" s="39"/>
      <c r="R39" s="39"/>
    </row>
    <row r="40" spans="1:18" ht="25.5" customHeight="1">
      <c r="A40" s="39"/>
      <c r="B40" s="39"/>
      <c r="C40" s="39"/>
      <c r="D40" s="39"/>
      <c r="E40" s="39"/>
      <c r="F40" s="39"/>
      <c r="G40" s="39"/>
      <c r="H40" s="39"/>
      <c r="I40" s="39"/>
      <c r="J40" s="39"/>
      <c r="K40" s="39"/>
      <c r="L40" s="39"/>
      <c r="M40" s="39"/>
      <c r="N40" s="39"/>
      <c r="O40" s="39"/>
      <c r="P40" s="39"/>
      <c r="Q40" s="39"/>
      <c r="R40" s="39"/>
    </row>
    <row r="41" spans="1:18" ht="25.5" customHeight="1">
      <c r="A41" s="39"/>
      <c r="B41" s="39"/>
      <c r="C41" s="39"/>
      <c r="D41" s="39"/>
      <c r="E41" s="39"/>
      <c r="F41" s="39"/>
      <c r="G41" s="39"/>
      <c r="H41" s="39"/>
      <c r="I41" s="39"/>
      <c r="J41" s="39"/>
      <c r="K41" s="39"/>
      <c r="L41" s="39"/>
      <c r="M41" s="39"/>
      <c r="N41" s="39"/>
      <c r="O41" s="39"/>
      <c r="P41" s="39"/>
      <c r="Q41" s="39"/>
      <c r="R41" s="39"/>
    </row>
    <row r="42" spans="1:18" ht="25.5" customHeight="1">
      <c r="A42" s="39"/>
      <c r="B42" s="39"/>
      <c r="C42" s="39"/>
      <c r="D42" s="39"/>
      <c r="E42" s="39"/>
      <c r="F42" s="39"/>
      <c r="G42" s="39"/>
      <c r="H42" s="39"/>
      <c r="I42" s="39"/>
      <c r="J42" s="39"/>
      <c r="K42" s="39"/>
      <c r="L42" s="39"/>
      <c r="M42" s="39"/>
      <c r="N42" s="39"/>
      <c r="O42" s="39"/>
      <c r="P42" s="39"/>
      <c r="Q42" s="39"/>
      <c r="R42" s="39"/>
    </row>
    <row r="43" spans="1:18" ht="25.5" customHeight="1">
      <c r="A43" s="39"/>
      <c r="B43" s="39"/>
      <c r="C43" s="39"/>
      <c r="D43" s="39"/>
      <c r="E43" s="39"/>
      <c r="F43" s="39"/>
      <c r="G43" s="39"/>
      <c r="H43" s="39"/>
      <c r="I43" s="39"/>
      <c r="J43" s="39"/>
      <c r="K43" s="39"/>
      <c r="L43" s="39"/>
      <c r="M43" s="39"/>
      <c r="N43" s="39"/>
      <c r="O43" s="39"/>
      <c r="P43" s="39"/>
      <c r="Q43" s="39"/>
      <c r="R43" s="39"/>
    </row>
    <row r="44" spans="1:18" ht="25.5" customHeight="1">
      <c r="A44" s="39"/>
      <c r="B44" s="39"/>
      <c r="C44" s="39"/>
      <c r="D44" s="39"/>
      <c r="E44" s="39"/>
      <c r="F44" s="39"/>
      <c r="G44" s="39"/>
      <c r="H44" s="39"/>
      <c r="I44" s="39"/>
      <c r="J44" s="39"/>
      <c r="K44" s="39"/>
      <c r="L44" s="39"/>
      <c r="M44" s="39"/>
      <c r="N44" s="39"/>
      <c r="O44" s="39"/>
      <c r="P44" s="39"/>
      <c r="Q44" s="39"/>
      <c r="R44" s="39"/>
    </row>
    <row r="45" spans="1:18" ht="25.5" customHeight="1">
      <c r="A45" s="39"/>
      <c r="B45" s="39"/>
      <c r="C45" s="39"/>
      <c r="D45" s="39"/>
      <c r="E45" s="39"/>
      <c r="F45" s="39"/>
      <c r="G45" s="39"/>
      <c r="H45" s="39"/>
      <c r="I45" s="39"/>
      <c r="J45" s="39"/>
      <c r="K45" s="39"/>
      <c r="L45" s="39"/>
      <c r="M45" s="39"/>
      <c r="N45" s="39"/>
      <c r="O45" s="39"/>
      <c r="P45" s="39"/>
      <c r="Q45" s="39"/>
      <c r="R45" s="39"/>
    </row>
    <row r="46" spans="1:18" ht="25.5" customHeight="1">
      <c r="A46" s="39"/>
      <c r="B46" s="39"/>
      <c r="C46" s="39"/>
      <c r="D46" s="39"/>
      <c r="E46" s="39"/>
      <c r="F46" s="39"/>
      <c r="G46" s="39"/>
      <c r="H46" s="39"/>
      <c r="I46" s="39"/>
      <c r="J46" s="39"/>
      <c r="K46" s="39"/>
      <c r="L46" s="39"/>
      <c r="M46" s="39"/>
      <c r="N46" s="39"/>
      <c r="O46" s="39"/>
      <c r="P46" s="39"/>
      <c r="Q46" s="39"/>
      <c r="R46" s="39"/>
    </row>
    <row r="47" spans="1:18" ht="25.5" customHeight="1">
      <c r="A47" s="39"/>
      <c r="B47" s="39"/>
      <c r="C47" s="39"/>
      <c r="D47" s="39"/>
      <c r="E47" s="39"/>
      <c r="F47" s="39"/>
      <c r="G47" s="39"/>
      <c r="H47" s="39"/>
      <c r="I47" s="39"/>
      <c r="J47" s="39"/>
      <c r="K47" s="39"/>
      <c r="L47" s="39"/>
      <c r="M47" s="39"/>
      <c r="N47" s="39"/>
      <c r="O47" s="39"/>
      <c r="P47" s="39"/>
      <c r="Q47" s="39"/>
      <c r="R47" s="39"/>
    </row>
    <row r="48" spans="1:18" ht="25.5" customHeight="1">
      <c r="A48" s="39"/>
      <c r="B48" s="39"/>
      <c r="C48" s="39"/>
      <c r="D48" s="39"/>
      <c r="E48" s="39"/>
      <c r="F48" s="39"/>
      <c r="G48" s="39"/>
      <c r="H48" s="39"/>
      <c r="I48" s="39"/>
      <c r="J48" s="39"/>
      <c r="K48" s="39"/>
      <c r="L48" s="39"/>
      <c r="M48" s="39"/>
      <c r="N48" s="39"/>
      <c r="O48" s="39"/>
      <c r="P48" s="39"/>
      <c r="Q48" s="39"/>
      <c r="R48" s="39"/>
    </row>
    <row r="49" spans="1:28" ht="25.5" customHeight="1">
      <c r="A49" s="39"/>
      <c r="B49" s="39"/>
      <c r="C49" s="39"/>
      <c r="D49" s="39"/>
      <c r="E49" s="39"/>
      <c r="F49" s="39"/>
      <c r="G49" s="39"/>
      <c r="H49" s="39"/>
      <c r="I49" s="39"/>
      <c r="J49" s="39"/>
      <c r="K49" s="39"/>
      <c r="L49" s="39"/>
      <c r="M49" s="39"/>
      <c r="N49" s="39"/>
      <c r="O49" s="39"/>
      <c r="P49" s="39"/>
      <c r="Q49" s="39"/>
      <c r="R49" s="39"/>
    </row>
    <row r="50" spans="1:28" ht="25.5" customHeight="1">
      <c r="A50" s="39"/>
      <c r="B50" s="39"/>
      <c r="C50" s="39"/>
      <c r="D50" s="39"/>
      <c r="E50" s="39"/>
      <c r="F50" s="39"/>
      <c r="G50" s="39"/>
      <c r="H50" s="39"/>
      <c r="I50" s="39"/>
      <c r="J50" s="39"/>
      <c r="K50" s="39"/>
      <c r="L50" s="39"/>
      <c r="M50" s="39"/>
      <c r="N50" s="39"/>
      <c r="O50" s="39"/>
      <c r="P50" s="39"/>
      <c r="Q50" s="39"/>
      <c r="R50" s="39"/>
    </row>
    <row r="51" spans="1:28" ht="25.5" customHeight="1">
      <c r="A51" s="39"/>
      <c r="B51" s="39"/>
      <c r="C51" s="39"/>
      <c r="D51" s="39"/>
      <c r="E51" s="39"/>
      <c r="F51" s="39"/>
      <c r="G51" s="39"/>
      <c r="H51" s="39"/>
      <c r="I51" s="39"/>
      <c r="J51" s="39"/>
      <c r="K51" s="39"/>
      <c r="L51" s="39"/>
      <c r="M51" s="39"/>
      <c r="N51" s="39"/>
      <c r="O51" s="39"/>
      <c r="P51" s="39"/>
      <c r="Q51" s="39"/>
      <c r="R51" s="39"/>
    </row>
    <row r="52" spans="1:28" ht="25.5" customHeight="1">
      <c r="A52" s="39"/>
      <c r="B52" s="39"/>
      <c r="C52" s="39"/>
      <c r="D52" s="39"/>
      <c r="E52" s="39"/>
      <c r="F52" s="39"/>
      <c r="G52" s="39"/>
      <c r="H52" s="39"/>
      <c r="I52" s="39"/>
      <c r="J52" s="39"/>
      <c r="K52" s="39"/>
      <c r="L52" s="39"/>
      <c r="M52" s="39"/>
      <c r="N52" s="39"/>
      <c r="O52" s="39"/>
      <c r="P52" s="39"/>
      <c r="Q52" s="39"/>
      <c r="R52" s="39"/>
    </row>
    <row r="53" spans="1:28" ht="25.5" customHeight="1">
      <c r="A53" s="39"/>
      <c r="B53" s="39"/>
      <c r="C53" s="39"/>
      <c r="D53" s="39"/>
      <c r="E53" s="39"/>
      <c r="F53" s="39"/>
      <c r="G53" s="39"/>
      <c r="H53" s="39"/>
      <c r="I53" s="39"/>
      <c r="J53" s="39"/>
      <c r="K53" s="39"/>
      <c r="L53" s="39"/>
      <c r="M53" s="39"/>
      <c r="N53" s="39"/>
      <c r="O53" s="39"/>
      <c r="P53" s="39"/>
      <c r="Q53" s="39"/>
      <c r="R53" s="39"/>
    </row>
    <row r="54" spans="1:28">
      <c r="O54" s="149"/>
      <c r="P54" s="149"/>
      <c r="Q54" s="149"/>
      <c r="R54" s="149"/>
      <c r="S54" s="151"/>
      <c r="T54" s="151"/>
      <c r="U54" s="151"/>
      <c r="V54" s="151"/>
      <c r="W54" s="151"/>
      <c r="X54" s="151"/>
      <c r="Y54" s="151"/>
      <c r="Z54" s="151"/>
      <c r="AA54" s="151"/>
      <c r="AB54" s="151"/>
    </row>
    <row r="55" spans="1:28">
      <c r="O55" s="149"/>
      <c r="P55" s="149"/>
      <c r="Q55" s="149"/>
      <c r="R55" s="149"/>
      <c r="S55" s="151"/>
      <c r="T55" s="151"/>
      <c r="U55" s="151"/>
      <c r="V55" s="151"/>
      <c r="W55" s="151"/>
      <c r="X55" s="151"/>
      <c r="Y55" s="151"/>
      <c r="Z55" s="151"/>
      <c r="AA55" s="151"/>
      <c r="AB55" s="151"/>
    </row>
    <row r="56" spans="1:28">
      <c r="O56" s="149"/>
      <c r="P56" s="149"/>
      <c r="Q56" s="149"/>
      <c r="R56" s="149"/>
      <c r="S56" s="151"/>
      <c r="T56" s="151"/>
      <c r="U56" s="151"/>
      <c r="V56" s="151"/>
      <c r="W56" s="151"/>
      <c r="X56" s="151"/>
      <c r="Y56" s="151"/>
      <c r="Z56" s="151"/>
      <c r="AA56" s="151"/>
      <c r="AB56" s="151"/>
    </row>
    <row r="57" spans="1:28">
      <c r="O57" s="149"/>
      <c r="P57" s="149"/>
      <c r="Q57" s="149"/>
      <c r="R57" s="149"/>
      <c r="S57" s="151"/>
      <c r="T57" s="151"/>
      <c r="U57" s="151"/>
      <c r="V57" s="151"/>
      <c r="W57" s="151"/>
      <c r="X57" s="151"/>
      <c r="Y57" s="151"/>
      <c r="Z57" s="151"/>
      <c r="AA57" s="151"/>
      <c r="AB57" s="151"/>
    </row>
    <row r="58" spans="1:28" ht="51" customHeight="1">
      <c r="O58" s="149"/>
      <c r="P58" s="149"/>
      <c r="Q58" s="149"/>
      <c r="R58" s="149"/>
      <c r="S58" s="151"/>
      <c r="T58" s="151"/>
      <c r="U58" s="151"/>
      <c r="V58" s="151"/>
      <c r="W58" s="151"/>
      <c r="X58" s="151"/>
      <c r="Y58" s="151"/>
      <c r="Z58" s="151"/>
      <c r="AA58" s="151"/>
      <c r="AB58" s="151"/>
    </row>
    <row r="59" spans="1:28" ht="78" customHeight="1">
      <c r="A59" s="2199"/>
      <c r="B59" s="2199"/>
      <c r="C59" s="2199"/>
      <c r="D59" s="2199"/>
      <c r="E59" s="2199"/>
      <c r="F59" s="2199"/>
      <c r="G59" s="2199"/>
      <c r="H59" s="2199"/>
      <c r="I59" s="2199"/>
      <c r="J59" s="2199"/>
      <c r="K59" s="2199"/>
      <c r="L59" s="2199"/>
      <c r="M59" s="2199"/>
      <c r="N59" s="2199"/>
      <c r="O59" s="2199"/>
      <c r="P59" s="2199"/>
      <c r="Q59" s="2199"/>
      <c r="R59" s="2199"/>
      <c r="S59" s="2199"/>
      <c r="T59" s="2199"/>
      <c r="U59" s="2199"/>
      <c r="V59" s="2199"/>
      <c r="W59" s="2199"/>
      <c r="X59" s="2199"/>
      <c r="Y59" s="2199"/>
      <c r="Z59" s="2199"/>
      <c r="AA59" s="151"/>
      <c r="AB59" s="151"/>
    </row>
    <row r="60" spans="1:28">
      <c r="O60" s="151"/>
      <c r="P60" s="151"/>
      <c r="Q60" s="151"/>
      <c r="R60" s="151"/>
      <c r="S60" s="151"/>
    </row>
    <row r="61" spans="1:28">
      <c r="O61" s="151"/>
      <c r="P61" s="151"/>
      <c r="Q61" s="151"/>
      <c r="R61" s="151"/>
      <c r="S61" s="151"/>
    </row>
    <row r="62" spans="1:28">
      <c r="O62" s="151"/>
      <c r="P62" s="151"/>
      <c r="Q62" s="151"/>
      <c r="R62" s="151"/>
      <c r="S62" s="151"/>
    </row>
    <row r="63" spans="1:28">
      <c r="O63" s="151"/>
      <c r="P63" s="151"/>
      <c r="Q63" s="151"/>
      <c r="R63" s="151"/>
      <c r="S63" s="151"/>
    </row>
    <row r="64" spans="1:28">
      <c r="O64" s="151"/>
      <c r="P64" s="151"/>
      <c r="Q64" s="151"/>
      <c r="R64" s="151"/>
      <c r="S64" s="151"/>
    </row>
    <row r="65" spans="2:28">
      <c r="O65" s="151"/>
      <c r="P65" s="151"/>
      <c r="Q65" s="151"/>
      <c r="R65" s="151"/>
      <c r="S65" s="151"/>
      <c r="T65" s="151"/>
      <c r="U65" s="151"/>
      <c r="V65" s="151"/>
      <c r="W65" s="151"/>
      <c r="X65" s="151"/>
      <c r="Y65" s="151"/>
      <c r="Z65" s="151"/>
      <c r="AA65" s="151"/>
      <c r="AB65" s="151"/>
    </row>
    <row r="66" spans="2:28">
      <c r="O66" s="151"/>
      <c r="P66" s="151"/>
      <c r="Q66" s="151"/>
      <c r="R66" s="151"/>
      <c r="S66" s="151"/>
      <c r="T66" s="151"/>
      <c r="U66" s="151"/>
      <c r="V66" s="151"/>
      <c r="W66" s="151"/>
      <c r="X66" s="151"/>
      <c r="Y66" s="151"/>
      <c r="Z66" s="151"/>
      <c r="AA66" s="151"/>
      <c r="AB66" s="151"/>
    </row>
    <row r="67" spans="2:28">
      <c r="O67" s="151"/>
      <c r="P67" s="151"/>
      <c r="Q67" s="151"/>
      <c r="R67" s="151"/>
      <c r="S67" s="151"/>
      <c r="T67" s="151"/>
      <c r="U67" s="151"/>
      <c r="V67" s="151"/>
      <c r="W67" s="151"/>
      <c r="X67" s="151"/>
      <c r="Y67" s="151"/>
      <c r="Z67" s="151"/>
      <c r="AA67" s="151"/>
      <c r="AB67" s="151"/>
    </row>
    <row r="68" spans="2:28">
      <c r="O68" s="151"/>
      <c r="P68" s="151"/>
      <c r="Q68" s="151"/>
      <c r="R68" s="151"/>
      <c r="S68" s="151"/>
      <c r="T68" s="151"/>
      <c r="U68" s="151"/>
      <c r="V68" s="151"/>
      <c r="W68" s="151"/>
      <c r="X68" s="151"/>
      <c r="Y68" s="151"/>
      <c r="Z68" s="151"/>
      <c r="AA68" s="151"/>
      <c r="AB68" s="151"/>
    </row>
    <row r="69" spans="2:28">
      <c r="O69" s="151"/>
      <c r="P69" s="151"/>
      <c r="Q69" s="151"/>
      <c r="R69" s="151"/>
      <c r="S69" s="151"/>
      <c r="T69" s="151"/>
      <c r="U69" s="151"/>
      <c r="V69" s="151"/>
      <c r="W69" s="151"/>
      <c r="X69" s="151"/>
      <c r="Y69" s="151"/>
      <c r="Z69" s="151"/>
      <c r="AA69" s="151"/>
      <c r="AB69" s="151"/>
    </row>
    <row r="70" spans="2:28">
      <c r="O70" s="151"/>
      <c r="P70" s="151"/>
      <c r="Q70" s="151"/>
      <c r="R70" s="151"/>
      <c r="S70" s="151"/>
      <c r="T70" s="151"/>
      <c r="U70" s="151"/>
      <c r="V70" s="151"/>
      <c r="W70" s="151"/>
      <c r="X70" s="151"/>
      <c r="Y70" s="151"/>
      <c r="Z70" s="151"/>
      <c r="AA70" s="151"/>
      <c r="AB70" s="151"/>
    </row>
    <row r="71" spans="2:28">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row>
    <row r="90" spans="20:25">
      <c r="T90" s="151"/>
      <c r="U90" s="151"/>
      <c r="V90" s="151"/>
      <c r="W90" s="151"/>
      <c r="X90" s="151"/>
      <c r="Y90" s="151"/>
    </row>
    <row r="91" spans="20:25">
      <c r="T91" s="151"/>
      <c r="U91" s="151"/>
      <c r="V91" s="151"/>
      <c r="W91" s="151"/>
      <c r="X91" s="151"/>
      <c r="Y91" s="151"/>
    </row>
    <row r="92" spans="20:25">
      <c r="T92" s="151"/>
      <c r="U92" s="151"/>
      <c r="V92" s="151"/>
      <c r="W92" s="151"/>
      <c r="X92" s="151"/>
      <c r="Y92" s="151"/>
    </row>
    <row r="93" spans="20:25">
      <c r="T93" s="151"/>
      <c r="U93" s="151"/>
      <c r="V93" s="151"/>
      <c r="W93" s="151"/>
      <c r="X93" s="151"/>
      <c r="Y93" s="151"/>
    </row>
    <row r="94" spans="20:25">
      <c r="T94" s="151"/>
      <c r="U94" s="151"/>
      <c r="V94" s="151"/>
      <c r="W94" s="151"/>
      <c r="X94" s="151"/>
      <c r="Y94" s="151"/>
    </row>
    <row r="95" spans="20:25">
      <c r="T95" s="151"/>
      <c r="U95" s="151"/>
      <c r="V95" s="151"/>
      <c r="W95" s="151"/>
      <c r="X95" s="151"/>
      <c r="Y95" s="151"/>
    </row>
    <row r="96" spans="20:25">
      <c r="T96" s="151"/>
      <c r="U96" s="151"/>
      <c r="V96" s="151"/>
      <c r="W96" s="151"/>
      <c r="X96" s="151"/>
      <c r="Y96" s="151"/>
    </row>
    <row r="97" spans="20:25">
      <c r="T97" s="151"/>
      <c r="U97" s="151"/>
      <c r="V97" s="151"/>
      <c r="W97" s="151"/>
      <c r="X97" s="151"/>
      <c r="Y97" s="151"/>
    </row>
    <row r="107" spans="20:25">
      <c r="T107" s="151"/>
      <c r="U107" s="151"/>
      <c r="V107" s="151"/>
      <c r="W107" s="151"/>
      <c r="X107" s="151"/>
      <c r="Y107" s="151"/>
    </row>
    <row r="108" spans="20:25">
      <c r="T108" s="151"/>
      <c r="U108" s="151"/>
      <c r="V108" s="151"/>
      <c r="W108" s="151"/>
      <c r="X108" s="151"/>
      <c r="Y108" s="151"/>
    </row>
    <row r="109" spans="20:25">
      <c r="T109" s="151"/>
      <c r="U109" s="151"/>
      <c r="V109" s="151"/>
      <c r="W109" s="151"/>
      <c r="X109" s="151"/>
      <c r="Y109" s="151"/>
    </row>
    <row r="110" spans="20:25">
      <c r="T110" s="151"/>
      <c r="U110" s="151"/>
      <c r="V110" s="151"/>
      <c r="W110" s="151"/>
      <c r="X110" s="151"/>
      <c r="Y110" s="151"/>
    </row>
  </sheetData>
  <mergeCells count="3">
    <mergeCell ref="A59:Z59"/>
    <mergeCell ref="A1:R1"/>
    <mergeCell ref="A38:G38"/>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FF00"/>
    <pageSetUpPr fitToPage="1"/>
  </sheetPr>
  <dimension ref="A1:O70"/>
  <sheetViews>
    <sheetView showGridLines="0" view="pageBreakPreview" zoomScale="40" zoomScaleNormal="100" zoomScaleSheetLayoutView="40" zoomScalePageLayoutView="62" workbookViewId="0">
      <selection activeCell="F37" sqref="F37"/>
    </sheetView>
  </sheetViews>
  <sheetFormatPr baseColWidth="10" defaultColWidth="11.42578125" defaultRowHeight="15"/>
  <cols>
    <col min="1" max="1" width="25.5703125" style="128" customWidth="1"/>
    <col min="2" max="2" width="22.85546875" style="128" customWidth="1"/>
    <col min="3" max="3" width="23.5703125" style="128" customWidth="1"/>
    <col min="4" max="4" width="27.28515625" style="128" customWidth="1"/>
    <col min="5" max="5" width="26" style="128" customWidth="1"/>
    <col min="6" max="6" width="28.28515625" style="128" customWidth="1"/>
    <col min="7" max="7" width="27.42578125" style="128" customWidth="1"/>
    <col min="8" max="8" width="28" style="128" customWidth="1"/>
    <col min="9" max="9" width="27" style="128" customWidth="1"/>
    <col min="10" max="10" width="27.28515625" style="128" customWidth="1"/>
    <col min="11" max="11" width="37.5703125" style="128" customWidth="1"/>
    <col min="12" max="12" width="33.42578125" style="128" customWidth="1"/>
    <col min="13" max="13" width="34.85546875" style="128" customWidth="1"/>
    <col min="14" max="14" width="33" style="128" customWidth="1"/>
    <col min="15" max="15" width="12.42578125" style="128" customWidth="1"/>
    <col min="16" max="16384" width="11.42578125" style="128"/>
  </cols>
  <sheetData>
    <row r="1" spans="1:15" ht="178.5" customHeight="1">
      <c r="A1" s="2275" t="s">
        <v>1939</v>
      </c>
      <c r="B1" s="2276"/>
      <c r="C1" s="2276"/>
      <c r="D1" s="2276"/>
      <c r="E1" s="2276"/>
      <c r="F1" s="2276"/>
      <c r="G1" s="2276"/>
      <c r="H1" s="2276"/>
      <c r="I1" s="2276"/>
      <c r="J1" s="2276"/>
      <c r="K1" s="2276"/>
      <c r="L1" s="2276"/>
      <c r="M1" s="2276"/>
      <c r="N1" s="2276"/>
      <c r="O1" s="2277"/>
    </row>
    <row r="2" spans="1:15" ht="5.25" customHeight="1">
      <c r="A2" s="31"/>
      <c r="B2" s="31"/>
      <c r="C2" s="31"/>
      <c r="D2" s="31"/>
      <c r="E2" s="31"/>
      <c r="F2" s="31"/>
      <c r="G2" s="31"/>
      <c r="H2" s="31"/>
      <c r="I2" s="31"/>
      <c r="J2" s="31"/>
      <c r="K2" s="31"/>
      <c r="L2" s="31"/>
      <c r="M2" s="31"/>
      <c r="N2" s="31"/>
      <c r="O2" s="31"/>
    </row>
    <row r="3" spans="1:15" ht="116.25" customHeight="1">
      <c r="A3" s="639" t="s">
        <v>51</v>
      </c>
      <c r="B3" s="2108" t="s">
        <v>1263</v>
      </c>
      <c r="C3" s="2108" t="s">
        <v>1264</v>
      </c>
      <c r="D3" s="2108" t="s">
        <v>1265</v>
      </c>
      <c r="E3" s="2108" t="s">
        <v>1266</v>
      </c>
      <c r="F3" s="1926" t="s">
        <v>1267</v>
      </c>
      <c r="G3" s="1926" t="s">
        <v>1268</v>
      </c>
      <c r="H3" s="1926" t="s">
        <v>1269</v>
      </c>
      <c r="I3" s="1926" t="s">
        <v>1310</v>
      </c>
      <c r="J3" s="1926" t="s">
        <v>1270</v>
      </c>
      <c r="K3" s="1926" t="s">
        <v>1271</v>
      </c>
      <c r="L3" s="1926" t="s">
        <v>1272</v>
      </c>
      <c r="M3" s="1926" t="s">
        <v>1273</v>
      </c>
      <c r="N3" s="1926" t="s">
        <v>482</v>
      </c>
      <c r="O3" s="31"/>
    </row>
    <row r="4" spans="1:15" ht="25.5" hidden="1" customHeight="1">
      <c r="A4" s="948">
        <v>40940</v>
      </c>
      <c r="B4" s="945">
        <f t="shared" ref="B4:B12" si="0">+D4+C4</f>
        <v>2536789</v>
      </c>
      <c r="C4" s="946">
        <v>1190787</v>
      </c>
      <c r="D4" s="946">
        <v>1346002</v>
      </c>
      <c r="E4" s="949">
        <f t="shared" ref="E4:E12" si="1">D4/C4</f>
        <v>1.1303465691177348</v>
      </c>
      <c r="F4" s="945">
        <f t="shared" ref="F4:F12" si="2">+G4+H4</f>
        <v>2616140</v>
      </c>
      <c r="G4" s="946">
        <v>1231300</v>
      </c>
      <c r="H4" s="945">
        <f t="shared" ref="H4:H16" si="3">+I4+J4</f>
        <v>1384840</v>
      </c>
      <c r="I4" s="946">
        <v>1284740</v>
      </c>
      <c r="J4" s="945">
        <v>100100</v>
      </c>
      <c r="K4" s="949">
        <f t="shared" ref="K4:K9" si="4">H4/G4</f>
        <v>1.124697474214245</v>
      </c>
      <c r="L4" s="949">
        <f t="shared" ref="L4:L12" si="5">E4-K4</f>
        <v>5.6490949034897486E-3</v>
      </c>
      <c r="M4" s="949">
        <f t="shared" ref="M4:M9" si="6">I4/G4</f>
        <v>1.0434012831966215</v>
      </c>
      <c r="N4" s="949">
        <f t="shared" ref="N4:N9" si="7">J4/G4</f>
        <v>8.1296191017623656E-2</v>
      </c>
      <c r="O4" s="31"/>
    </row>
    <row r="5" spans="1:15" ht="25.5" hidden="1" customHeight="1">
      <c r="A5" s="948">
        <v>40969</v>
      </c>
      <c r="B5" s="945">
        <f t="shared" si="0"/>
        <v>2574224</v>
      </c>
      <c r="C5" s="946">
        <v>1205800</v>
      </c>
      <c r="D5" s="946">
        <v>1368424</v>
      </c>
      <c r="E5" s="949">
        <f t="shared" si="1"/>
        <v>1.1348681373362084</v>
      </c>
      <c r="F5" s="945">
        <f t="shared" si="2"/>
        <v>2656468</v>
      </c>
      <c r="G5" s="946">
        <v>1245484</v>
      </c>
      <c r="H5" s="945">
        <f t="shared" si="3"/>
        <v>1410984</v>
      </c>
      <c r="I5" s="946">
        <v>1302922</v>
      </c>
      <c r="J5" s="945">
        <v>108062</v>
      </c>
      <c r="K5" s="949">
        <f t="shared" si="4"/>
        <v>1.132880069113694</v>
      </c>
      <c r="L5" s="949">
        <f t="shared" si="5"/>
        <v>1.9880682225144053E-3</v>
      </c>
      <c r="M5" s="949">
        <f t="shared" si="6"/>
        <v>1.046117011539289</v>
      </c>
      <c r="N5" s="949">
        <f t="shared" si="7"/>
        <v>8.6763057574404806E-2</v>
      </c>
      <c r="O5" s="31"/>
    </row>
    <row r="6" spans="1:15" ht="25.5" hidden="1" customHeight="1">
      <c r="A6" s="948">
        <v>41000</v>
      </c>
      <c r="B6" s="945">
        <f t="shared" si="0"/>
        <v>2588831</v>
      </c>
      <c r="C6" s="946">
        <v>1211245</v>
      </c>
      <c r="D6" s="946">
        <v>1377586</v>
      </c>
      <c r="E6" s="949">
        <f t="shared" si="1"/>
        <v>1.1373305978559252</v>
      </c>
      <c r="F6" s="945">
        <f t="shared" si="2"/>
        <v>2647322</v>
      </c>
      <c r="G6" s="946">
        <v>1241072</v>
      </c>
      <c r="H6" s="945">
        <f t="shared" si="3"/>
        <v>1406250</v>
      </c>
      <c r="I6" s="946">
        <v>1302081</v>
      </c>
      <c r="J6" s="945">
        <v>104169</v>
      </c>
      <c r="K6" s="949">
        <f t="shared" si="4"/>
        <v>1.1330930034679696</v>
      </c>
      <c r="L6" s="949">
        <f t="shared" si="5"/>
        <v>4.2375943879555678E-3</v>
      </c>
      <c r="M6" s="949">
        <f t="shared" si="6"/>
        <v>1.0491583083012106</v>
      </c>
      <c r="N6" s="949">
        <f t="shared" si="7"/>
        <v>8.3934695166759055E-2</v>
      </c>
      <c r="O6" s="31"/>
    </row>
    <row r="7" spans="1:15" ht="25.5" hidden="1" customHeight="1">
      <c r="A7" s="948">
        <v>41030</v>
      </c>
      <c r="B7" s="945">
        <f t="shared" si="0"/>
        <v>2604319</v>
      </c>
      <c r="C7" s="946">
        <v>1214917</v>
      </c>
      <c r="D7" s="946">
        <v>1389402</v>
      </c>
      <c r="E7" s="949">
        <f t="shared" si="1"/>
        <v>1.1436188644985625</v>
      </c>
      <c r="F7" s="945">
        <f t="shared" si="2"/>
        <v>2670231</v>
      </c>
      <c r="G7" s="946">
        <v>1247594</v>
      </c>
      <c r="H7" s="945">
        <f t="shared" si="3"/>
        <v>1422637</v>
      </c>
      <c r="I7" s="946">
        <v>1316035</v>
      </c>
      <c r="J7" s="946">
        <v>106602</v>
      </c>
      <c r="K7" s="949">
        <f t="shared" si="4"/>
        <v>1.1403044580207984</v>
      </c>
      <c r="L7" s="949">
        <f t="shared" si="5"/>
        <v>3.3144064777641535E-3</v>
      </c>
      <c r="M7" s="949">
        <f t="shared" si="6"/>
        <v>1.0548583914318279</v>
      </c>
      <c r="N7" s="949">
        <f t="shared" si="7"/>
        <v>8.5446066588970457E-2</v>
      </c>
      <c r="O7" s="31"/>
    </row>
    <row r="8" spans="1:15" ht="25.5" hidden="1" customHeight="1">
      <c r="A8" s="948">
        <v>41061</v>
      </c>
      <c r="B8" s="945">
        <f t="shared" si="0"/>
        <v>2626515</v>
      </c>
      <c r="C8" s="946">
        <v>1223012</v>
      </c>
      <c r="D8" s="946">
        <v>1403503</v>
      </c>
      <c r="E8" s="949">
        <f t="shared" si="1"/>
        <v>1.1475790916197062</v>
      </c>
      <c r="F8" s="945">
        <f t="shared" si="2"/>
        <v>2692186</v>
      </c>
      <c r="G8" s="946">
        <v>1254835</v>
      </c>
      <c r="H8" s="945">
        <f t="shared" si="3"/>
        <v>1437351</v>
      </c>
      <c r="I8" s="946">
        <v>1328834</v>
      </c>
      <c r="J8" s="946">
        <v>108517</v>
      </c>
      <c r="K8" s="949">
        <f t="shared" si="4"/>
        <v>1.1454501986316925</v>
      </c>
      <c r="L8" s="949">
        <f t="shared" si="5"/>
        <v>2.1288929880136642E-3</v>
      </c>
      <c r="M8" s="949">
        <f t="shared" si="6"/>
        <v>1.0589710997860275</v>
      </c>
      <c r="N8" s="949">
        <f t="shared" si="7"/>
        <v>8.6479098845664973E-2</v>
      </c>
      <c r="O8" s="31"/>
    </row>
    <row r="9" spans="1:15" ht="25.5" hidden="1" customHeight="1">
      <c r="A9" s="948">
        <v>41122</v>
      </c>
      <c r="B9" s="945">
        <f t="shared" si="0"/>
        <v>2635709</v>
      </c>
      <c r="C9" s="947">
        <v>1221877</v>
      </c>
      <c r="D9" s="947">
        <f>1305287+108545</f>
        <v>1413832</v>
      </c>
      <c r="E9" s="949">
        <f t="shared" si="1"/>
        <v>1.1570984640843556</v>
      </c>
      <c r="F9" s="945">
        <f t="shared" si="2"/>
        <v>2726021</v>
      </c>
      <c r="G9" s="946">
        <v>1268293</v>
      </c>
      <c r="H9" s="945">
        <f t="shared" si="3"/>
        <v>1457728</v>
      </c>
      <c r="I9" s="946">
        <v>1347701</v>
      </c>
      <c r="J9" s="946">
        <v>110027</v>
      </c>
      <c r="K9" s="949">
        <f t="shared" si="4"/>
        <v>1.1493621741979181</v>
      </c>
      <c r="L9" s="949">
        <f t="shared" si="5"/>
        <v>7.7362898864374863E-3</v>
      </c>
      <c r="M9" s="949">
        <f t="shared" si="6"/>
        <v>1.0626101381936193</v>
      </c>
      <c r="N9" s="949">
        <f t="shared" si="7"/>
        <v>8.6752036004298691E-2</v>
      </c>
      <c r="O9" s="31"/>
    </row>
    <row r="10" spans="1:15" ht="25.5" hidden="1" customHeight="1">
      <c r="A10" s="948">
        <v>41153</v>
      </c>
      <c r="B10" s="945">
        <f t="shared" si="0"/>
        <v>2675152</v>
      </c>
      <c r="C10" s="946">
        <f>+'IV.1.1.2 Afil. SFS RC Mensual '!B10</f>
        <v>1242830</v>
      </c>
      <c r="D10" s="946">
        <f>+'IV.1.1.2 Afil. SFS RC Mensual '!C10</f>
        <v>1432322</v>
      </c>
      <c r="E10" s="949">
        <f t="shared" si="1"/>
        <v>1.1524681573505628</v>
      </c>
      <c r="F10" s="945">
        <f t="shared" si="2"/>
        <v>2740634</v>
      </c>
      <c r="G10" s="946">
        <v>1271489</v>
      </c>
      <c r="H10" s="945">
        <f t="shared" si="3"/>
        <v>1469145</v>
      </c>
      <c r="I10" s="946">
        <v>1355257</v>
      </c>
      <c r="J10" s="946">
        <v>113888</v>
      </c>
      <c r="K10" s="949">
        <f t="shared" ref="K10:K16" si="8">H10/G10</f>
        <v>1.1554523869258797</v>
      </c>
      <c r="L10" s="949">
        <f t="shared" si="5"/>
        <v>-2.9842295753168546E-3</v>
      </c>
      <c r="M10" s="949">
        <f t="shared" ref="M10:M15" si="9">I10/G10</f>
        <v>1.0658818125835143</v>
      </c>
      <c r="N10" s="949">
        <f t="shared" ref="N10:N15" si="10">J10/G10</f>
        <v>8.9570574342365525E-2</v>
      </c>
      <c r="O10" s="31"/>
    </row>
    <row r="11" spans="1:15" ht="23.25" hidden="1" customHeight="1">
      <c r="A11" s="948">
        <v>41183</v>
      </c>
      <c r="B11" s="945">
        <f t="shared" si="0"/>
        <v>2659359</v>
      </c>
      <c r="C11" s="946">
        <f>+'IV.1.1.2 Afil. SFS RC Mensual '!B11</f>
        <v>1229165</v>
      </c>
      <c r="D11" s="946">
        <f>+'IV.1.1.2 Afil. SFS RC Mensual '!C11</f>
        <v>1430194</v>
      </c>
      <c r="E11" s="949">
        <f t="shared" si="1"/>
        <v>1.1635492387108322</v>
      </c>
      <c r="F11" s="945">
        <f t="shared" si="2"/>
        <v>2705534</v>
      </c>
      <c r="G11" s="946">
        <v>1252244</v>
      </c>
      <c r="H11" s="945">
        <f t="shared" si="3"/>
        <v>1453290</v>
      </c>
      <c r="I11" s="946">
        <v>1341255</v>
      </c>
      <c r="J11" s="946">
        <v>112035</v>
      </c>
      <c r="K11" s="949">
        <f t="shared" si="8"/>
        <v>1.160548583183469</v>
      </c>
      <c r="L11" s="949">
        <f t="shared" si="5"/>
        <v>3.0006555273631719E-3</v>
      </c>
      <c r="M11" s="949">
        <f t="shared" si="9"/>
        <v>1.0710811950386665</v>
      </c>
      <c r="N11" s="949">
        <f t="shared" si="10"/>
        <v>8.9467388144802457E-2</v>
      </c>
      <c r="O11" s="31"/>
    </row>
    <row r="12" spans="1:15" ht="25.5" hidden="1" customHeight="1">
      <c r="A12" s="948">
        <v>41214</v>
      </c>
      <c r="B12" s="945">
        <f t="shared" si="0"/>
        <v>2675291</v>
      </c>
      <c r="C12" s="946">
        <v>1237619</v>
      </c>
      <c r="D12" s="946">
        <v>1437672</v>
      </c>
      <c r="E12" s="949">
        <f t="shared" si="1"/>
        <v>1.1616434460039802</v>
      </c>
      <c r="F12" s="945">
        <f t="shared" si="2"/>
        <v>2725184</v>
      </c>
      <c r="G12" s="946">
        <v>1262782</v>
      </c>
      <c r="H12" s="945">
        <f t="shared" si="3"/>
        <v>1462402</v>
      </c>
      <c r="I12" s="946">
        <v>1349205</v>
      </c>
      <c r="J12" s="946">
        <v>113197</v>
      </c>
      <c r="K12" s="949">
        <f t="shared" si="8"/>
        <v>1.1580795418369916</v>
      </c>
      <c r="L12" s="949">
        <f t="shared" si="5"/>
        <v>3.5639041669885962E-3</v>
      </c>
      <c r="M12" s="949">
        <f t="shared" si="9"/>
        <v>1.0684385745124654</v>
      </c>
      <c r="N12" s="949">
        <f t="shared" si="10"/>
        <v>8.9640967324526324E-2</v>
      </c>
      <c r="O12" s="31"/>
    </row>
    <row r="13" spans="1:15" ht="21.75" hidden="1" customHeight="1">
      <c r="A13" s="948">
        <v>41244</v>
      </c>
      <c r="B13" s="945">
        <f t="shared" ref="B13:B18" si="11">+D13+C13</f>
        <v>2688411</v>
      </c>
      <c r="C13" s="946">
        <v>1242830</v>
      </c>
      <c r="D13" s="946">
        <f>1332478+113103</f>
        <v>1445581</v>
      </c>
      <c r="E13" s="949">
        <f>D13/C13</f>
        <v>1.1631365512580161</v>
      </c>
      <c r="F13" s="945">
        <f t="shared" ref="F13:F20" si="12">+G13+H13</f>
        <v>2747735</v>
      </c>
      <c r="G13" s="946">
        <v>1270865</v>
      </c>
      <c r="H13" s="945">
        <f t="shared" si="3"/>
        <v>1476870</v>
      </c>
      <c r="I13" s="946">
        <v>1362366</v>
      </c>
      <c r="J13" s="946">
        <v>114504</v>
      </c>
      <c r="K13" s="949">
        <f t="shared" si="8"/>
        <v>1.1620982559123116</v>
      </c>
      <c r="L13" s="949">
        <f>E13-K13</f>
        <v>1.0382953457044319E-3</v>
      </c>
      <c r="M13" s="949">
        <f t="shared" si="9"/>
        <v>1.0719989928119824</v>
      </c>
      <c r="N13" s="949">
        <f t="shared" si="10"/>
        <v>9.0099263100329299E-2</v>
      </c>
      <c r="O13" s="39"/>
    </row>
    <row r="14" spans="1:15" ht="21.75" hidden="1" customHeight="1">
      <c r="A14" s="948">
        <v>41275</v>
      </c>
      <c r="B14" s="945">
        <f t="shared" si="11"/>
        <v>2690681</v>
      </c>
      <c r="C14" s="946">
        <f>+'IV.1.1.2 Afil. SFS RC Mensual '!B14</f>
        <v>1240536</v>
      </c>
      <c r="D14" s="946">
        <f>+'IV.1.1.2 Afil. SFS RC Mensual '!C14</f>
        <v>1450145</v>
      </c>
      <c r="E14" s="949">
        <f t="shared" ref="E14:E20" si="13">D14/C14</f>
        <v>1.1689664790058492</v>
      </c>
      <c r="F14" s="945">
        <f t="shared" si="12"/>
        <v>2766997</v>
      </c>
      <c r="G14" s="946">
        <v>1275175</v>
      </c>
      <c r="H14" s="945">
        <f t="shared" si="3"/>
        <v>1491822</v>
      </c>
      <c r="I14" s="946">
        <v>1375547</v>
      </c>
      <c r="J14" s="946">
        <v>116275</v>
      </c>
      <c r="K14" s="949">
        <f t="shared" si="8"/>
        <v>1.1698958966416375</v>
      </c>
      <c r="L14" s="949">
        <f>E14-K14</f>
        <v>-9.2941763578835435E-4</v>
      </c>
      <c r="M14" s="949">
        <f t="shared" si="9"/>
        <v>1.0787123336012705</v>
      </c>
      <c r="N14" s="949">
        <f t="shared" si="10"/>
        <v>9.1183563040367011E-2</v>
      </c>
      <c r="O14" s="39"/>
    </row>
    <row r="15" spans="1:15" ht="25.5" hidden="1" customHeight="1">
      <c r="A15" s="948">
        <v>41306</v>
      </c>
      <c r="B15" s="945">
        <f t="shared" si="11"/>
        <v>2708415</v>
      </c>
      <c r="C15" s="946">
        <v>1249039</v>
      </c>
      <c r="D15" s="946">
        <v>1459376</v>
      </c>
      <c r="E15" s="949">
        <f t="shared" si="13"/>
        <v>1.1683990652013267</v>
      </c>
      <c r="F15" s="945">
        <f t="shared" si="12"/>
        <v>2777376</v>
      </c>
      <c r="G15" s="946">
        <v>1285398</v>
      </c>
      <c r="H15" s="945">
        <f t="shared" si="3"/>
        <v>1491978</v>
      </c>
      <c r="I15" s="946">
        <v>1374230</v>
      </c>
      <c r="J15" s="946">
        <v>117748</v>
      </c>
      <c r="K15" s="949">
        <f t="shared" si="8"/>
        <v>1.1607128686990333</v>
      </c>
      <c r="L15" s="949">
        <f>E15-K15</f>
        <v>7.6861965022934076E-3</v>
      </c>
      <c r="M15" s="949">
        <f t="shared" si="9"/>
        <v>1.0691085562603957</v>
      </c>
      <c r="N15" s="949">
        <f t="shared" si="10"/>
        <v>9.1604312438637689E-2</v>
      </c>
      <c r="O15" s="39"/>
    </row>
    <row r="16" spans="1:15" ht="25.5" hidden="1" customHeight="1">
      <c r="A16" s="948">
        <v>41334</v>
      </c>
      <c r="B16" s="945">
        <f t="shared" si="11"/>
        <v>2735198</v>
      </c>
      <c r="C16" s="946">
        <f>+'IV.1.1.2 Afil. SFS RC Mensual '!B16</f>
        <v>1260455</v>
      </c>
      <c r="D16" s="946">
        <f>+'IV.1.1.2 Afil. SFS RC Mensual '!D16+'IV.1.1.2 Afil. SFS RC Mensual '!E16</f>
        <v>1474743</v>
      </c>
      <c r="E16" s="1809">
        <f t="shared" si="13"/>
        <v>1.1700084493298055</v>
      </c>
      <c r="F16" s="945">
        <f t="shared" si="12"/>
        <v>2803612</v>
      </c>
      <c r="G16" s="946">
        <v>1294708</v>
      </c>
      <c r="H16" s="945">
        <f t="shared" si="3"/>
        <v>1508904</v>
      </c>
      <c r="I16" s="946">
        <v>1388481</v>
      </c>
      <c r="J16" s="946">
        <v>120423</v>
      </c>
      <c r="K16" s="1809">
        <f t="shared" si="8"/>
        <v>1.1654396203622748</v>
      </c>
      <c r="L16" s="1809">
        <f>E16-K16</f>
        <v>4.568828967530747E-3</v>
      </c>
      <c r="M16" s="1809">
        <f>I16/G16</f>
        <v>1.0724279142478459</v>
      </c>
      <c r="N16" s="1809">
        <f>J16/G16</f>
        <v>9.3011706114428896E-2</v>
      </c>
      <c r="O16" s="39"/>
    </row>
    <row r="17" spans="1:15" ht="25.5" hidden="1" customHeight="1">
      <c r="A17" s="948">
        <v>41365</v>
      </c>
      <c r="B17" s="945">
        <f t="shared" si="11"/>
        <v>2748075</v>
      </c>
      <c r="C17" s="946">
        <f>+'IV.1.1.2 Afil. SFS RC Mensual '!B17</f>
        <v>1264822</v>
      </c>
      <c r="D17" s="946">
        <f>+'IV.1.1.2 Afil. SFS RC Mensual '!D17+'IV.1.1.2 Afil. SFS RC Mensual '!E17</f>
        <v>1483253</v>
      </c>
      <c r="E17" s="1809">
        <f t="shared" si="13"/>
        <v>1.1726970277240591</v>
      </c>
      <c r="F17" s="945">
        <f t="shared" si="12"/>
        <v>2830565</v>
      </c>
      <c r="G17" s="946">
        <v>1304722</v>
      </c>
      <c r="H17" s="945">
        <f t="shared" ref="H17:H22" si="14">+I17+J17</f>
        <v>1525843</v>
      </c>
      <c r="I17" s="946">
        <v>1404642</v>
      </c>
      <c r="J17" s="946">
        <v>121201</v>
      </c>
      <c r="K17" s="1809">
        <f t="shared" ref="K17:K27" si="15">H17/G17</f>
        <v>1.1694774825595031</v>
      </c>
      <c r="L17" s="1809">
        <f t="shared" ref="L17:L28" si="16">E17-K17</f>
        <v>3.2195451645560258E-3</v>
      </c>
      <c r="M17" s="1809">
        <f t="shared" ref="M17:M28" si="17">I17/G17</f>
        <v>1.0765833641189464</v>
      </c>
      <c r="N17" s="1809">
        <f t="shared" ref="N17:N28" si="18">J17/G17</f>
        <v>9.2894118440556686E-2</v>
      </c>
      <c r="O17" s="39"/>
    </row>
    <row r="18" spans="1:15" ht="25.5" hidden="1" customHeight="1">
      <c r="A18" s="948">
        <v>41395</v>
      </c>
      <c r="B18" s="945">
        <f t="shared" si="11"/>
        <v>2780307</v>
      </c>
      <c r="C18" s="946">
        <v>1277798</v>
      </c>
      <c r="D18" s="946">
        <f>122271+1380238</f>
        <v>1502509</v>
      </c>
      <c r="E18" s="1809">
        <f t="shared" si="13"/>
        <v>1.175857999464704</v>
      </c>
      <c r="F18" s="945">
        <f t="shared" si="12"/>
        <v>2868920</v>
      </c>
      <c r="G18" s="946">
        <v>1314375</v>
      </c>
      <c r="H18" s="945">
        <f t="shared" si="14"/>
        <v>1554545</v>
      </c>
      <c r="I18" s="946">
        <v>1430604</v>
      </c>
      <c r="J18" s="946">
        <v>123941</v>
      </c>
      <c r="K18" s="1809">
        <f t="shared" si="15"/>
        <v>1.1827256300523061</v>
      </c>
      <c r="L18" s="1809">
        <f t="shared" si="16"/>
        <v>-6.8676305876020916E-3</v>
      </c>
      <c r="M18" s="1809">
        <f t="shared" si="17"/>
        <v>1.0884291012838803</v>
      </c>
      <c r="N18" s="1809">
        <f t="shared" si="18"/>
        <v>9.4296528768426063E-2</v>
      </c>
      <c r="O18" s="39"/>
    </row>
    <row r="19" spans="1:15" ht="25.5" hidden="1" customHeight="1">
      <c r="A19" s="948">
        <v>41426</v>
      </c>
      <c r="B19" s="945">
        <f t="shared" ref="B19:B24" si="19">+D19+C19</f>
        <v>2807780</v>
      </c>
      <c r="C19" s="946">
        <v>1287291</v>
      </c>
      <c r="D19" s="946">
        <f>1396021+124468</f>
        <v>1520489</v>
      </c>
      <c r="E19" s="1809">
        <f t="shared" si="13"/>
        <v>1.1811540669514509</v>
      </c>
      <c r="F19" s="945">
        <f t="shared" si="12"/>
        <v>2876736</v>
      </c>
      <c r="G19" s="946">
        <v>1322957</v>
      </c>
      <c r="H19" s="945">
        <f t="shared" si="14"/>
        <v>1553779</v>
      </c>
      <c r="I19" s="946">
        <v>1427923</v>
      </c>
      <c r="J19" s="946">
        <v>125856</v>
      </c>
      <c r="K19" s="1809">
        <f t="shared" si="15"/>
        <v>1.1744743026417337</v>
      </c>
      <c r="L19" s="1809">
        <f t="shared" si="16"/>
        <v>6.6797643097171733E-3</v>
      </c>
      <c r="M19" s="1809">
        <f t="shared" si="17"/>
        <v>1.0793419589601174</v>
      </c>
      <c r="N19" s="1809">
        <f t="shared" si="18"/>
        <v>9.5132343681616258E-2</v>
      </c>
      <c r="O19" s="39"/>
    </row>
    <row r="20" spans="1:15" ht="25.5" hidden="1" customHeight="1">
      <c r="A20" s="948">
        <v>41456</v>
      </c>
      <c r="B20" s="945">
        <f t="shared" si="19"/>
        <v>2812343</v>
      </c>
      <c r="C20" s="946">
        <v>1291631</v>
      </c>
      <c r="D20" s="946">
        <f>1394607+126105</f>
        <v>1520712</v>
      </c>
      <c r="E20" s="1809">
        <f t="shared" si="13"/>
        <v>1.1773579296254115</v>
      </c>
      <c r="F20" s="945">
        <f t="shared" si="12"/>
        <v>2897400</v>
      </c>
      <c r="G20" s="946">
        <v>1321168</v>
      </c>
      <c r="H20" s="945">
        <f t="shared" si="14"/>
        <v>1576232</v>
      </c>
      <c r="I20" s="946">
        <v>1448786</v>
      </c>
      <c r="J20" s="946">
        <v>127446</v>
      </c>
      <c r="K20" s="1809">
        <f t="shared" si="15"/>
        <v>1.1930594746466763</v>
      </c>
      <c r="L20" s="1809">
        <f t="shared" si="16"/>
        <v>-1.5701545021264751E-2</v>
      </c>
      <c r="M20" s="1809">
        <f t="shared" si="17"/>
        <v>1.0965948312402358</v>
      </c>
      <c r="N20" s="1809">
        <f t="shared" si="18"/>
        <v>9.6464643406440356E-2</v>
      </c>
      <c r="O20" s="39"/>
    </row>
    <row r="21" spans="1:15" ht="25.5" hidden="1" customHeight="1">
      <c r="A21" s="948">
        <v>41487</v>
      </c>
      <c r="B21" s="945">
        <f t="shared" si="19"/>
        <v>2842043</v>
      </c>
      <c r="C21" s="946">
        <v>1300657</v>
      </c>
      <c r="D21" s="946">
        <f>1413807+127579</f>
        <v>1541386</v>
      </c>
      <c r="E21" s="1809">
        <f>D21/C21</f>
        <v>1.1850826159394829</v>
      </c>
      <c r="F21" s="945">
        <f>+G21+H21</f>
        <v>2918530</v>
      </c>
      <c r="G21" s="946">
        <v>1335783</v>
      </c>
      <c r="H21" s="945">
        <f t="shared" si="14"/>
        <v>1582747</v>
      </c>
      <c r="I21" s="946">
        <v>1453649</v>
      </c>
      <c r="J21" s="946">
        <v>129098</v>
      </c>
      <c r="K21" s="1809">
        <f t="shared" si="15"/>
        <v>1.1848833231146076</v>
      </c>
      <c r="L21" s="1809">
        <f t="shared" si="16"/>
        <v>1.9929282487529676E-4</v>
      </c>
      <c r="M21" s="1809">
        <f t="shared" si="17"/>
        <v>1.0882373858628236</v>
      </c>
      <c r="N21" s="1809">
        <f t="shared" si="18"/>
        <v>9.6645937251784164E-2</v>
      </c>
      <c r="O21" s="39"/>
    </row>
    <row r="22" spans="1:15" ht="25.5" hidden="1" customHeight="1">
      <c r="A22" s="948">
        <v>41518</v>
      </c>
      <c r="B22" s="945">
        <f t="shared" si="19"/>
        <v>2851794</v>
      </c>
      <c r="C22" s="946">
        <v>1303324</v>
      </c>
      <c r="D22" s="946">
        <f>1419509+128961</f>
        <v>1548470</v>
      </c>
      <c r="E22" s="1809">
        <f t="shared" ref="E22:E28" si="20">D22/C22</f>
        <v>1.188092907059181</v>
      </c>
      <c r="F22" s="945">
        <f>+G22+H22</f>
        <v>2915071</v>
      </c>
      <c r="G22" s="946">
        <v>1332551</v>
      </c>
      <c r="H22" s="945">
        <f t="shared" si="14"/>
        <v>1582520</v>
      </c>
      <c r="I22" s="946">
        <v>1452377</v>
      </c>
      <c r="J22" s="946">
        <v>130143</v>
      </c>
      <c r="K22" s="1809">
        <f t="shared" si="15"/>
        <v>1.1875868165646193</v>
      </c>
      <c r="L22" s="1809">
        <f t="shared" si="16"/>
        <v>5.0609049456173949E-4</v>
      </c>
      <c r="M22" s="1809">
        <f t="shared" si="17"/>
        <v>1.0899222618871622</v>
      </c>
      <c r="N22" s="1809">
        <f t="shared" si="18"/>
        <v>9.7664554677456994E-2</v>
      </c>
      <c r="O22" s="39"/>
    </row>
    <row r="23" spans="1:15" ht="25.5" hidden="1" customHeight="1">
      <c r="A23" s="948">
        <v>41548</v>
      </c>
      <c r="B23" s="945">
        <f t="shared" si="19"/>
        <v>2850942</v>
      </c>
      <c r="C23" s="946">
        <v>1299098</v>
      </c>
      <c r="D23" s="946">
        <v>1551844</v>
      </c>
      <c r="E23" s="1809">
        <f t="shared" si="20"/>
        <v>1.1945549912323781</v>
      </c>
      <c r="F23" s="945">
        <f>+G23+H23</f>
        <v>2920452</v>
      </c>
      <c r="G23" s="946">
        <v>1331542</v>
      </c>
      <c r="H23" s="945">
        <f t="shared" ref="H23:H28" si="21">+I23+J23</f>
        <v>1588910</v>
      </c>
      <c r="I23" s="946">
        <v>1458095</v>
      </c>
      <c r="J23" s="946">
        <v>130815</v>
      </c>
      <c r="K23" s="1809">
        <f t="shared" si="15"/>
        <v>1.1932856793101532</v>
      </c>
      <c r="L23" s="1809">
        <f t="shared" si="16"/>
        <v>1.2693119222249027E-3</v>
      </c>
      <c r="M23" s="1809">
        <f t="shared" si="17"/>
        <v>1.0950424395174918</v>
      </c>
      <c r="N23" s="1809">
        <f t="shared" si="18"/>
        <v>9.8243239792661446E-2</v>
      </c>
      <c r="O23" s="39"/>
    </row>
    <row r="24" spans="1:15" ht="25.5" hidden="1" customHeight="1">
      <c r="A24" s="948">
        <v>41579</v>
      </c>
      <c r="B24" s="945">
        <f t="shared" si="19"/>
        <v>2886412</v>
      </c>
      <c r="C24" s="946">
        <v>1312472</v>
      </c>
      <c r="D24" s="946">
        <f>1442084+131856</f>
        <v>1573940</v>
      </c>
      <c r="E24" s="1809">
        <f t="shared" si="20"/>
        <v>1.199217964268952</v>
      </c>
      <c r="F24" s="945">
        <f t="shared" ref="F24:F29" si="22">+G24+I24+J24</f>
        <v>2980478</v>
      </c>
      <c r="G24" s="946">
        <v>1355575</v>
      </c>
      <c r="H24" s="945">
        <f t="shared" si="21"/>
        <v>1624903</v>
      </c>
      <c r="I24" s="946">
        <v>1491285</v>
      </c>
      <c r="J24" s="946">
        <v>133618</v>
      </c>
      <c r="K24" s="1809">
        <f t="shared" si="15"/>
        <v>1.1986817402209395</v>
      </c>
      <c r="L24" s="1809">
        <f t="shared" si="16"/>
        <v>5.3622404801245693E-4</v>
      </c>
      <c r="M24" s="1809">
        <f t="shared" si="17"/>
        <v>1.1001124983862935</v>
      </c>
      <c r="N24" s="1809">
        <f t="shared" si="18"/>
        <v>9.8569241834645813E-2</v>
      </c>
      <c r="O24" s="39"/>
    </row>
    <row r="25" spans="1:15" ht="25.5" customHeight="1">
      <c r="A25" s="948">
        <v>41609</v>
      </c>
      <c r="B25" s="945">
        <f t="shared" ref="B25:B37" si="23">+D25+C25</f>
        <v>2859306</v>
      </c>
      <c r="C25" s="946">
        <v>1297821</v>
      </c>
      <c r="D25" s="946">
        <f>1429474+132011</f>
        <v>1561485</v>
      </c>
      <c r="E25" s="1809">
        <f t="shared" si="20"/>
        <v>1.203158987256332</v>
      </c>
      <c r="F25" s="945">
        <f t="shared" si="22"/>
        <v>2965326</v>
      </c>
      <c r="G25" s="946">
        <v>1353109</v>
      </c>
      <c r="H25" s="945">
        <f t="shared" si="21"/>
        <v>1612217</v>
      </c>
      <c r="I25" s="946">
        <v>1478208</v>
      </c>
      <c r="J25" s="946">
        <v>134009</v>
      </c>
      <c r="K25" s="1809">
        <f t="shared" si="15"/>
        <v>1.1914908555038803</v>
      </c>
      <c r="L25" s="1809">
        <f t="shared" si="16"/>
        <v>1.1668131752451627E-2</v>
      </c>
      <c r="M25" s="1809">
        <f t="shared" si="17"/>
        <v>1.0924530100679251</v>
      </c>
      <c r="N25" s="1809">
        <f t="shared" si="18"/>
        <v>9.9037845435955271E-2</v>
      </c>
      <c r="O25" s="39"/>
    </row>
    <row r="26" spans="1:15" ht="25.5" customHeight="1">
      <c r="A26" s="948">
        <v>41640</v>
      </c>
      <c r="B26" s="1725">
        <f t="shared" si="23"/>
        <v>2902340</v>
      </c>
      <c r="C26" s="947">
        <v>1321340</v>
      </c>
      <c r="D26" s="947">
        <f>1450246+130754</f>
        <v>1581000</v>
      </c>
      <c r="E26" s="1809">
        <f t="shared" si="20"/>
        <v>1.1965126311168965</v>
      </c>
      <c r="F26" s="945">
        <f t="shared" si="22"/>
        <v>2971385</v>
      </c>
      <c r="G26" s="946">
        <v>1346787</v>
      </c>
      <c r="H26" s="945">
        <f t="shared" si="21"/>
        <v>1624598</v>
      </c>
      <c r="I26" s="946">
        <v>1492651</v>
      </c>
      <c r="J26" s="946">
        <v>131947</v>
      </c>
      <c r="K26" s="1809">
        <f t="shared" si="15"/>
        <v>1.206276864864303</v>
      </c>
      <c r="L26" s="1809">
        <f t="shared" si="16"/>
        <v>-9.7642337474064256E-3</v>
      </c>
      <c r="M26" s="1809">
        <f t="shared" si="17"/>
        <v>1.1083051737208631</v>
      </c>
      <c r="N26" s="1809">
        <f t="shared" si="18"/>
        <v>9.7971691143439912E-2</v>
      </c>
      <c r="O26" s="39"/>
    </row>
    <row r="27" spans="1:15" ht="25.5" customHeight="1">
      <c r="A27" s="948">
        <v>41671</v>
      </c>
      <c r="B27" s="1725">
        <f t="shared" si="23"/>
        <v>2908347</v>
      </c>
      <c r="C27" s="947">
        <v>1322877</v>
      </c>
      <c r="D27" s="947">
        <f>1454254+131216</f>
        <v>1585470</v>
      </c>
      <c r="E27" s="1809">
        <f t="shared" si="20"/>
        <v>1.1985014479804246</v>
      </c>
      <c r="F27" s="1725">
        <f t="shared" si="22"/>
        <v>3021078</v>
      </c>
      <c r="G27" s="947">
        <v>1359650</v>
      </c>
      <c r="H27" s="1725">
        <f t="shared" si="21"/>
        <v>1661428</v>
      </c>
      <c r="I27" s="947">
        <v>1528301</v>
      </c>
      <c r="J27" s="947">
        <v>133127</v>
      </c>
      <c r="K27" s="1809">
        <f t="shared" si="15"/>
        <v>1.2219527084176074</v>
      </c>
      <c r="L27" s="1809">
        <f t="shared" si="16"/>
        <v>-2.3451260437182819E-2</v>
      </c>
      <c r="M27" s="1809">
        <f t="shared" si="17"/>
        <v>1.1240400102967676</v>
      </c>
      <c r="N27" s="1809">
        <f t="shared" si="18"/>
        <v>9.7912698120839928E-2</v>
      </c>
      <c r="O27" s="39"/>
    </row>
    <row r="28" spans="1:15" ht="25.5" customHeight="1">
      <c r="A28" s="948">
        <v>41699</v>
      </c>
      <c r="B28" s="1725">
        <f t="shared" si="23"/>
        <v>2934599</v>
      </c>
      <c r="C28" s="947">
        <v>1333694</v>
      </c>
      <c r="D28" s="947">
        <f>1465918+134987</f>
        <v>1600905</v>
      </c>
      <c r="E28" s="1809">
        <f t="shared" si="20"/>
        <v>1.2003540542283313</v>
      </c>
      <c r="F28" s="1725">
        <f t="shared" si="22"/>
        <v>3016476</v>
      </c>
      <c r="G28" s="947">
        <v>1372937</v>
      </c>
      <c r="H28" s="1725">
        <f t="shared" si="21"/>
        <v>1643539</v>
      </c>
      <c r="I28" s="947">
        <v>1505359</v>
      </c>
      <c r="J28" s="947">
        <v>138180</v>
      </c>
      <c r="K28" s="1809">
        <f t="shared" ref="K28:K33" si="24">H28/G28</f>
        <v>1.1970971719751162</v>
      </c>
      <c r="L28" s="1809">
        <f t="shared" si="16"/>
        <v>3.2568822532150765E-3</v>
      </c>
      <c r="M28" s="1809">
        <f t="shared" si="17"/>
        <v>1.0964516215966209</v>
      </c>
      <c r="N28" s="1809">
        <f t="shared" si="18"/>
        <v>0.10064555037849515</v>
      </c>
      <c r="O28" s="39"/>
    </row>
    <row r="29" spans="1:15" ht="25.5" customHeight="1">
      <c r="A29" s="948">
        <v>41730</v>
      </c>
      <c r="B29" s="1725">
        <f t="shared" si="23"/>
        <v>2968854</v>
      </c>
      <c r="C29" s="947">
        <v>1347792</v>
      </c>
      <c r="D29" s="947">
        <f>1483296+137766</f>
        <v>1621062</v>
      </c>
      <c r="E29" s="1809">
        <f t="shared" ref="E29:E34" si="25">D29/C29</f>
        <v>1.2027538373873714</v>
      </c>
      <c r="F29" s="1725">
        <f t="shared" si="22"/>
        <v>3084264</v>
      </c>
      <c r="G29" s="947">
        <v>1401048</v>
      </c>
      <c r="H29" s="1725">
        <f t="shared" ref="H29:H34" si="26">+I29+J29</f>
        <v>1683216</v>
      </c>
      <c r="I29" s="947">
        <v>1542106</v>
      </c>
      <c r="J29" s="947">
        <v>141110</v>
      </c>
      <c r="K29" s="1809">
        <f t="shared" si="24"/>
        <v>1.2013978107816434</v>
      </c>
      <c r="L29" s="1809">
        <f t="shared" ref="L29:L34" si="27">E29-K29</f>
        <v>1.356026605727978E-3</v>
      </c>
      <c r="M29" s="1809">
        <f t="shared" ref="M29:M34" si="28">I29/G29</f>
        <v>1.1006803478538922</v>
      </c>
      <c r="N29" s="1809">
        <f t="shared" ref="N29:N34" si="29">J29/G29</f>
        <v>0.10071746292775123</v>
      </c>
      <c r="O29" s="39"/>
    </row>
    <row r="30" spans="1:15" ht="25.5" customHeight="1">
      <c r="A30" s="948">
        <v>41760</v>
      </c>
      <c r="B30" s="1725">
        <f t="shared" si="23"/>
        <v>3005537</v>
      </c>
      <c r="C30" s="947">
        <v>1364259</v>
      </c>
      <c r="D30" s="947">
        <v>1641278</v>
      </c>
      <c r="E30" s="1809">
        <f t="shared" si="25"/>
        <v>1.2030545519582425</v>
      </c>
      <c r="F30" s="1725">
        <f t="shared" ref="F30:F35" si="30">+G30+I30+J30</f>
        <v>3080900</v>
      </c>
      <c r="G30" s="947">
        <v>1400615</v>
      </c>
      <c r="H30" s="1725">
        <f t="shared" si="26"/>
        <v>1680285</v>
      </c>
      <c r="I30" s="947">
        <v>1539307</v>
      </c>
      <c r="J30" s="947">
        <v>140978</v>
      </c>
      <c r="K30" s="1809">
        <f t="shared" si="24"/>
        <v>1.199676570649322</v>
      </c>
      <c r="L30" s="1809">
        <f t="shared" si="27"/>
        <v>3.3779813089205302E-3</v>
      </c>
      <c r="M30" s="1809">
        <f t="shared" si="28"/>
        <v>1.0990222152411619</v>
      </c>
      <c r="N30" s="1809">
        <f t="shared" si="29"/>
        <v>0.10065435540815999</v>
      </c>
      <c r="O30" s="39"/>
    </row>
    <row r="31" spans="1:15" ht="25.5" customHeight="1">
      <c r="A31" s="948">
        <v>41791</v>
      </c>
      <c r="B31" s="1725">
        <f t="shared" si="23"/>
        <v>3030417</v>
      </c>
      <c r="C31" s="947">
        <v>1374315</v>
      </c>
      <c r="D31" s="947">
        <f>1514545+141557</f>
        <v>1656102</v>
      </c>
      <c r="E31" s="1809">
        <f t="shared" si="25"/>
        <v>1.2050381462765087</v>
      </c>
      <c r="F31" s="1725">
        <f t="shared" si="30"/>
        <v>3112315</v>
      </c>
      <c r="G31" s="947">
        <v>1414279</v>
      </c>
      <c r="H31" s="1725">
        <f t="shared" si="26"/>
        <v>1698036</v>
      </c>
      <c r="I31" s="947">
        <v>1553545</v>
      </c>
      <c r="J31" s="947">
        <v>144491</v>
      </c>
      <c r="K31" s="1809">
        <f t="shared" si="24"/>
        <v>1.2006372151463749</v>
      </c>
      <c r="L31" s="1809">
        <f t="shared" si="27"/>
        <v>4.400931130133845E-3</v>
      </c>
      <c r="M31" s="1809">
        <f t="shared" si="28"/>
        <v>1.0984713765812828</v>
      </c>
      <c r="N31" s="1809">
        <f t="shared" si="29"/>
        <v>0.10216583856509218</v>
      </c>
      <c r="O31" s="39"/>
    </row>
    <row r="32" spans="1:15" ht="25.5" customHeight="1">
      <c r="A32" s="948">
        <v>41821</v>
      </c>
      <c r="B32" s="1725">
        <f t="shared" si="23"/>
        <v>3037396</v>
      </c>
      <c r="C32" s="947">
        <f>+'IV.1.1.2 Afil. SFS RC Mensual '!$B$32</f>
        <v>1375864</v>
      </c>
      <c r="D32" s="947">
        <f>1519919+141613</f>
        <v>1661532</v>
      </c>
      <c r="E32" s="2056">
        <f t="shared" si="25"/>
        <v>1.2076280795194874</v>
      </c>
      <c r="F32" s="1725">
        <f t="shared" si="30"/>
        <v>3103655</v>
      </c>
      <c r="G32" s="947">
        <v>1404730</v>
      </c>
      <c r="H32" s="1725">
        <f t="shared" si="26"/>
        <v>1698925</v>
      </c>
      <c r="I32" s="947">
        <v>1555644</v>
      </c>
      <c r="J32" s="947">
        <v>143281</v>
      </c>
      <c r="K32" s="1809">
        <f t="shared" si="24"/>
        <v>1.2094317057370456</v>
      </c>
      <c r="L32" s="1809">
        <f t="shared" si="27"/>
        <v>-1.8036262175582518E-3</v>
      </c>
      <c r="M32" s="1809">
        <f t="shared" si="28"/>
        <v>1.1074327450826849</v>
      </c>
      <c r="N32" s="1809">
        <f t="shared" si="29"/>
        <v>0.10199896065436062</v>
      </c>
      <c r="O32" s="39"/>
    </row>
    <row r="33" spans="1:15" ht="25.5" customHeight="1">
      <c r="A33" s="948">
        <v>41852</v>
      </c>
      <c r="B33" s="1725">
        <f t="shared" si="23"/>
        <v>3069411</v>
      </c>
      <c r="C33" s="947">
        <v>1390935</v>
      </c>
      <c r="D33" s="947">
        <f>143371+1535105</f>
        <v>1678476</v>
      </c>
      <c r="E33" s="2056">
        <f t="shared" si="25"/>
        <v>1.206724972770115</v>
      </c>
      <c r="F33" s="1725">
        <f t="shared" si="30"/>
        <v>3160668</v>
      </c>
      <c r="G33" s="947">
        <v>1430575</v>
      </c>
      <c r="H33" s="1725">
        <f t="shared" si="26"/>
        <v>1730093</v>
      </c>
      <c r="I33" s="947">
        <v>1584765</v>
      </c>
      <c r="J33" s="947">
        <v>145328</v>
      </c>
      <c r="K33" s="1809">
        <f t="shared" si="24"/>
        <v>1.2093689600335529</v>
      </c>
      <c r="L33" s="1809">
        <f t="shared" si="27"/>
        <v>-2.6439872634378414E-3</v>
      </c>
      <c r="M33" s="1809">
        <f t="shared" si="28"/>
        <v>1.1077818359750451</v>
      </c>
      <c r="N33" s="1809">
        <f t="shared" si="29"/>
        <v>0.10158712405850795</v>
      </c>
      <c r="O33" s="39"/>
    </row>
    <row r="34" spans="1:15" ht="25.5" customHeight="1">
      <c r="A34" s="948">
        <v>41883</v>
      </c>
      <c r="B34" s="945">
        <f t="shared" si="23"/>
        <v>3079772</v>
      </c>
      <c r="C34" s="946">
        <v>1391699</v>
      </c>
      <c r="D34" s="946">
        <f>1542660+145413</f>
        <v>1688073</v>
      </c>
      <c r="E34" s="1809">
        <f t="shared" si="25"/>
        <v>1.2129584055172851</v>
      </c>
      <c r="F34" s="1725">
        <f t="shared" si="30"/>
        <v>3147868</v>
      </c>
      <c r="G34" s="947">
        <v>1422487</v>
      </c>
      <c r="H34" s="1725">
        <f t="shared" si="26"/>
        <v>1725381</v>
      </c>
      <c r="I34" s="947">
        <v>1578479</v>
      </c>
      <c r="J34" s="947">
        <v>146902</v>
      </c>
      <c r="K34" s="1809">
        <f>H34/G34</f>
        <v>1.2129327016696814</v>
      </c>
      <c r="L34" s="1809">
        <f t="shared" si="27"/>
        <v>2.5703847603697483E-5</v>
      </c>
      <c r="M34" s="1809">
        <f t="shared" si="28"/>
        <v>1.1096614591205403</v>
      </c>
      <c r="N34" s="1809">
        <f t="shared" si="29"/>
        <v>0.10327124254914105</v>
      </c>
      <c r="O34" s="39"/>
    </row>
    <row r="35" spans="1:15" ht="25.5" customHeight="1">
      <c r="A35" s="948">
        <v>41913</v>
      </c>
      <c r="B35" s="945">
        <f t="shared" si="23"/>
        <v>3101900</v>
      </c>
      <c r="C35" s="946">
        <v>1400550</v>
      </c>
      <c r="D35" s="946">
        <f>1554245+147105</f>
        <v>1701350</v>
      </c>
      <c r="E35" s="1809">
        <f>D35/C35</f>
        <v>1.2147727678412052</v>
      </c>
      <c r="F35" s="1725">
        <f t="shared" si="30"/>
        <v>3179214</v>
      </c>
      <c r="G35" s="947">
        <v>1434785</v>
      </c>
      <c r="H35" s="1725">
        <f>+I35+J35</f>
        <v>1744429</v>
      </c>
      <c r="I35" s="947">
        <v>1595792</v>
      </c>
      <c r="J35" s="947">
        <v>148637</v>
      </c>
      <c r="K35" s="1809">
        <f>H35/G35</f>
        <v>1.2158121251616096</v>
      </c>
      <c r="L35" s="1809">
        <f>E35-K35</f>
        <v>-1.0393573204043882E-3</v>
      </c>
      <c r="M35" s="1809">
        <f>I35/G35</f>
        <v>1.1122168129719783</v>
      </c>
      <c r="N35" s="1809">
        <f>J35/G35</f>
        <v>0.10359531218963119</v>
      </c>
      <c r="O35" s="39"/>
    </row>
    <row r="36" spans="1:15" ht="25.5" customHeight="1">
      <c r="A36" s="948">
        <v>41944</v>
      </c>
      <c r="B36" s="1725">
        <f t="shared" si="23"/>
        <v>3128462</v>
      </c>
      <c r="C36" s="947">
        <v>1417590</v>
      </c>
      <c r="D36" s="947">
        <f>1561834+149038</f>
        <v>1710872</v>
      </c>
      <c r="E36" s="2056">
        <f>D36/C36</f>
        <v>1.2068877461043037</v>
      </c>
      <c r="F36" s="1725">
        <f>+G36+I36+J36</f>
        <v>3200727</v>
      </c>
      <c r="G36" s="947">
        <v>1448467</v>
      </c>
      <c r="H36" s="1725">
        <f>+I36+J36</f>
        <v>1752260</v>
      </c>
      <c r="I36" s="947">
        <v>1601669</v>
      </c>
      <c r="J36" s="947">
        <v>150591</v>
      </c>
      <c r="K36" s="1809">
        <f>H36/G36</f>
        <v>1.2097341534187525</v>
      </c>
      <c r="L36" s="1809">
        <f>E36-K36</f>
        <v>-2.8464073144487401E-3</v>
      </c>
      <c r="M36" s="1809">
        <f>I36/G36</f>
        <v>1.1057683744262037</v>
      </c>
      <c r="N36" s="1809">
        <f>J36/G36</f>
        <v>0.10396577899254868</v>
      </c>
      <c r="O36" s="39"/>
    </row>
    <row r="37" spans="1:15" ht="25.5" customHeight="1">
      <c r="A37" s="948">
        <v>41974</v>
      </c>
      <c r="B37" s="1725">
        <f t="shared" si="23"/>
        <v>3141599</v>
      </c>
      <c r="C37" s="947">
        <v>1422986</v>
      </c>
      <c r="D37" s="947">
        <f>1568541+150072</f>
        <v>1718613</v>
      </c>
      <c r="E37" s="2056">
        <f>D37/C37</f>
        <v>1.2077511655068989</v>
      </c>
      <c r="F37" s="1725">
        <f>+G37+I37+J37</f>
        <v>3224947</v>
      </c>
      <c r="G37" s="947">
        <v>1451773</v>
      </c>
      <c r="H37" s="1725">
        <f>+I37+J37</f>
        <v>1773174</v>
      </c>
      <c r="I37" s="947">
        <v>1621827</v>
      </c>
      <c r="J37" s="947">
        <v>151347</v>
      </c>
      <c r="K37" s="1809">
        <f>H37/G37</f>
        <v>1.2213851614543045</v>
      </c>
      <c r="L37" s="1809">
        <f>E37-K37</f>
        <v>-1.3633995947405664E-2</v>
      </c>
      <c r="M37" s="1809">
        <f>I37/G37</f>
        <v>1.1171353923788361</v>
      </c>
      <c r="N37" s="1809">
        <f>J37/G37</f>
        <v>0.10424976907546842</v>
      </c>
      <c r="O37" s="39"/>
    </row>
    <row r="38" spans="1:15" ht="36.75" customHeight="1">
      <c r="A38" s="1715" t="s">
        <v>1744</v>
      </c>
      <c r="B38" s="39"/>
      <c r="C38" s="39"/>
      <c r="D38" s="39"/>
      <c r="E38" s="39"/>
      <c r="F38" s="39"/>
      <c r="G38" s="39"/>
      <c r="H38" s="39"/>
      <c r="I38" s="39"/>
      <c r="J38" s="39"/>
      <c r="K38" s="39"/>
      <c r="L38" s="39"/>
      <c r="M38" s="39"/>
      <c r="N38" s="39"/>
      <c r="O38" s="39"/>
    </row>
    <row r="39" spans="1:15" ht="25.5" customHeight="1">
      <c r="A39" s="39"/>
      <c r="B39" s="39"/>
      <c r="C39" s="39"/>
      <c r="D39" s="39"/>
      <c r="E39" s="39"/>
      <c r="F39" s="39"/>
      <c r="G39" s="39"/>
      <c r="H39" s="39"/>
      <c r="I39" s="39"/>
      <c r="J39" s="39"/>
      <c r="K39" s="39"/>
      <c r="L39" s="39"/>
      <c r="M39" s="39"/>
      <c r="N39" s="39"/>
      <c r="O39" s="39"/>
    </row>
    <row r="40" spans="1:15" ht="25.5" customHeight="1">
      <c r="A40" s="39"/>
      <c r="B40" s="39"/>
      <c r="C40" s="39"/>
      <c r="D40" s="39"/>
      <c r="E40" s="39"/>
      <c r="F40" s="39"/>
      <c r="G40" s="39"/>
      <c r="H40" s="39"/>
      <c r="I40" s="39"/>
      <c r="J40" s="39"/>
      <c r="K40" s="39"/>
      <c r="L40" s="39"/>
      <c r="M40" s="39"/>
      <c r="N40" s="39"/>
      <c r="O40" s="39"/>
    </row>
    <row r="41" spans="1:15" ht="25.5" customHeight="1">
      <c r="A41" s="39"/>
      <c r="B41" s="39"/>
      <c r="C41" s="1756"/>
      <c r="D41" s="1757"/>
      <c r="E41" s="1560"/>
      <c r="F41" s="39"/>
      <c r="G41" s="39"/>
      <c r="H41" s="39"/>
      <c r="I41" s="39"/>
      <c r="J41" s="39"/>
      <c r="K41" s="39"/>
      <c r="L41" s="39"/>
      <c r="M41" s="39"/>
      <c r="N41" s="39"/>
      <c r="O41" s="39"/>
    </row>
    <row r="42" spans="1:15" ht="25.5" customHeight="1">
      <c r="A42" s="39"/>
      <c r="B42" s="39"/>
      <c r="C42" s="1758"/>
      <c r="D42" s="1758"/>
      <c r="E42" s="1560"/>
      <c r="F42" s="39"/>
      <c r="G42" s="39"/>
      <c r="H42" s="39"/>
      <c r="I42" s="39"/>
      <c r="J42" s="39"/>
      <c r="K42" s="39"/>
      <c r="L42" s="39"/>
      <c r="M42" s="39"/>
      <c r="N42" s="39"/>
      <c r="O42" s="39"/>
    </row>
    <row r="43" spans="1:15" ht="25.5" customHeight="1">
      <c r="A43" s="39"/>
      <c r="B43" s="39"/>
      <c r="C43" s="1758"/>
      <c r="D43" s="1758"/>
      <c r="E43" s="1560"/>
      <c r="F43" s="39"/>
      <c r="G43" s="39"/>
      <c r="H43" s="39"/>
      <c r="I43" s="39"/>
      <c r="J43" s="39"/>
      <c r="K43" s="39"/>
      <c r="L43" s="39"/>
      <c r="M43" s="39"/>
      <c r="N43" s="39"/>
      <c r="O43" s="39"/>
    </row>
    <row r="44" spans="1:15" ht="25.5" customHeight="1">
      <c r="A44" s="39"/>
      <c r="B44" s="39"/>
      <c r="C44" s="1758"/>
      <c r="D44" s="1758"/>
      <c r="E44" s="1560"/>
      <c r="F44" s="39"/>
      <c r="G44" s="39"/>
      <c r="H44" s="39"/>
      <c r="I44" s="39"/>
      <c r="J44" s="39"/>
      <c r="K44" s="39"/>
      <c r="L44" s="39"/>
      <c r="M44" s="39"/>
      <c r="N44" s="39"/>
      <c r="O44" s="39"/>
    </row>
    <row r="45" spans="1:15" ht="25.5" customHeight="1">
      <c r="A45" s="39"/>
      <c r="B45" s="39"/>
      <c r="C45" s="1758"/>
      <c r="D45" s="1758"/>
      <c r="E45" s="1560"/>
      <c r="F45" s="39"/>
      <c r="G45" s="39"/>
      <c r="H45" s="39"/>
      <c r="I45" s="39"/>
      <c r="J45" s="39"/>
      <c r="K45" s="39"/>
      <c r="L45" s="39"/>
      <c r="M45" s="39"/>
      <c r="N45" s="39"/>
      <c r="O45" s="39"/>
    </row>
    <row r="46" spans="1:15" ht="25.5" customHeight="1">
      <c r="A46" s="39"/>
      <c r="B46" s="39"/>
      <c r="C46" s="1759"/>
      <c r="D46" s="1759"/>
      <c r="E46" s="1560"/>
      <c r="F46" s="39"/>
      <c r="G46" s="39"/>
      <c r="H46" s="39"/>
      <c r="I46" s="39"/>
      <c r="J46" s="39"/>
      <c r="K46" s="39"/>
      <c r="L46" s="39"/>
      <c r="M46" s="39"/>
      <c r="N46" s="39"/>
      <c r="O46" s="39"/>
    </row>
    <row r="47" spans="1:15" ht="25.5" customHeight="1">
      <c r="A47" s="39"/>
      <c r="B47" s="39"/>
      <c r="C47" s="1759"/>
      <c r="D47" s="1759"/>
      <c r="E47" s="1560"/>
      <c r="F47" s="39"/>
      <c r="G47" s="39"/>
      <c r="H47" s="39"/>
      <c r="I47" s="39"/>
      <c r="J47" s="39"/>
      <c r="K47" s="39"/>
      <c r="L47" s="39"/>
      <c r="M47" s="39"/>
      <c r="N47" s="39"/>
      <c r="O47" s="39"/>
    </row>
    <row r="48" spans="1:15" ht="25.5" customHeight="1">
      <c r="A48" s="39"/>
      <c r="B48" s="39"/>
      <c r="C48" s="1759"/>
      <c r="D48" s="1759"/>
      <c r="E48" s="1560"/>
      <c r="F48" s="39"/>
      <c r="G48" s="39"/>
      <c r="H48" s="39"/>
      <c r="I48" s="39"/>
      <c r="J48" s="39"/>
      <c r="K48" s="39"/>
      <c r="L48" s="39"/>
      <c r="M48" s="39"/>
      <c r="N48" s="39"/>
      <c r="O48" s="39"/>
    </row>
    <row r="49" spans="1:15" ht="25.5" customHeight="1">
      <c r="A49" s="39"/>
      <c r="B49" s="39"/>
      <c r="C49" s="1759"/>
      <c r="D49" s="1759"/>
      <c r="E49" s="1560"/>
      <c r="F49" s="39"/>
      <c r="G49" s="39"/>
      <c r="H49" s="39"/>
      <c r="I49" s="39"/>
      <c r="J49" s="39"/>
      <c r="K49" s="39"/>
      <c r="L49" s="39"/>
      <c r="M49" s="39"/>
      <c r="N49" s="39"/>
      <c r="O49" s="39"/>
    </row>
    <row r="50" spans="1:15" ht="25.5" customHeight="1">
      <c r="A50" s="39"/>
      <c r="B50" s="39"/>
      <c r="C50" s="1759"/>
      <c r="D50" s="1759"/>
      <c r="E50" s="1560"/>
      <c r="F50" s="39"/>
      <c r="G50" s="39"/>
      <c r="H50" s="39"/>
      <c r="I50" s="39"/>
      <c r="J50" s="39"/>
      <c r="K50" s="39"/>
      <c r="L50" s="39"/>
      <c r="M50" s="39"/>
      <c r="N50" s="39"/>
      <c r="O50" s="39"/>
    </row>
    <row r="51" spans="1:15" ht="25.5" customHeight="1">
      <c r="A51" s="39"/>
      <c r="B51" s="39"/>
      <c r="C51" s="1759"/>
      <c r="D51" s="1759"/>
      <c r="E51" s="1560"/>
      <c r="F51" s="39"/>
      <c r="G51" s="39"/>
      <c r="H51" s="39"/>
      <c r="I51" s="39"/>
      <c r="J51" s="39"/>
      <c r="K51" s="39"/>
      <c r="L51" s="39"/>
      <c r="M51" s="39"/>
      <c r="N51" s="39"/>
      <c r="O51" s="39"/>
    </row>
    <row r="52" spans="1:15" ht="25.5" customHeight="1">
      <c r="A52" s="39"/>
      <c r="B52" s="39"/>
      <c r="C52" s="1759"/>
      <c r="D52" s="1759"/>
      <c r="E52" s="1560"/>
      <c r="F52" s="39"/>
      <c r="G52" s="39"/>
      <c r="H52" s="39"/>
      <c r="I52" s="39"/>
      <c r="J52" s="39"/>
      <c r="K52" s="39"/>
      <c r="L52" s="39"/>
      <c r="M52" s="39"/>
      <c r="N52" s="39"/>
      <c r="O52" s="39"/>
    </row>
    <row r="53" spans="1:15">
      <c r="A53" s="148"/>
      <c r="B53" s="148"/>
      <c r="C53" s="148"/>
      <c r="D53" s="148"/>
      <c r="E53" s="148"/>
      <c r="F53" s="148"/>
      <c r="G53" s="148"/>
      <c r="N53" s="149"/>
      <c r="O53" s="149"/>
    </row>
    <row r="54" spans="1:15">
      <c r="A54" s="148"/>
      <c r="B54" s="148"/>
      <c r="C54" s="148"/>
      <c r="D54" s="148"/>
      <c r="E54" s="148"/>
      <c r="F54" s="148"/>
      <c r="G54" s="148"/>
      <c r="N54" s="149"/>
      <c r="O54" s="149"/>
    </row>
    <row r="55" spans="1:15">
      <c r="A55" s="148"/>
      <c r="B55" s="148"/>
      <c r="C55" s="148"/>
      <c r="D55" s="148"/>
      <c r="E55" s="148"/>
      <c r="F55" s="148"/>
      <c r="G55" s="148"/>
      <c r="N55" s="149"/>
      <c r="O55" s="149"/>
    </row>
    <row r="56" spans="1:15">
      <c r="A56" s="148"/>
      <c r="B56" s="148"/>
      <c r="C56" s="148"/>
      <c r="D56" s="148"/>
      <c r="E56" s="148"/>
      <c r="F56" s="148"/>
      <c r="G56" s="148"/>
      <c r="N56" s="149"/>
      <c r="O56" s="149"/>
    </row>
    <row r="57" spans="1:15" ht="21" customHeight="1">
      <c r="N57" s="149"/>
      <c r="O57" s="149"/>
    </row>
    <row r="58" spans="1:15" ht="29.25" customHeight="1">
      <c r="A58" s="2199"/>
      <c r="B58" s="2199"/>
      <c r="C58" s="2199"/>
      <c r="D58" s="2199"/>
      <c r="E58" s="2199"/>
      <c r="F58" s="2199"/>
      <c r="G58" s="2199"/>
      <c r="H58" s="2199"/>
      <c r="I58" s="2199"/>
      <c r="J58" s="2199"/>
      <c r="K58" s="2199"/>
      <c r="L58" s="2199"/>
      <c r="M58" s="2199"/>
      <c r="N58" s="2199"/>
      <c r="O58" s="2199"/>
    </row>
    <row r="59" spans="1:15">
      <c r="N59" s="151"/>
      <c r="O59" s="151"/>
    </row>
    <row r="60" spans="1:15">
      <c r="N60" s="151"/>
      <c r="O60" s="151"/>
    </row>
    <row r="61" spans="1:15">
      <c r="N61" s="151"/>
      <c r="O61" s="151"/>
    </row>
    <row r="62" spans="1:15">
      <c r="N62" s="151"/>
      <c r="O62" s="151"/>
    </row>
    <row r="63" spans="1:15">
      <c r="N63" s="151"/>
      <c r="O63" s="151"/>
    </row>
    <row r="64" spans="1:15">
      <c r="N64" s="151"/>
      <c r="O64" s="151"/>
    </row>
    <row r="65" spans="3:15">
      <c r="N65" s="151"/>
      <c r="O65" s="151"/>
    </row>
    <row r="66" spans="3:15">
      <c r="N66" s="151"/>
      <c r="O66" s="151"/>
    </row>
    <row r="67" spans="3:15">
      <c r="N67" s="151"/>
      <c r="O67" s="151"/>
    </row>
    <row r="68" spans="3:15">
      <c r="N68" s="151"/>
      <c r="O68" s="151"/>
    </row>
    <row r="69" spans="3:15">
      <c r="N69" s="151"/>
      <c r="O69" s="151"/>
    </row>
    <row r="70" spans="3:15">
      <c r="C70" s="151"/>
      <c r="D70" s="151"/>
      <c r="E70" s="151"/>
      <c r="F70" s="151"/>
      <c r="G70" s="151"/>
      <c r="H70" s="151"/>
      <c r="I70" s="151"/>
      <c r="J70" s="151"/>
      <c r="K70" s="151"/>
      <c r="L70" s="151"/>
      <c r="M70" s="151"/>
      <c r="N70" s="151"/>
      <c r="O70" s="151"/>
    </row>
  </sheetData>
  <mergeCells count="2">
    <mergeCell ref="A58:O58"/>
    <mergeCell ref="A1:O1"/>
  </mergeCells>
  <printOptions horizontalCentered="1" verticalCentered="1"/>
  <pageMargins left="0.39370078740157483" right="0.39370078740157483" top="0.23622047244094491" bottom="0.23622047244094491" header="0.31496062992125984" footer="0.31496062992125984"/>
  <pageSetup paperSize="10023" scale="31"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FF00"/>
    <pageSetUpPr fitToPage="1"/>
  </sheetPr>
  <dimension ref="A1:N14"/>
  <sheetViews>
    <sheetView showGridLines="0" view="pageBreakPreview" zoomScale="85" zoomScaleNormal="55" zoomScaleSheetLayoutView="85" workbookViewId="0">
      <selection activeCell="J4" sqref="J4"/>
    </sheetView>
  </sheetViews>
  <sheetFormatPr baseColWidth="10" defaultColWidth="11.5703125" defaultRowHeight="15"/>
  <cols>
    <col min="1" max="1" width="13.42578125" customWidth="1"/>
    <col min="2" max="2" width="18.28515625" customWidth="1"/>
    <col min="3" max="3" width="17.140625" customWidth="1"/>
    <col min="4" max="4" width="20.5703125" customWidth="1"/>
    <col min="5" max="5" width="18.28515625" customWidth="1"/>
    <col min="6" max="6" width="20.85546875" customWidth="1"/>
    <col min="8" max="8" width="13.42578125" customWidth="1"/>
    <col min="9" max="9" width="10.5703125" bestFit="1" customWidth="1"/>
    <col min="10" max="10" width="12.42578125" customWidth="1"/>
    <col min="11" max="11" width="9.7109375" customWidth="1"/>
    <col min="12" max="12" width="11.5703125" customWidth="1"/>
  </cols>
  <sheetData>
    <row r="1" spans="1:14" ht="66.75" customHeight="1">
      <c r="A1" s="2278" t="s">
        <v>2031</v>
      </c>
      <c r="B1" s="2279"/>
      <c r="C1" s="2279"/>
      <c r="D1" s="2279"/>
      <c r="E1" s="2279"/>
      <c r="F1" s="2279"/>
      <c r="G1" s="2279"/>
      <c r="H1" s="2279"/>
      <c r="I1" s="2279"/>
      <c r="J1" s="2279"/>
      <c r="K1" s="2279"/>
      <c r="L1" s="2279"/>
      <c r="M1" s="2279"/>
    </row>
    <row r="2" spans="1:14" s="128" customFormat="1" ht="1.5" customHeight="1">
      <c r="A2" s="45"/>
      <c r="B2" s="45"/>
      <c r="C2" s="45"/>
      <c r="D2" s="45"/>
      <c r="E2" s="45"/>
      <c r="F2" s="45"/>
      <c r="G2" s="45"/>
      <c r="H2" s="45"/>
      <c r="I2" s="45"/>
      <c r="J2" s="45"/>
      <c r="K2" s="45"/>
      <c r="L2" s="45"/>
    </row>
    <row r="3" spans="1:14" ht="51.75" customHeight="1">
      <c r="A3" s="951" t="s">
        <v>494</v>
      </c>
      <c r="B3" s="951" t="s">
        <v>1006</v>
      </c>
      <c r="C3" s="951" t="s">
        <v>1573</v>
      </c>
      <c r="D3" s="951" t="s">
        <v>1274</v>
      </c>
      <c r="E3" s="950" t="s">
        <v>1268</v>
      </c>
      <c r="F3" s="950" t="s">
        <v>1379</v>
      </c>
      <c r="I3" s="27"/>
      <c r="J3" s="45"/>
      <c r="L3" s="45"/>
      <c r="M3" s="45"/>
      <c r="N3" s="27"/>
    </row>
    <row r="4" spans="1:14">
      <c r="A4" s="951" t="s">
        <v>32</v>
      </c>
      <c r="B4" s="1344">
        <v>1571911.5</v>
      </c>
      <c r="C4" s="1341">
        <v>919911</v>
      </c>
      <c r="D4" s="1342">
        <f>C4/B4</f>
        <v>0.5852180609404537</v>
      </c>
      <c r="E4" s="1341">
        <v>1005990</v>
      </c>
      <c r="F4" s="1343">
        <f>+C4/B4</f>
        <v>0.5852180609404537</v>
      </c>
      <c r="I4" s="24"/>
      <c r="J4" s="45"/>
      <c r="K4" s="45"/>
      <c r="L4" s="45"/>
      <c r="M4" s="45"/>
      <c r="N4" s="27"/>
    </row>
    <row r="5" spans="1:14">
      <c r="A5" s="951" t="s">
        <v>33</v>
      </c>
      <c r="B5" s="1344">
        <v>1566047</v>
      </c>
      <c r="C5" s="1341">
        <v>966146</v>
      </c>
      <c r="D5" s="1342">
        <f t="shared" ref="D5:D11" si="0">C5/B5</f>
        <v>0.61693295284241145</v>
      </c>
      <c r="E5" s="1341">
        <v>992746</v>
      </c>
      <c r="F5" s="1343">
        <f t="shared" ref="F5:F11" si="1">+C5/B5</f>
        <v>0.61693295284241145</v>
      </c>
      <c r="I5" s="24"/>
      <c r="J5" s="45"/>
      <c r="K5" s="45"/>
      <c r="L5" s="45"/>
      <c r="M5" s="45"/>
      <c r="N5" s="148"/>
    </row>
    <row r="6" spans="1:14">
      <c r="A6" s="951" t="s">
        <v>34</v>
      </c>
      <c r="B6" s="1344">
        <v>1560994</v>
      </c>
      <c r="C6" s="1341">
        <v>1079602</v>
      </c>
      <c r="D6" s="1342">
        <f t="shared" si="0"/>
        <v>0.69161188319750111</v>
      </c>
      <c r="E6" s="1341">
        <v>1084705</v>
      </c>
      <c r="F6" s="1343">
        <f t="shared" si="1"/>
        <v>0.69161188319750111</v>
      </c>
      <c r="I6" s="24"/>
      <c r="J6" s="21"/>
      <c r="K6" s="45"/>
      <c r="L6" s="45"/>
      <c r="M6" s="45"/>
      <c r="N6" s="148"/>
    </row>
    <row r="7" spans="1:14">
      <c r="A7" s="951" t="s">
        <v>359</v>
      </c>
      <c r="B7" s="1344">
        <v>1631129</v>
      </c>
      <c r="C7" s="1341">
        <v>1152861</v>
      </c>
      <c r="D7" s="1342">
        <f t="shared" si="0"/>
        <v>0.7067871394598465</v>
      </c>
      <c r="E7" s="1341">
        <v>1183463</v>
      </c>
      <c r="F7" s="1343">
        <f t="shared" si="1"/>
        <v>0.7067871394598465</v>
      </c>
      <c r="I7" s="21"/>
      <c r="J7" s="45"/>
      <c r="K7" s="45"/>
      <c r="L7" s="45"/>
      <c r="M7" s="45"/>
      <c r="N7" s="148"/>
    </row>
    <row r="8" spans="1:14">
      <c r="A8" s="951" t="s">
        <v>477</v>
      </c>
      <c r="B8" s="1344">
        <v>1686216</v>
      </c>
      <c r="C8" s="1341">
        <v>1188345</v>
      </c>
      <c r="D8" s="1342">
        <f t="shared" si="0"/>
        <v>0.70474067379268135</v>
      </c>
      <c r="E8" s="1341">
        <v>1224959</v>
      </c>
      <c r="F8" s="1343">
        <f t="shared" si="1"/>
        <v>0.70474067379268135</v>
      </c>
      <c r="I8" s="56"/>
      <c r="J8" s="56"/>
      <c r="K8" s="45"/>
      <c r="L8" s="56"/>
      <c r="M8" s="56"/>
      <c r="N8" s="148"/>
    </row>
    <row r="9" spans="1:14">
      <c r="A9" s="951" t="s">
        <v>1057</v>
      </c>
      <c r="B9" s="1344">
        <v>1716228</v>
      </c>
      <c r="C9" s="1344">
        <v>1242830</v>
      </c>
      <c r="D9" s="1342">
        <f t="shared" si="0"/>
        <v>0.72416368920679541</v>
      </c>
      <c r="E9" s="1344">
        <v>1270865</v>
      </c>
      <c r="F9" s="1343">
        <f t="shared" si="1"/>
        <v>0.72416368920679541</v>
      </c>
      <c r="I9" s="56"/>
      <c r="J9" s="56"/>
      <c r="K9" s="56"/>
      <c r="L9" s="56"/>
      <c r="M9" s="56"/>
      <c r="N9" s="148"/>
    </row>
    <row r="10" spans="1:14" s="128" customFormat="1">
      <c r="A10" s="951" t="s">
        <v>1640</v>
      </c>
      <c r="B10" s="1344">
        <v>1769801</v>
      </c>
      <c r="C10" s="1344">
        <v>1297821</v>
      </c>
      <c r="D10" s="1342">
        <f t="shared" si="0"/>
        <v>0.73331464950014158</v>
      </c>
      <c r="E10" s="1344">
        <v>1353109</v>
      </c>
      <c r="F10" s="1343">
        <f t="shared" si="1"/>
        <v>0.73331464950014158</v>
      </c>
      <c r="I10" s="151"/>
      <c r="J10" s="151"/>
      <c r="K10" s="151"/>
      <c r="L10" s="151"/>
      <c r="M10" s="151"/>
    </row>
    <row r="11" spans="1:14" s="128" customFormat="1">
      <c r="A11" s="951" t="s">
        <v>1922</v>
      </c>
      <c r="B11" s="1344">
        <v>1865496</v>
      </c>
      <c r="C11" s="1344">
        <v>1422986</v>
      </c>
      <c r="D11" s="1342">
        <f t="shared" si="0"/>
        <v>0.76279230831907441</v>
      </c>
      <c r="E11" s="1344">
        <v>1451773</v>
      </c>
      <c r="F11" s="1343">
        <f t="shared" si="1"/>
        <v>0.76279230831907441</v>
      </c>
      <c r="I11" s="151"/>
      <c r="J11" s="151"/>
      <c r="K11" s="151"/>
      <c r="L11" s="151"/>
      <c r="M11" s="151"/>
    </row>
    <row r="12" spans="1:14">
      <c r="A12" s="2280" t="s">
        <v>1914</v>
      </c>
      <c r="B12" s="2281"/>
      <c r="C12" s="2281"/>
      <c r="D12" s="56"/>
      <c r="E12" s="56"/>
      <c r="F12" s="56"/>
      <c r="G12" s="56"/>
      <c r="H12" s="56"/>
      <c r="I12" s="56"/>
      <c r="J12" s="56"/>
      <c r="K12" s="56"/>
      <c r="L12" s="56"/>
    </row>
    <row r="13" spans="1:14">
      <c r="B13" s="56"/>
      <c r="C13" s="56"/>
      <c r="D13" s="56"/>
      <c r="E13" s="56"/>
      <c r="F13" s="56"/>
      <c r="G13" s="56"/>
      <c r="H13" s="56"/>
      <c r="I13" s="56"/>
      <c r="J13" s="56"/>
      <c r="K13" s="56"/>
      <c r="L13" s="56"/>
    </row>
    <row r="14" spans="1:14">
      <c r="B14" s="56"/>
      <c r="C14" s="56"/>
      <c r="D14" s="56"/>
      <c r="E14" s="56"/>
      <c r="F14" s="56"/>
      <c r="G14" s="56"/>
      <c r="H14" s="56"/>
      <c r="I14" s="56"/>
      <c r="J14" s="56"/>
      <c r="K14" s="56"/>
      <c r="L14" s="56"/>
    </row>
  </sheetData>
  <mergeCells count="2">
    <mergeCell ref="A1:M1"/>
    <mergeCell ref="A12:C12"/>
  </mergeCells>
  <printOptions horizontalCentered="1" verticalCentered="1"/>
  <pageMargins left="0.70866141732283472" right="0.70866141732283472" top="0.19685039370078741" bottom="0.74803149606299213" header="0.31496062992125984" footer="0.31496062992125984"/>
  <pageSetup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Q53"/>
  <sheetViews>
    <sheetView showGridLines="0" view="pageBreakPreview" zoomScale="85" zoomScaleNormal="85" zoomScaleSheetLayoutView="85" workbookViewId="0">
      <selection activeCell="O26" sqref="O26"/>
    </sheetView>
  </sheetViews>
  <sheetFormatPr baseColWidth="10" defaultColWidth="11.5703125" defaultRowHeight="15"/>
  <cols>
    <col min="1" max="1" width="32.140625" customWidth="1"/>
    <col min="10" max="10" width="16.28515625" customWidth="1"/>
    <col min="14" max="14" width="4.42578125" customWidth="1"/>
    <col min="16" max="22" width="11.5703125" style="128"/>
    <col min="24" max="24" width="39.5703125" bestFit="1" customWidth="1"/>
  </cols>
  <sheetData>
    <row r="1" spans="1:43" ht="67.5" customHeight="1">
      <c r="A1" s="2286" t="s">
        <v>1574</v>
      </c>
      <c r="B1" s="2287"/>
      <c r="C1" s="2287"/>
      <c r="D1" s="2287"/>
      <c r="E1" s="2287"/>
      <c r="F1" s="2287"/>
      <c r="G1" s="2287"/>
      <c r="H1" s="2287"/>
      <c r="I1" s="2287"/>
      <c r="J1" s="2287"/>
      <c r="K1" s="2287"/>
      <c r="L1" s="2287"/>
      <c r="M1" s="2287"/>
      <c r="N1" s="2288"/>
      <c r="Y1" s="880" t="s">
        <v>831</v>
      </c>
      <c r="Z1" s="881" t="s">
        <v>832</v>
      </c>
      <c r="AA1" s="881" t="s">
        <v>833</v>
      </c>
      <c r="AB1" s="881" t="s">
        <v>834</v>
      </c>
      <c r="AC1" s="881" t="s">
        <v>835</v>
      </c>
      <c r="AD1" s="881" t="s">
        <v>836</v>
      </c>
      <c r="AE1" s="881" t="s">
        <v>837</v>
      </c>
      <c r="AF1" s="881" t="s">
        <v>838</v>
      </c>
      <c r="AG1" s="881" t="s">
        <v>839</v>
      </c>
      <c r="AH1" s="881" t="s">
        <v>840</v>
      </c>
    </row>
    <row r="2" spans="1:43" s="128" customFormat="1" ht="3.75" customHeight="1"/>
    <row r="3" spans="1:43" ht="26.25" customHeight="1">
      <c r="A3" s="2289" t="s">
        <v>1154</v>
      </c>
      <c r="B3" s="2282" t="s">
        <v>830</v>
      </c>
      <c r="C3" s="2283"/>
      <c r="D3" s="2283"/>
      <c r="E3" s="2283"/>
      <c r="F3" s="2283"/>
      <c r="G3" s="2283"/>
      <c r="H3" s="2283"/>
      <c r="I3" s="2283"/>
      <c r="J3" s="2283"/>
      <c r="K3" s="2284"/>
    </row>
    <row r="4" spans="1:43" s="1488" customFormat="1" ht="26.25" customHeight="1">
      <c r="A4" s="2289"/>
      <c r="B4" s="960" t="s">
        <v>907</v>
      </c>
      <c r="C4" s="961" t="s">
        <v>832</v>
      </c>
      <c r="D4" s="961" t="s">
        <v>833</v>
      </c>
      <c r="E4" s="961" t="s">
        <v>834</v>
      </c>
      <c r="F4" s="961" t="s">
        <v>835</v>
      </c>
      <c r="G4" s="961" t="s">
        <v>836</v>
      </c>
      <c r="H4" s="961" t="s">
        <v>837</v>
      </c>
      <c r="I4" s="961" t="s">
        <v>838</v>
      </c>
      <c r="J4" s="961" t="s">
        <v>839</v>
      </c>
      <c r="K4" s="961" t="s">
        <v>840</v>
      </c>
      <c r="W4" s="1489" t="s">
        <v>1174</v>
      </c>
      <c r="X4" s="1489" t="s">
        <v>1154</v>
      </c>
      <c r="Y4" s="1490" t="s">
        <v>1155</v>
      </c>
      <c r="Z4" s="1489" t="s">
        <v>1156</v>
      </c>
      <c r="AA4" s="1489" t="s">
        <v>1157</v>
      </c>
      <c r="AB4" s="1489" t="s">
        <v>1158</v>
      </c>
      <c r="AC4" s="1489" t="s">
        <v>1159</v>
      </c>
      <c r="AD4" s="1489" t="s">
        <v>1160</v>
      </c>
      <c r="AE4" s="1489" t="s">
        <v>1161</v>
      </c>
      <c r="AF4" s="1489" t="s">
        <v>1162</v>
      </c>
      <c r="AG4" s="1489" t="s">
        <v>1163</v>
      </c>
      <c r="AH4" s="1489" t="s">
        <v>1164</v>
      </c>
      <c r="AI4" s="1489" t="s">
        <v>1165</v>
      </c>
      <c r="AJ4" s="1489" t="s">
        <v>1166</v>
      </c>
      <c r="AK4" s="1489" t="s">
        <v>1167</v>
      </c>
      <c r="AL4" s="1489" t="s">
        <v>1168</v>
      </c>
      <c r="AM4" s="1489" t="s">
        <v>1169</v>
      </c>
      <c r="AN4" s="1489" t="s">
        <v>1170</v>
      </c>
      <c r="AO4" s="1489" t="s">
        <v>1171</v>
      </c>
      <c r="AP4" s="1489" t="s">
        <v>1172</v>
      </c>
      <c r="AQ4" s="1489" t="s">
        <v>1173</v>
      </c>
    </row>
    <row r="5" spans="1:43" ht="15" customHeight="1">
      <c r="A5" s="474" t="s">
        <v>841</v>
      </c>
      <c r="B5" s="874">
        <v>91693</v>
      </c>
      <c r="C5" s="874">
        <v>173384</v>
      </c>
      <c r="D5" s="874">
        <v>128339</v>
      </c>
      <c r="E5" s="874">
        <v>180525</v>
      </c>
      <c r="F5" s="874">
        <v>133122</v>
      </c>
      <c r="G5" s="874">
        <v>81790</v>
      </c>
      <c r="H5" s="874">
        <v>41622</v>
      </c>
      <c r="I5" s="874">
        <v>24956</v>
      </c>
      <c r="J5" s="874">
        <f t="shared" ref="J5:J29" si="0">+I5+H5+G5+F5+E5+D5+C5+B5</f>
        <v>855431</v>
      </c>
      <c r="K5" s="875">
        <f t="shared" ref="K5:K29" si="1">J5/$J$30</f>
        <v>0.32569050624115986</v>
      </c>
      <c r="W5" s="952">
        <v>1</v>
      </c>
      <c r="X5" s="953" t="s">
        <v>857</v>
      </c>
      <c r="Y5" s="954">
        <v>17432</v>
      </c>
      <c r="Z5" s="954">
        <v>545</v>
      </c>
      <c r="AA5" s="954">
        <v>813</v>
      </c>
      <c r="AB5" s="954">
        <v>1466</v>
      </c>
      <c r="AC5" s="954">
        <v>1605</v>
      </c>
      <c r="AD5" s="954">
        <v>1156</v>
      </c>
      <c r="AE5" s="954">
        <v>434</v>
      </c>
      <c r="AF5" s="954">
        <v>506</v>
      </c>
      <c r="AG5" s="954">
        <v>641</v>
      </c>
      <c r="AH5" s="954">
        <v>763</v>
      </c>
      <c r="AI5" s="954">
        <v>1480</v>
      </c>
      <c r="AJ5" s="954">
        <v>1825</v>
      </c>
      <c r="AK5" s="954">
        <v>1564</v>
      </c>
      <c r="AL5" s="954">
        <v>1221</v>
      </c>
      <c r="AM5" s="954">
        <v>765</v>
      </c>
      <c r="AN5" s="954">
        <v>674</v>
      </c>
      <c r="AO5" s="954">
        <v>734</v>
      </c>
      <c r="AP5" s="954">
        <v>640</v>
      </c>
      <c r="AQ5" s="954">
        <v>600</v>
      </c>
    </row>
    <row r="6" spans="1:43" ht="15" customHeight="1">
      <c r="A6" s="474" t="s">
        <v>842</v>
      </c>
      <c r="B6" s="874">
        <v>27338</v>
      </c>
      <c r="C6" s="874">
        <v>83311</v>
      </c>
      <c r="D6" s="874">
        <v>59957</v>
      </c>
      <c r="E6" s="874">
        <v>54570</v>
      </c>
      <c r="F6" s="874">
        <v>66862</v>
      </c>
      <c r="G6" s="874">
        <v>70426</v>
      </c>
      <c r="H6" s="874">
        <v>46363</v>
      </c>
      <c r="I6" s="874">
        <v>32599</v>
      </c>
      <c r="J6" s="874">
        <f t="shared" si="0"/>
        <v>441426</v>
      </c>
      <c r="K6" s="875">
        <f t="shared" si="1"/>
        <v>0.16806528803376336</v>
      </c>
      <c r="W6" s="955">
        <v>2</v>
      </c>
      <c r="X6" s="956" t="s">
        <v>845</v>
      </c>
      <c r="Y6" s="957">
        <v>123727</v>
      </c>
      <c r="Z6" s="957">
        <v>7933</v>
      </c>
      <c r="AA6" s="957">
        <v>9715</v>
      </c>
      <c r="AB6" s="957">
        <v>10828</v>
      </c>
      <c r="AC6" s="957">
        <v>6986</v>
      </c>
      <c r="AD6" s="957">
        <v>8991</v>
      </c>
      <c r="AE6" s="957">
        <v>14145</v>
      </c>
      <c r="AF6" s="957">
        <v>14100</v>
      </c>
      <c r="AG6" s="957">
        <v>12706</v>
      </c>
      <c r="AH6" s="957">
        <v>11247</v>
      </c>
      <c r="AI6" s="957">
        <v>9147</v>
      </c>
      <c r="AJ6" s="957">
        <v>6638</v>
      </c>
      <c r="AK6" s="957">
        <v>4939</v>
      </c>
      <c r="AL6" s="957">
        <v>3159</v>
      </c>
      <c r="AM6" s="957">
        <v>1733</v>
      </c>
      <c r="AN6" s="957">
        <v>735</v>
      </c>
      <c r="AO6" s="957">
        <v>418</v>
      </c>
      <c r="AP6" s="957">
        <v>175</v>
      </c>
      <c r="AQ6" s="957">
        <v>132</v>
      </c>
    </row>
    <row r="7" spans="1:43" ht="12.75" customHeight="1">
      <c r="A7" s="474" t="s">
        <v>843</v>
      </c>
      <c r="B7" s="874">
        <v>39676</v>
      </c>
      <c r="C7" s="874">
        <v>75009</v>
      </c>
      <c r="D7" s="874">
        <v>51403</v>
      </c>
      <c r="E7" s="874">
        <v>79030</v>
      </c>
      <c r="F7" s="874">
        <v>58149</v>
      </c>
      <c r="G7" s="874">
        <v>32904</v>
      </c>
      <c r="H7" s="874">
        <v>16994</v>
      </c>
      <c r="I7" s="874">
        <v>11454</v>
      </c>
      <c r="J7" s="874">
        <f t="shared" si="0"/>
        <v>364619</v>
      </c>
      <c r="K7" s="875">
        <f t="shared" si="1"/>
        <v>0.13882235585938021</v>
      </c>
      <c r="W7" s="955">
        <v>3</v>
      </c>
      <c r="X7" s="956" t="s">
        <v>855</v>
      </c>
      <c r="Y7" s="957">
        <v>18292</v>
      </c>
      <c r="Z7" s="957">
        <v>967</v>
      </c>
      <c r="AA7" s="957">
        <v>1120</v>
      </c>
      <c r="AB7" s="957">
        <v>1191</v>
      </c>
      <c r="AC7" s="957">
        <v>919</v>
      </c>
      <c r="AD7" s="957">
        <v>2585</v>
      </c>
      <c r="AE7" s="957">
        <v>1954</v>
      </c>
      <c r="AF7" s="957">
        <v>1706</v>
      </c>
      <c r="AG7" s="957">
        <v>1458</v>
      </c>
      <c r="AH7" s="957">
        <v>1299</v>
      </c>
      <c r="AI7" s="957">
        <v>1210</v>
      </c>
      <c r="AJ7" s="957">
        <v>1004</v>
      </c>
      <c r="AK7" s="957">
        <v>856</v>
      </c>
      <c r="AL7" s="957">
        <v>645</v>
      </c>
      <c r="AM7" s="957">
        <v>459</v>
      </c>
      <c r="AN7" s="957">
        <v>345</v>
      </c>
      <c r="AO7" s="957">
        <v>306</v>
      </c>
      <c r="AP7" s="957">
        <v>171</v>
      </c>
      <c r="AQ7" s="957">
        <v>97</v>
      </c>
    </row>
    <row r="8" spans="1:43">
      <c r="A8" s="474" t="s">
        <v>844</v>
      </c>
      <c r="B8" s="874">
        <v>28375</v>
      </c>
      <c r="C8" s="874">
        <v>55330</v>
      </c>
      <c r="D8" s="874">
        <v>35323</v>
      </c>
      <c r="E8" s="874">
        <v>57663</v>
      </c>
      <c r="F8" s="874">
        <v>44733</v>
      </c>
      <c r="G8" s="874">
        <v>25973</v>
      </c>
      <c r="H8" s="874">
        <v>13454</v>
      </c>
      <c r="I8" s="874">
        <v>8544</v>
      </c>
      <c r="J8" s="874">
        <f t="shared" si="0"/>
        <v>269395</v>
      </c>
      <c r="K8" s="875">
        <f t="shared" si="1"/>
        <v>0.10256747058364411</v>
      </c>
      <c r="W8" s="952">
        <v>4</v>
      </c>
      <c r="X8" s="956" t="s">
        <v>850</v>
      </c>
      <c r="Y8" s="957">
        <v>46173</v>
      </c>
      <c r="Z8" s="957">
        <v>4002</v>
      </c>
      <c r="AA8" s="957">
        <v>4495</v>
      </c>
      <c r="AB8" s="957">
        <v>4759</v>
      </c>
      <c r="AC8" s="957">
        <v>3941</v>
      </c>
      <c r="AD8" s="957">
        <v>5002</v>
      </c>
      <c r="AE8" s="957">
        <v>4033</v>
      </c>
      <c r="AF8" s="957">
        <v>3853</v>
      </c>
      <c r="AG8" s="957">
        <v>3540</v>
      </c>
      <c r="AH8" s="957">
        <v>3218</v>
      </c>
      <c r="AI8" s="957">
        <v>2859</v>
      </c>
      <c r="AJ8" s="957">
        <v>2195</v>
      </c>
      <c r="AK8" s="957">
        <v>1644</v>
      </c>
      <c r="AL8" s="957">
        <v>1164</v>
      </c>
      <c r="AM8" s="957">
        <v>670</v>
      </c>
      <c r="AN8" s="957">
        <v>389</v>
      </c>
      <c r="AO8" s="957">
        <v>219</v>
      </c>
      <c r="AP8" s="957">
        <v>109</v>
      </c>
      <c r="AQ8" s="957">
        <v>81</v>
      </c>
    </row>
    <row r="9" spans="1:43">
      <c r="A9" s="474" t="s">
        <v>845</v>
      </c>
      <c r="B9" s="874">
        <v>7933</v>
      </c>
      <c r="C9" s="874">
        <v>20543</v>
      </c>
      <c r="D9" s="874">
        <v>15977</v>
      </c>
      <c r="E9" s="874">
        <v>28245</v>
      </c>
      <c r="F9" s="874">
        <v>23953</v>
      </c>
      <c r="G9" s="874">
        <v>15785</v>
      </c>
      <c r="H9" s="874">
        <v>8098</v>
      </c>
      <c r="I9" s="874">
        <v>3193</v>
      </c>
      <c r="J9" s="874">
        <f t="shared" si="0"/>
        <v>123727</v>
      </c>
      <c r="K9" s="875">
        <f t="shared" si="1"/>
        <v>4.7106907822723268E-2</v>
      </c>
      <c r="W9" s="955">
        <v>5</v>
      </c>
      <c r="X9" s="956" t="s">
        <v>858</v>
      </c>
      <c r="Y9" s="957">
        <v>16720</v>
      </c>
      <c r="Z9" s="957">
        <v>1332</v>
      </c>
      <c r="AA9" s="957">
        <v>1595</v>
      </c>
      <c r="AB9" s="957">
        <v>1843</v>
      </c>
      <c r="AC9" s="957">
        <v>1296</v>
      </c>
      <c r="AD9" s="957">
        <v>1110</v>
      </c>
      <c r="AE9" s="957">
        <v>1371</v>
      </c>
      <c r="AF9" s="957">
        <v>1490</v>
      </c>
      <c r="AG9" s="957">
        <v>1385</v>
      </c>
      <c r="AH9" s="957">
        <v>1344</v>
      </c>
      <c r="AI9" s="957">
        <v>1216</v>
      </c>
      <c r="AJ9" s="957">
        <v>912</v>
      </c>
      <c r="AK9" s="957">
        <v>720</v>
      </c>
      <c r="AL9" s="957">
        <v>499</v>
      </c>
      <c r="AM9" s="957">
        <v>253</v>
      </c>
      <c r="AN9" s="957">
        <v>155</v>
      </c>
      <c r="AO9" s="957">
        <v>113</v>
      </c>
      <c r="AP9" s="957">
        <v>48</v>
      </c>
      <c r="AQ9" s="957">
        <v>38</v>
      </c>
    </row>
    <row r="10" spans="1:43">
      <c r="A10" s="474" t="s">
        <v>846</v>
      </c>
      <c r="B10" s="874">
        <v>5575</v>
      </c>
      <c r="C10" s="874">
        <v>24678</v>
      </c>
      <c r="D10" s="874">
        <v>15826</v>
      </c>
      <c r="E10" s="874">
        <v>8171</v>
      </c>
      <c r="F10" s="874">
        <v>20198</v>
      </c>
      <c r="G10" s="874">
        <v>26580</v>
      </c>
      <c r="H10" s="874">
        <v>12252</v>
      </c>
      <c r="I10" s="874">
        <v>2732</v>
      </c>
      <c r="J10" s="874">
        <f t="shared" si="0"/>
        <v>116012</v>
      </c>
      <c r="K10" s="875">
        <f t="shared" si="1"/>
        <v>4.4169555475601703E-2</v>
      </c>
      <c r="W10" s="955">
        <v>6</v>
      </c>
      <c r="X10" s="956" t="s">
        <v>865</v>
      </c>
      <c r="Y10" s="957">
        <v>1190</v>
      </c>
      <c r="Z10" s="957">
        <v>104</v>
      </c>
      <c r="AA10" s="957">
        <v>84</v>
      </c>
      <c r="AB10" s="957">
        <v>113</v>
      </c>
      <c r="AC10" s="957">
        <v>75</v>
      </c>
      <c r="AD10" s="957">
        <v>55</v>
      </c>
      <c r="AE10" s="957">
        <v>109</v>
      </c>
      <c r="AF10" s="957">
        <v>138</v>
      </c>
      <c r="AG10" s="957">
        <v>114</v>
      </c>
      <c r="AH10" s="957">
        <v>100</v>
      </c>
      <c r="AI10" s="957">
        <v>112</v>
      </c>
      <c r="AJ10" s="957">
        <v>56</v>
      </c>
      <c r="AK10" s="957">
        <v>44</v>
      </c>
      <c r="AL10" s="957">
        <v>26</v>
      </c>
      <c r="AM10" s="957">
        <v>12</v>
      </c>
      <c r="AN10" s="957">
        <v>21</v>
      </c>
      <c r="AO10" s="957">
        <v>15</v>
      </c>
      <c r="AP10" s="957">
        <v>5</v>
      </c>
      <c r="AQ10" s="957">
        <v>7</v>
      </c>
    </row>
    <row r="11" spans="1:43" ht="14.25" customHeight="1">
      <c r="A11" s="474" t="s">
        <v>847</v>
      </c>
      <c r="B11" s="874">
        <v>6376</v>
      </c>
      <c r="C11" s="874">
        <v>14386</v>
      </c>
      <c r="D11" s="874">
        <v>11641</v>
      </c>
      <c r="E11" s="874">
        <v>13191</v>
      </c>
      <c r="F11" s="874">
        <v>12050</v>
      </c>
      <c r="G11" s="874">
        <v>8410</v>
      </c>
      <c r="H11" s="874">
        <v>4632</v>
      </c>
      <c r="I11" s="874">
        <v>3060</v>
      </c>
      <c r="J11" s="874">
        <f t="shared" si="0"/>
        <v>73746</v>
      </c>
      <c r="K11" s="875">
        <f t="shared" si="1"/>
        <v>2.80775095516302E-2</v>
      </c>
      <c r="W11" s="952">
        <v>7</v>
      </c>
      <c r="X11" s="956" t="s">
        <v>851</v>
      </c>
      <c r="Y11" s="957">
        <v>36571</v>
      </c>
      <c r="Z11" s="957">
        <v>3477</v>
      </c>
      <c r="AA11" s="957">
        <v>3466</v>
      </c>
      <c r="AB11" s="957">
        <v>3392</v>
      </c>
      <c r="AC11" s="957">
        <v>2222</v>
      </c>
      <c r="AD11" s="957">
        <v>4155</v>
      </c>
      <c r="AE11" s="957">
        <v>4342</v>
      </c>
      <c r="AF11" s="957">
        <v>3595</v>
      </c>
      <c r="AG11" s="957">
        <v>3037</v>
      </c>
      <c r="AH11" s="957">
        <v>2669</v>
      </c>
      <c r="AI11" s="957">
        <v>2153</v>
      </c>
      <c r="AJ11" s="957">
        <v>1541</v>
      </c>
      <c r="AK11" s="957">
        <v>1124</v>
      </c>
      <c r="AL11" s="957">
        <v>683</v>
      </c>
      <c r="AM11" s="957">
        <v>390</v>
      </c>
      <c r="AN11" s="957">
        <v>164</v>
      </c>
      <c r="AO11" s="957">
        <v>88</v>
      </c>
      <c r="AP11" s="957">
        <v>41</v>
      </c>
      <c r="AQ11" s="957">
        <v>32</v>
      </c>
    </row>
    <row r="12" spans="1:43">
      <c r="A12" s="478" t="s">
        <v>849</v>
      </c>
      <c r="B12" s="874">
        <v>3628</v>
      </c>
      <c r="C12" s="874">
        <v>6728</v>
      </c>
      <c r="D12" s="874">
        <v>18318</v>
      </c>
      <c r="E12" s="874">
        <v>12123</v>
      </c>
      <c r="F12" s="874">
        <v>7779</v>
      </c>
      <c r="G12" s="874">
        <v>3792</v>
      </c>
      <c r="H12" s="874">
        <v>1799</v>
      </c>
      <c r="I12" s="874">
        <v>912</v>
      </c>
      <c r="J12" s="874">
        <f t="shared" si="0"/>
        <v>55079</v>
      </c>
      <c r="K12" s="875">
        <f t="shared" si="1"/>
        <v>2.0970373289320641E-2</v>
      </c>
      <c r="W12" s="955">
        <v>8</v>
      </c>
      <c r="X12" s="956" t="s">
        <v>844</v>
      </c>
      <c r="Y12" s="957">
        <v>269395</v>
      </c>
      <c r="Z12" s="957">
        <v>28375</v>
      </c>
      <c r="AA12" s="957">
        <v>28721</v>
      </c>
      <c r="AB12" s="957">
        <v>26609</v>
      </c>
      <c r="AC12" s="957">
        <v>16439</v>
      </c>
      <c r="AD12" s="957">
        <v>18884</v>
      </c>
      <c r="AE12" s="957">
        <v>27753</v>
      </c>
      <c r="AF12" s="957">
        <v>29910</v>
      </c>
      <c r="AG12" s="957">
        <v>24959</v>
      </c>
      <c r="AH12" s="957">
        <v>19774</v>
      </c>
      <c r="AI12" s="957">
        <v>15558</v>
      </c>
      <c r="AJ12" s="957">
        <v>10415</v>
      </c>
      <c r="AK12" s="957">
        <v>7871</v>
      </c>
      <c r="AL12" s="957">
        <v>5583</v>
      </c>
      <c r="AM12" s="957">
        <v>3635</v>
      </c>
      <c r="AN12" s="957">
        <v>2196</v>
      </c>
      <c r="AO12" s="957">
        <v>1391</v>
      </c>
      <c r="AP12" s="957">
        <v>819</v>
      </c>
      <c r="AQ12" s="957">
        <v>503</v>
      </c>
    </row>
    <row r="13" spans="1:43">
      <c r="A13" s="474" t="s">
        <v>848</v>
      </c>
      <c r="B13" s="874">
        <v>3781</v>
      </c>
      <c r="C13" s="874">
        <v>8990</v>
      </c>
      <c r="D13" s="874">
        <v>5768</v>
      </c>
      <c r="E13" s="874">
        <v>7835</v>
      </c>
      <c r="F13" s="874">
        <v>7891</v>
      </c>
      <c r="G13" s="874">
        <v>6688</v>
      </c>
      <c r="H13" s="874">
        <v>4028</v>
      </c>
      <c r="I13" s="874">
        <v>2710</v>
      </c>
      <c r="J13" s="874">
        <f t="shared" si="0"/>
        <v>47691</v>
      </c>
      <c r="K13" s="875">
        <f t="shared" si="1"/>
        <v>1.8157520516730346E-2</v>
      </c>
      <c r="W13" s="955">
        <v>9</v>
      </c>
      <c r="X13" s="956" t="s">
        <v>856</v>
      </c>
      <c r="Y13" s="957">
        <v>16945</v>
      </c>
      <c r="Z13" s="957">
        <v>1383</v>
      </c>
      <c r="AA13" s="957">
        <v>1645</v>
      </c>
      <c r="AB13" s="957">
        <v>1835</v>
      </c>
      <c r="AC13" s="957">
        <v>1360</v>
      </c>
      <c r="AD13" s="957">
        <v>1346</v>
      </c>
      <c r="AE13" s="957">
        <v>1369</v>
      </c>
      <c r="AF13" s="957">
        <v>1518</v>
      </c>
      <c r="AG13" s="957">
        <v>1383</v>
      </c>
      <c r="AH13" s="957">
        <v>1351</v>
      </c>
      <c r="AI13" s="957">
        <v>1154</v>
      </c>
      <c r="AJ13" s="957">
        <v>786</v>
      </c>
      <c r="AK13" s="957">
        <v>618</v>
      </c>
      <c r="AL13" s="957">
        <v>421</v>
      </c>
      <c r="AM13" s="957">
        <v>310</v>
      </c>
      <c r="AN13" s="957">
        <v>219</v>
      </c>
      <c r="AO13" s="957">
        <v>130</v>
      </c>
      <c r="AP13" s="957">
        <v>75</v>
      </c>
      <c r="AQ13" s="957">
        <v>42</v>
      </c>
    </row>
    <row r="14" spans="1:43">
      <c r="A14" s="474" t="s">
        <v>850</v>
      </c>
      <c r="B14" s="874">
        <v>4002</v>
      </c>
      <c r="C14" s="874">
        <v>9254</v>
      </c>
      <c r="D14" s="874">
        <v>8943</v>
      </c>
      <c r="E14" s="874">
        <v>7886</v>
      </c>
      <c r="F14" s="874">
        <v>6758</v>
      </c>
      <c r="G14" s="874">
        <v>5054</v>
      </c>
      <c r="H14" s="874">
        <v>2808</v>
      </c>
      <c r="I14" s="874">
        <v>1468</v>
      </c>
      <c r="J14" s="874">
        <f t="shared" si="0"/>
        <v>46173</v>
      </c>
      <c r="K14" s="875">
        <f t="shared" si="1"/>
        <v>1.7579568363401694E-2</v>
      </c>
      <c r="W14" s="952">
        <v>10</v>
      </c>
      <c r="X14" s="956" t="s">
        <v>849</v>
      </c>
      <c r="Y14" s="957">
        <v>55079</v>
      </c>
      <c r="Z14" s="957">
        <v>3628</v>
      </c>
      <c r="AA14" s="957">
        <v>3481</v>
      </c>
      <c r="AB14" s="957">
        <v>3247</v>
      </c>
      <c r="AC14" s="957">
        <v>5083</v>
      </c>
      <c r="AD14" s="957">
        <v>13235</v>
      </c>
      <c r="AE14" s="957">
        <v>6986</v>
      </c>
      <c r="AF14" s="957">
        <v>5137</v>
      </c>
      <c r="AG14" s="957">
        <v>4208</v>
      </c>
      <c r="AH14" s="957">
        <v>3571</v>
      </c>
      <c r="AI14" s="957">
        <v>2274</v>
      </c>
      <c r="AJ14" s="957">
        <v>1518</v>
      </c>
      <c r="AK14" s="957">
        <v>1095</v>
      </c>
      <c r="AL14" s="957">
        <v>704</v>
      </c>
      <c r="AM14" s="957">
        <v>437</v>
      </c>
      <c r="AN14" s="957">
        <v>249</v>
      </c>
      <c r="AO14" s="957">
        <v>135</v>
      </c>
      <c r="AP14" s="957">
        <v>54</v>
      </c>
      <c r="AQ14" s="957">
        <v>37</v>
      </c>
    </row>
    <row r="15" spans="1:43">
      <c r="A15" s="474" t="s">
        <v>851</v>
      </c>
      <c r="B15" s="874">
        <v>3477</v>
      </c>
      <c r="C15" s="874">
        <v>6858</v>
      </c>
      <c r="D15" s="874">
        <v>6377</v>
      </c>
      <c r="E15" s="874">
        <v>7937</v>
      </c>
      <c r="F15" s="874">
        <v>5706</v>
      </c>
      <c r="G15" s="874">
        <v>3694</v>
      </c>
      <c r="H15" s="874">
        <v>1807</v>
      </c>
      <c r="I15" s="874">
        <v>715</v>
      </c>
      <c r="J15" s="874">
        <f t="shared" si="0"/>
        <v>36571</v>
      </c>
      <c r="K15" s="875">
        <f t="shared" si="1"/>
        <v>1.3923773517379494E-2</v>
      </c>
      <c r="W15" s="955">
        <v>11</v>
      </c>
      <c r="X15" s="956" t="s">
        <v>841</v>
      </c>
      <c r="Y15" s="957">
        <v>855431</v>
      </c>
      <c r="Z15" s="957">
        <v>91693</v>
      </c>
      <c r="AA15" s="957">
        <v>88727</v>
      </c>
      <c r="AB15" s="957">
        <v>84657</v>
      </c>
      <c r="AC15" s="957">
        <v>54861</v>
      </c>
      <c r="AD15" s="957">
        <v>73478</v>
      </c>
      <c r="AE15" s="957">
        <v>91512</v>
      </c>
      <c r="AF15" s="957">
        <v>89013</v>
      </c>
      <c r="AG15" s="957">
        <v>72835</v>
      </c>
      <c r="AH15" s="957">
        <v>60287</v>
      </c>
      <c r="AI15" s="957">
        <v>48105</v>
      </c>
      <c r="AJ15" s="957">
        <v>33685</v>
      </c>
      <c r="AK15" s="957">
        <v>24973</v>
      </c>
      <c r="AL15" s="957">
        <v>16649</v>
      </c>
      <c r="AM15" s="957">
        <v>10202</v>
      </c>
      <c r="AN15" s="957">
        <v>6648</v>
      </c>
      <c r="AO15" s="957">
        <v>4289</v>
      </c>
      <c r="AP15" s="957">
        <v>2325</v>
      </c>
      <c r="AQ15" s="957">
        <v>1492</v>
      </c>
    </row>
    <row r="16" spans="1:43">
      <c r="A16" s="478" t="s">
        <v>852</v>
      </c>
      <c r="B16" s="874">
        <v>2062</v>
      </c>
      <c r="C16" s="874">
        <v>3941</v>
      </c>
      <c r="D16" s="874">
        <v>10106</v>
      </c>
      <c r="E16" s="874">
        <v>6974</v>
      </c>
      <c r="F16" s="874">
        <v>4571</v>
      </c>
      <c r="G16" s="874">
        <v>3031</v>
      </c>
      <c r="H16" s="874">
        <v>1384</v>
      </c>
      <c r="I16" s="874">
        <v>627</v>
      </c>
      <c r="J16" s="874">
        <f t="shared" si="0"/>
        <v>32696</v>
      </c>
      <c r="K16" s="875">
        <f t="shared" si="1"/>
        <v>1.2448434522551746E-2</v>
      </c>
      <c r="W16" s="955">
        <v>12</v>
      </c>
      <c r="X16" s="956" t="s">
        <v>848</v>
      </c>
      <c r="Y16" s="957">
        <v>47691</v>
      </c>
      <c r="Z16" s="957">
        <v>3781</v>
      </c>
      <c r="AA16" s="957">
        <v>4208</v>
      </c>
      <c r="AB16" s="957">
        <v>4782</v>
      </c>
      <c r="AC16" s="957">
        <v>3252</v>
      </c>
      <c r="AD16" s="957">
        <v>2516</v>
      </c>
      <c r="AE16" s="957">
        <v>3628</v>
      </c>
      <c r="AF16" s="957">
        <v>4207</v>
      </c>
      <c r="AG16" s="957">
        <v>3958</v>
      </c>
      <c r="AH16" s="957">
        <v>3933</v>
      </c>
      <c r="AI16" s="957">
        <v>3754</v>
      </c>
      <c r="AJ16" s="957">
        <v>2934</v>
      </c>
      <c r="AK16" s="957">
        <v>2377</v>
      </c>
      <c r="AL16" s="957">
        <v>1651</v>
      </c>
      <c r="AM16" s="957">
        <v>1047</v>
      </c>
      <c r="AN16" s="957">
        <v>715</v>
      </c>
      <c r="AO16" s="957">
        <v>475</v>
      </c>
      <c r="AP16" s="957">
        <v>292</v>
      </c>
      <c r="AQ16" s="957">
        <v>181</v>
      </c>
    </row>
    <row r="17" spans="1:43">
      <c r="A17" s="474" t="s">
        <v>853</v>
      </c>
      <c r="B17" s="874">
        <v>1990</v>
      </c>
      <c r="C17" s="874">
        <v>4333</v>
      </c>
      <c r="D17" s="874">
        <v>2880</v>
      </c>
      <c r="E17" s="874">
        <v>3624</v>
      </c>
      <c r="F17" s="874">
        <v>3550</v>
      </c>
      <c r="G17" s="874">
        <v>2767</v>
      </c>
      <c r="H17" s="874">
        <v>1799</v>
      </c>
      <c r="I17" s="874">
        <v>2075</v>
      </c>
      <c r="J17" s="874">
        <f t="shared" si="0"/>
        <v>23018</v>
      </c>
      <c r="K17" s="875">
        <f t="shared" si="1"/>
        <v>8.7637039955987314E-3</v>
      </c>
      <c r="W17" s="952">
        <v>13</v>
      </c>
      <c r="X17" s="956" t="s">
        <v>847</v>
      </c>
      <c r="Y17" s="957">
        <v>73746</v>
      </c>
      <c r="Z17" s="957">
        <v>6376</v>
      </c>
      <c r="AA17" s="957">
        <v>7033</v>
      </c>
      <c r="AB17" s="957">
        <v>7353</v>
      </c>
      <c r="AC17" s="957">
        <v>5476</v>
      </c>
      <c r="AD17" s="957">
        <v>6165</v>
      </c>
      <c r="AE17" s="957">
        <v>6313</v>
      </c>
      <c r="AF17" s="957">
        <v>6878</v>
      </c>
      <c r="AG17" s="957">
        <v>6235</v>
      </c>
      <c r="AH17" s="957">
        <v>5815</v>
      </c>
      <c r="AI17" s="957">
        <v>4913</v>
      </c>
      <c r="AJ17" s="957">
        <v>3497</v>
      </c>
      <c r="AK17" s="957">
        <v>2743</v>
      </c>
      <c r="AL17" s="957">
        <v>1889</v>
      </c>
      <c r="AM17" s="957">
        <v>1165</v>
      </c>
      <c r="AN17" s="957">
        <v>820</v>
      </c>
      <c r="AO17" s="957">
        <v>574</v>
      </c>
      <c r="AP17" s="957">
        <v>317</v>
      </c>
      <c r="AQ17" s="957">
        <v>184</v>
      </c>
    </row>
    <row r="18" spans="1:43">
      <c r="A18" s="478" t="s">
        <v>854</v>
      </c>
      <c r="B18" s="874">
        <v>1518</v>
      </c>
      <c r="C18" s="874">
        <v>3450</v>
      </c>
      <c r="D18" s="874">
        <v>4469</v>
      </c>
      <c r="E18" s="874">
        <v>4322</v>
      </c>
      <c r="F18" s="874">
        <v>3168</v>
      </c>
      <c r="G18" s="874">
        <v>1946</v>
      </c>
      <c r="H18" s="874">
        <v>954</v>
      </c>
      <c r="I18" s="874">
        <v>408</v>
      </c>
      <c r="J18" s="874">
        <f t="shared" si="0"/>
        <v>20235</v>
      </c>
      <c r="K18" s="875">
        <f t="shared" si="1"/>
        <v>7.7041250478295381E-3</v>
      </c>
      <c r="W18" s="955">
        <v>14</v>
      </c>
      <c r="X18" s="956" t="s">
        <v>864</v>
      </c>
      <c r="Y18" s="957">
        <v>2104</v>
      </c>
      <c r="Z18" s="957">
        <v>31</v>
      </c>
      <c r="AA18" s="957">
        <v>118</v>
      </c>
      <c r="AB18" s="957">
        <v>236</v>
      </c>
      <c r="AC18" s="957">
        <v>199</v>
      </c>
      <c r="AD18" s="957">
        <v>35</v>
      </c>
      <c r="AE18" s="957">
        <v>17</v>
      </c>
      <c r="AF18" s="957">
        <v>38</v>
      </c>
      <c r="AG18" s="957">
        <v>87</v>
      </c>
      <c r="AH18" s="957">
        <v>195</v>
      </c>
      <c r="AI18" s="957">
        <v>270</v>
      </c>
      <c r="AJ18" s="957">
        <v>245</v>
      </c>
      <c r="AK18" s="957">
        <v>221</v>
      </c>
      <c r="AL18" s="957">
        <v>127</v>
      </c>
      <c r="AM18" s="957">
        <v>104</v>
      </c>
      <c r="AN18" s="957">
        <v>52</v>
      </c>
      <c r="AO18" s="957">
        <v>67</v>
      </c>
      <c r="AP18" s="957">
        <v>42</v>
      </c>
      <c r="AQ18" s="957">
        <v>20</v>
      </c>
    </row>
    <row r="19" spans="1:43">
      <c r="A19" s="474" t="s">
        <v>855</v>
      </c>
      <c r="B19" s="874">
        <v>967</v>
      </c>
      <c r="C19" s="874">
        <v>2311</v>
      </c>
      <c r="D19" s="874">
        <v>3504</v>
      </c>
      <c r="E19" s="874">
        <v>3660</v>
      </c>
      <c r="F19" s="874">
        <v>2757</v>
      </c>
      <c r="G19" s="874">
        <v>2214</v>
      </c>
      <c r="H19" s="874">
        <v>1501</v>
      </c>
      <c r="I19" s="874">
        <v>1378</v>
      </c>
      <c r="J19" s="874">
        <f t="shared" si="0"/>
        <v>18292</v>
      </c>
      <c r="K19" s="875">
        <f t="shared" si="1"/>
        <v>6.9643615208746191E-3</v>
      </c>
      <c r="W19" s="955">
        <v>15</v>
      </c>
      <c r="X19" s="956" t="s">
        <v>854</v>
      </c>
      <c r="Y19" s="957">
        <v>20235</v>
      </c>
      <c r="Z19" s="957">
        <v>1518</v>
      </c>
      <c r="AA19" s="957">
        <v>1743</v>
      </c>
      <c r="AB19" s="957">
        <v>1707</v>
      </c>
      <c r="AC19" s="957">
        <v>1501</v>
      </c>
      <c r="AD19" s="957">
        <v>2968</v>
      </c>
      <c r="AE19" s="957">
        <v>2398</v>
      </c>
      <c r="AF19" s="957">
        <v>1924</v>
      </c>
      <c r="AG19" s="957">
        <v>1713</v>
      </c>
      <c r="AH19" s="957">
        <v>1455</v>
      </c>
      <c r="AI19" s="957">
        <v>1122</v>
      </c>
      <c r="AJ19" s="957">
        <v>824</v>
      </c>
      <c r="AK19" s="957">
        <v>594</v>
      </c>
      <c r="AL19" s="957">
        <v>360</v>
      </c>
      <c r="AM19" s="957">
        <v>208</v>
      </c>
      <c r="AN19" s="957">
        <v>101</v>
      </c>
      <c r="AO19" s="957">
        <v>48</v>
      </c>
      <c r="AP19" s="957">
        <v>30</v>
      </c>
      <c r="AQ19" s="957">
        <v>21</v>
      </c>
    </row>
    <row r="20" spans="1:43">
      <c r="A20" s="474" t="s">
        <v>857</v>
      </c>
      <c r="B20" s="874">
        <v>545</v>
      </c>
      <c r="C20" s="874">
        <v>2279</v>
      </c>
      <c r="D20" s="874">
        <v>2761</v>
      </c>
      <c r="E20" s="874">
        <v>940</v>
      </c>
      <c r="F20" s="874">
        <v>1404</v>
      </c>
      <c r="G20" s="874">
        <v>3305</v>
      </c>
      <c r="H20" s="874">
        <v>2785</v>
      </c>
      <c r="I20" s="874">
        <v>3413</v>
      </c>
      <c r="J20" s="874">
        <f t="shared" si="0"/>
        <v>17432</v>
      </c>
      <c r="K20" s="875">
        <f t="shared" si="1"/>
        <v>6.6369314471838156E-3</v>
      </c>
      <c r="W20" s="952">
        <v>16</v>
      </c>
      <c r="X20" s="956" t="s">
        <v>846</v>
      </c>
      <c r="Y20" s="957">
        <v>116012</v>
      </c>
      <c r="Z20" s="957">
        <v>5575</v>
      </c>
      <c r="AA20" s="957">
        <v>9933</v>
      </c>
      <c r="AB20" s="957">
        <v>14745</v>
      </c>
      <c r="AC20" s="957">
        <v>12625</v>
      </c>
      <c r="AD20" s="957">
        <v>3201</v>
      </c>
      <c r="AE20" s="957">
        <v>2234</v>
      </c>
      <c r="AF20" s="957">
        <v>5937</v>
      </c>
      <c r="AG20" s="957">
        <v>8971</v>
      </c>
      <c r="AH20" s="957">
        <v>11227</v>
      </c>
      <c r="AI20" s="957">
        <v>14100</v>
      </c>
      <c r="AJ20" s="957">
        <v>12480</v>
      </c>
      <c r="AK20" s="957">
        <v>8208</v>
      </c>
      <c r="AL20" s="957">
        <v>4044</v>
      </c>
      <c r="AM20" s="957">
        <v>1642</v>
      </c>
      <c r="AN20" s="957">
        <v>651</v>
      </c>
      <c r="AO20" s="957">
        <v>290</v>
      </c>
      <c r="AP20" s="957">
        <v>88</v>
      </c>
      <c r="AQ20" s="957">
        <v>61</v>
      </c>
    </row>
    <row r="21" spans="1:43">
      <c r="A21" s="474" t="s">
        <v>856</v>
      </c>
      <c r="B21" s="874">
        <v>1383</v>
      </c>
      <c r="C21" s="874">
        <v>3480</v>
      </c>
      <c r="D21" s="874">
        <v>2706</v>
      </c>
      <c r="E21" s="874">
        <v>2887</v>
      </c>
      <c r="F21" s="874">
        <v>2734</v>
      </c>
      <c r="G21" s="874">
        <v>1940</v>
      </c>
      <c r="H21" s="874">
        <v>1039</v>
      </c>
      <c r="I21" s="874">
        <v>776</v>
      </c>
      <c r="J21" s="874">
        <f t="shared" si="0"/>
        <v>16945</v>
      </c>
      <c r="K21" s="875">
        <f t="shared" si="1"/>
        <v>6.4515146496403027E-3</v>
      </c>
      <c r="W21" s="955">
        <v>17</v>
      </c>
      <c r="X21" s="956" t="s">
        <v>852</v>
      </c>
      <c r="Y21" s="957">
        <v>32696</v>
      </c>
      <c r="Z21" s="957">
        <v>2062</v>
      </c>
      <c r="AA21" s="957">
        <v>1912</v>
      </c>
      <c r="AB21" s="957">
        <v>2029</v>
      </c>
      <c r="AC21" s="957">
        <v>2877</v>
      </c>
      <c r="AD21" s="957">
        <v>7229</v>
      </c>
      <c r="AE21" s="957">
        <v>4111</v>
      </c>
      <c r="AF21" s="957">
        <v>2863</v>
      </c>
      <c r="AG21" s="957">
        <v>2441</v>
      </c>
      <c r="AH21" s="957">
        <v>2130</v>
      </c>
      <c r="AI21" s="957">
        <v>1769</v>
      </c>
      <c r="AJ21" s="957">
        <v>1262</v>
      </c>
      <c r="AK21" s="957">
        <v>857</v>
      </c>
      <c r="AL21" s="957">
        <v>527</v>
      </c>
      <c r="AM21" s="957">
        <v>293</v>
      </c>
      <c r="AN21" s="957">
        <v>162</v>
      </c>
      <c r="AO21" s="957">
        <v>99</v>
      </c>
      <c r="AP21" s="957">
        <v>39</v>
      </c>
      <c r="AQ21" s="957">
        <v>34</v>
      </c>
    </row>
    <row r="22" spans="1:43">
      <c r="A22" s="474" t="s">
        <v>858</v>
      </c>
      <c r="B22" s="874">
        <v>1332</v>
      </c>
      <c r="C22" s="874">
        <v>3438</v>
      </c>
      <c r="D22" s="874">
        <v>2406</v>
      </c>
      <c r="E22" s="874">
        <v>2861</v>
      </c>
      <c r="F22" s="874">
        <v>2729</v>
      </c>
      <c r="G22" s="874">
        <v>2128</v>
      </c>
      <c r="H22" s="874">
        <v>1219</v>
      </c>
      <c r="I22" s="874">
        <v>607</v>
      </c>
      <c r="J22" s="874">
        <f t="shared" si="0"/>
        <v>16720</v>
      </c>
      <c r="K22" s="875">
        <f t="shared" si="1"/>
        <v>6.3658498047793367E-3</v>
      </c>
      <c r="W22" s="955">
        <v>18</v>
      </c>
      <c r="X22" s="956" t="s">
        <v>843</v>
      </c>
      <c r="Y22" s="957">
        <v>364619</v>
      </c>
      <c r="Z22" s="957">
        <v>39676</v>
      </c>
      <c r="AA22" s="957">
        <v>39133</v>
      </c>
      <c r="AB22" s="957">
        <v>35876</v>
      </c>
      <c r="AC22" s="957">
        <v>22053</v>
      </c>
      <c r="AD22" s="957">
        <v>29350</v>
      </c>
      <c r="AE22" s="957">
        <v>39125</v>
      </c>
      <c r="AF22" s="957">
        <v>39905</v>
      </c>
      <c r="AG22" s="957">
        <v>32371</v>
      </c>
      <c r="AH22" s="957">
        <v>25778</v>
      </c>
      <c r="AI22" s="957">
        <v>19504</v>
      </c>
      <c r="AJ22" s="957">
        <v>13400</v>
      </c>
      <c r="AK22" s="957">
        <v>10060</v>
      </c>
      <c r="AL22" s="957">
        <v>6934</v>
      </c>
      <c r="AM22" s="957">
        <v>4536</v>
      </c>
      <c r="AN22" s="957">
        <v>3063</v>
      </c>
      <c r="AO22" s="957">
        <v>2027</v>
      </c>
      <c r="AP22" s="957">
        <v>1110</v>
      </c>
      <c r="AQ22" s="957">
        <v>718</v>
      </c>
    </row>
    <row r="23" spans="1:43">
      <c r="A23" s="474" t="s">
        <v>859</v>
      </c>
      <c r="B23" s="874">
        <v>1438</v>
      </c>
      <c r="C23" s="874">
        <v>3177</v>
      </c>
      <c r="D23" s="874">
        <v>2542</v>
      </c>
      <c r="E23" s="874">
        <v>3296</v>
      </c>
      <c r="F23" s="874">
        <v>2691</v>
      </c>
      <c r="G23" s="874">
        <v>1756</v>
      </c>
      <c r="H23" s="874">
        <v>927</v>
      </c>
      <c r="I23" s="874">
        <v>545</v>
      </c>
      <c r="J23" s="874">
        <f t="shared" si="0"/>
        <v>16372</v>
      </c>
      <c r="K23" s="875">
        <f t="shared" si="1"/>
        <v>6.2333548447277096E-3</v>
      </c>
      <c r="W23" s="952">
        <v>19</v>
      </c>
      <c r="X23" s="956" t="s">
        <v>861</v>
      </c>
      <c r="Y23" s="957">
        <v>8287</v>
      </c>
      <c r="Z23" s="957">
        <v>482</v>
      </c>
      <c r="AA23" s="957">
        <v>591</v>
      </c>
      <c r="AB23" s="957">
        <v>805</v>
      </c>
      <c r="AC23" s="957">
        <v>767</v>
      </c>
      <c r="AD23" s="957">
        <v>581</v>
      </c>
      <c r="AE23" s="957">
        <v>388</v>
      </c>
      <c r="AF23" s="957">
        <v>422</v>
      </c>
      <c r="AG23" s="957">
        <v>458</v>
      </c>
      <c r="AH23" s="957">
        <v>584</v>
      </c>
      <c r="AI23" s="957">
        <v>733</v>
      </c>
      <c r="AJ23" s="957">
        <v>549</v>
      </c>
      <c r="AK23" s="957">
        <v>461</v>
      </c>
      <c r="AL23" s="957">
        <v>360</v>
      </c>
      <c r="AM23" s="957">
        <v>322</v>
      </c>
      <c r="AN23" s="957">
        <v>275</v>
      </c>
      <c r="AO23" s="957">
        <v>250</v>
      </c>
      <c r="AP23" s="957">
        <v>161</v>
      </c>
      <c r="AQ23" s="957">
        <v>98</v>
      </c>
    </row>
    <row r="24" spans="1:43">
      <c r="A24" s="474" t="s">
        <v>860</v>
      </c>
      <c r="B24" s="874">
        <v>737</v>
      </c>
      <c r="C24" s="874">
        <v>1755</v>
      </c>
      <c r="D24" s="874">
        <v>3183</v>
      </c>
      <c r="E24" s="874">
        <v>2428</v>
      </c>
      <c r="F24" s="874">
        <v>2031</v>
      </c>
      <c r="G24" s="874">
        <v>1907</v>
      </c>
      <c r="H24" s="874">
        <v>1096</v>
      </c>
      <c r="I24" s="874">
        <v>585</v>
      </c>
      <c r="J24" s="874">
        <f t="shared" si="0"/>
        <v>13722</v>
      </c>
      <c r="K24" s="875">
        <f t="shared" si="1"/>
        <v>5.2244133385874435E-3</v>
      </c>
      <c r="W24" s="955">
        <v>20</v>
      </c>
      <c r="X24" s="956" t="s">
        <v>842</v>
      </c>
      <c r="Y24" s="957">
        <v>441426</v>
      </c>
      <c r="Z24" s="957">
        <v>27338</v>
      </c>
      <c r="AA24" s="957">
        <v>35692</v>
      </c>
      <c r="AB24" s="957">
        <v>47619</v>
      </c>
      <c r="AC24" s="957">
        <v>37184</v>
      </c>
      <c r="AD24" s="957">
        <v>22773</v>
      </c>
      <c r="AE24" s="957">
        <v>24576</v>
      </c>
      <c r="AF24" s="957">
        <v>29994</v>
      </c>
      <c r="AG24" s="957">
        <v>31767</v>
      </c>
      <c r="AH24" s="957">
        <v>35095</v>
      </c>
      <c r="AI24" s="957">
        <v>37488</v>
      </c>
      <c r="AJ24" s="957">
        <v>32938</v>
      </c>
      <c r="AK24" s="957">
        <v>27195</v>
      </c>
      <c r="AL24" s="957">
        <v>19168</v>
      </c>
      <c r="AM24" s="957">
        <v>12739</v>
      </c>
      <c r="AN24" s="957">
        <v>8522</v>
      </c>
      <c r="AO24" s="957">
        <v>5777</v>
      </c>
      <c r="AP24" s="957">
        <v>3347</v>
      </c>
      <c r="AQ24" s="957">
        <v>2214</v>
      </c>
    </row>
    <row r="25" spans="1:43">
      <c r="A25" s="474" t="s">
        <v>861</v>
      </c>
      <c r="B25" s="874">
        <v>482</v>
      </c>
      <c r="C25" s="874">
        <v>1396</v>
      </c>
      <c r="D25" s="874">
        <v>1348</v>
      </c>
      <c r="E25" s="874">
        <v>810</v>
      </c>
      <c r="F25" s="874">
        <v>1042</v>
      </c>
      <c r="G25" s="874">
        <v>1282</v>
      </c>
      <c r="H25" s="874">
        <v>821</v>
      </c>
      <c r="I25" s="874">
        <v>1106</v>
      </c>
      <c r="J25" s="874">
        <f t="shared" si="0"/>
        <v>8287</v>
      </c>
      <c r="K25" s="875">
        <f t="shared" si="1"/>
        <v>3.1551314193903326E-3</v>
      </c>
      <c r="W25" s="955">
        <v>21</v>
      </c>
      <c r="X25" s="956" t="s">
        <v>859</v>
      </c>
      <c r="Y25" s="957">
        <v>16372</v>
      </c>
      <c r="Z25" s="957">
        <v>1438</v>
      </c>
      <c r="AA25" s="957">
        <v>1545</v>
      </c>
      <c r="AB25" s="957">
        <v>1632</v>
      </c>
      <c r="AC25" s="957">
        <v>1094</v>
      </c>
      <c r="AD25" s="957">
        <v>1448</v>
      </c>
      <c r="AE25" s="957">
        <v>1659</v>
      </c>
      <c r="AF25" s="957">
        <v>1637</v>
      </c>
      <c r="AG25" s="957">
        <v>1448</v>
      </c>
      <c r="AH25" s="957">
        <v>1243</v>
      </c>
      <c r="AI25" s="957">
        <v>1061</v>
      </c>
      <c r="AJ25" s="957">
        <v>695</v>
      </c>
      <c r="AK25" s="957">
        <v>577</v>
      </c>
      <c r="AL25" s="957">
        <v>350</v>
      </c>
      <c r="AM25" s="957">
        <v>225</v>
      </c>
      <c r="AN25" s="957">
        <v>146</v>
      </c>
      <c r="AO25" s="957">
        <v>84</v>
      </c>
      <c r="AP25" s="957">
        <v>57</v>
      </c>
      <c r="AQ25" s="957">
        <v>33</v>
      </c>
    </row>
    <row r="26" spans="1:43">
      <c r="A26" s="474" t="s">
        <v>862</v>
      </c>
      <c r="B26" s="874">
        <v>27</v>
      </c>
      <c r="C26" s="874">
        <v>669</v>
      </c>
      <c r="D26" s="874">
        <v>290</v>
      </c>
      <c r="E26" s="874">
        <v>1398</v>
      </c>
      <c r="F26" s="874">
        <v>1279</v>
      </c>
      <c r="G26" s="874">
        <v>883</v>
      </c>
      <c r="H26" s="874">
        <v>285</v>
      </c>
      <c r="I26" s="874">
        <v>71</v>
      </c>
      <c r="J26" s="874">
        <f t="shared" si="0"/>
        <v>4902</v>
      </c>
      <c r="K26" s="875">
        <f t="shared" si="1"/>
        <v>1.8663514200375783E-3</v>
      </c>
      <c r="W26" s="952">
        <v>22</v>
      </c>
      <c r="X26" s="956" t="s">
        <v>853</v>
      </c>
      <c r="Y26" s="957">
        <v>23018</v>
      </c>
      <c r="Z26" s="957">
        <v>1990</v>
      </c>
      <c r="AA26" s="957">
        <v>2117</v>
      </c>
      <c r="AB26" s="957">
        <v>2216</v>
      </c>
      <c r="AC26" s="957">
        <v>1781</v>
      </c>
      <c r="AD26" s="957">
        <v>1099</v>
      </c>
      <c r="AE26" s="957">
        <v>1579</v>
      </c>
      <c r="AF26" s="957">
        <v>2045</v>
      </c>
      <c r="AG26" s="957">
        <v>1733</v>
      </c>
      <c r="AH26" s="957">
        <v>1817</v>
      </c>
      <c r="AI26" s="957">
        <v>1586</v>
      </c>
      <c r="AJ26" s="957">
        <v>1181</v>
      </c>
      <c r="AK26" s="957">
        <v>1001</v>
      </c>
      <c r="AL26" s="957">
        <v>798</v>
      </c>
      <c r="AM26" s="957">
        <v>736</v>
      </c>
      <c r="AN26" s="957">
        <v>579</v>
      </c>
      <c r="AO26" s="957">
        <v>422</v>
      </c>
      <c r="AP26" s="957">
        <v>229</v>
      </c>
      <c r="AQ26" s="957">
        <v>109</v>
      </c>
    </row>
    <row r="27" spans="1:43">
      <c r="A27" s="474" t="s">
        <v>863</v>
      </c>
      <c r="B27" s="874">
        <v>275</v>
      </c>
      <c r="C27" s="874">
        <v>1222</v>
      </c>
      <c r="D27" s="874">
        <v>544</v>
      </c>
      <c r="E27" s="874">
        <v>705</v>
      </c>
      <c r="F27" s="874">
        <v>850</v>
      </c>
      <c r="G27" s="874">
        <v>686</v>
      </c>
      <c r="H27" s="874">
        <v>285</v>
      </c>
      <c r="I27" s="874">
        <v>163</v>
      </c>
      <c r="J27" s="874">
        <f t="shared" si="0"/>
        <v>4730</v>
      </c>
      <c r="K27" s="875">
        <f t="shared" si="1"/>
        <v>1.8008654052994177E-3</v>
      </c>
      <c r="W27" s="955">
        <v>23</v>
      </c>
      <c r="X27" s="956" t="s">
        <v>860</v>
      </c>
      <c r="Y27" s="957">
        <v>13722</v>
      </c>
      <c r="Z27" s="957">
        <v>737</v>
      </c>
      <c r="AA27" s="957">
        <v>801</v>
      </c>
      <c r="AB27" s="957">
        <v>954</v>
      </c>
      <c r="AC27" s="957">
        <v>1270</v>
      </c>
      <c r="AD27" s="957">
        <v>1913</v>
      </c>
      <c r="AE27" s="957">
        <v>1308</v>
      </c>
      <c r="AF27" s="957">
        <v>1120</v>
      </c>
      <c r="AG27" s="957">
        <v>1051</v>
      </c>
      <c r="AH27" s="957">
        <v>980</v>
      </c>
      <c r="AI27" s="957">
        <v>1045</v>
      </c>
      <c r="AJ27" s="957">
        <v>862</v>
      </c>
      <c r="AK27" s="957">
        <v>669</v>
      </c>
      <c r="AL27" s="957">
        <v>427</v>
      </c>
      <c r="AM27" s="957">
        <v>275</v>
      </c>
      <c r="AN27" s="957">
        <v>152</v>
      </c>
      <c r="AO27" s="957">
        <v>83</v>
      </c>
      <c r="AP27" s="957">
        <v>39</v>
      </c>
      <c r="AQ27" s="957">
        <v>36</v>
      </c>
    </row>
    <row r="28" spans="1:43">
      <c r="A28" s="474" t="s">
        <v>864</v>
      </c>
      <c r="B28" s="874">
        <v>31</v>
      </c>
      <c r="C28" s="874">
        <v>354</v>
      </c>
      <c r="D28" s="874">
        <v>234</v>
      </c>
      <c r="E28" s="874">
        <v>55</v>
      </c>
      <c r="F28" s="874">
        <v>282</v>
      </c>
      <c r="G28" s="874">
        <v>515</v>
      </c>
      <c r="H28" s="874">
        <v>348</v>
      </c>
      <c r="I28" s="874">
        <v>285</v>
      </c>
      <c r="J28" s="874">
        <f t="shared" si="0"/>
        <v>2104</v>
      </c>
      <c r="K28" s="875">
        <f t="shared" si="1"/>
        <v>8.0106148261098833E-4</v>
      </c>
      <c r="W28" s="955">
        <v>24</v>
      </c>
      <c r="X28" s="956" t="s">
        <v>863</v>
      </c>
      <c r="Y28" s="957">
        <v>4730</v>
      </c>
      <c r="Z28" s="957">
        <v>275</v>
      </c>
      <c r="AA28" s="957">
        <v>546</v>
      </c>
      <c r="AB28" s="957">
        <v>676</v>
      </c>
      <c r="AC28" s="957">
        <v>424</v>
      </c>
      <c r="AD28" s="957">
        <v>120</v>
      </c>
      <c r="AE28" s="957">
        <v>271</v>
      </c>
      <c r="AF28" s="957">
        <v>434</v>
      </c>
      <c r="AG28" s="957">
        <v>421</v>
      </c>
      <c r="AH28" s="957">
        <v>429</v>
      </c>
      <c r="AI28" s="957">
        <v>407</v>
      </c>
      <c r="AJ28" s="957">
        <v>279</v>
      </c>
      <c r="AK28" s="957">
        <v>170</v>
      </c>
      <c r="AL28" s="957">
        <v>115</v>
      </c>
      <c r="AM28" s="957">
        <v>93</v>
      </c>
      <c r="AN28" s="957">
        <v>38</v>
      </c>
      <c r="AO28" s="957">
        <v>17</v>
      </c>
      <c r="AP28" s="957">
        <v>11</v>
      </c>
      <c r="AQ28" s="957">
        <v>4</v>
      </c>
    </row>
    <row r="29" spans="1:43">
      <c r="A29" s="474" t="s">
        <v>865</v>
      </c>
      <c r="B29" s="874">
        <v>104</v>
      </c>
      <c r="C29" s="874">
        <v>197</v>
      </c>
      <c r="D29" s="874">
        <v>130</v>
      </c>
      <c r="E29" s="874">
        <v>247</v>
      </c>
      <c r="F29" s="874">
        <v>214</v>
      </c>
      <c r="G29" s="874">
        <v>168</v>
      </c>
      <c r="H29" s="874">
        <v>70</v>
      </c>
      <c r="I29" s="874">
        <v>60</v>
      </c>
      <c r="J29" s="874">
        <f t="shared" si="0"/>
        <v>1190</v>
      </c>
      <c r="K29" s="875">
        <f t="shared" si="1"/>
        <v>4.530718461535533E-4</v>
      </c>
      <c r="W29" s="952">
        <v>25</v>
      </c>
      <c r="X29" s="958" t="s">
        <v>862</v>
      </c>
      <c r="Y29" s="959">
        <v>4902</v>
      </c>
      <c r="Z29" s="959">
        <v>27</v>
      </c>
      <c r="AA29" s="959">
        <v>268</v>
      </c>
      <c r="AB29" s="959">
        <v>401</v>
      </c>
      <c r="AC29" s="959">
        <v>195</v>
      </c>
      <c r="AD29" s="959">
        <v>95</v>
      </c>
      <c r="AE29" s="959">
        <v>564</v>
      </c>
      <c r="AF29" s="959">
        <v>834</v>
      </c>
      <c r="AG29" s="959">
        <v>689</v>
      </c>
      <c r="AH29" s="959">
        <v>590</v>
      </c>
      <c r="AI29" s="959">
        <v>544</v>
      </c>
      <c r="AJ29" s="959">
        <v>339</v>
      </c>
      <c r="AK29" s="959">
        <v>179</v>
      </c>
      <c r="AL29" s="959">
        <v>106</v>
      </c>
      <c r="AM29" s="959">
        <v>39</v>
      </c>
      <c r="AN29" s="959">
        <v>13</v>
      </c>
      <c r="AO29" s="959">
        <v>15</v>
      </c>
      <c r="AP29" s="959">
        <v>2</v>
      </c>
      <c r="AQ29" s="959">
        <v>2</v>
      </c>
    </row>
    <row r="30" spans="1:43">
      <c r="A30" s="873" t="s">
        <v>866</v>
      </c>
      <c r="B30" s="876">
        <f t="shared" ref="B30:I30" si="2">SUM(B5:B29)</f>
        <v>234745</v>
      </c>
      <c r="C30" s="876">
        <f t="shared" si="2"/>
        <v>510473</v>
      </c>
      <c r="D30" s="876">
        <f t="shared" si="2"/>
        <v>394975</v>
      </c>
      <c r="E30" s="876">
        <f t="shared" si="2"/>
        <v>491383</v>
      </c>
      <c r="F30" s="876">
        <f t="shared" si="2"/>
        <v>416503</v>
      </c>
      <c r="G30" s="876">
        <f t="shared" si="2"/>
        <v>305624</v>
      </c>
      <c r="H30" s="876">
        <f t="shared" si="2"/>
        <v>168370</v>
      </c>
      <c r="I30" s="876">
        <f t="shared" si="2"/>
        <v>104442</v>
      </c>
      <c r="J30" s="876">
        <f>SUM(B30:I30)</f>
        <v>2626515</v>
      </c>
      <c r="K30" s="877">
        <f>SUM(K5:K29)</f>
        <v>1.0000000000000002</v>
      </c>
    </row>
    <row r="31" spans="1:43">
      <c r="A31" s="873" t="s">
        <v>867</v>
      </c>
      <c r="B31" s="878">
        <f t="shared" ref="B31:J31" si="3">B30/$J$30</f>
        <v>8.937508447505535E-2</v>
      </c>
      <c r="C31" s="878">
        <f t="shared" si="3"/>
        <v>0.19435373489205277</v>
      </c>
      <c r="D31" s="878">
        <f t="shared" si="3"/>
        <v>0.15037987599537792</v>
      </c>
      <c r="E31" s="878">
        <f t="shared" si="3"/>
        <v>0.18708554872140459</v>
      </c>
      <c r="F31" s="878">
        <f t="shared" si="3"/>
        <v>0.15857628835167512</v>
      </c>
      <c r="G31" s="878">
        <f t="shared" si="3"/>
        <v>0.11636103353683493</v>
      </c>
      <c r="H31" s="878">
        <f t="shared" si="3"/>
        <v>6.410395524107039E-2</v>
      </c>
      <c r="I31" s="878">
        <f t="shared" si="3"/>
        <v>3.9764478786528917E-2</v>
      </c>
      <c r="J31" s="878">
        <f t="shared" si="3"/>
        <v>1</v>
      </c>
      <c r="K31" s="879"/>
    </row>
    <row r="32" spans="1:43">
      <c r="A32" s="128"/>
      <c r="B32" s="128"/>
      <c r="C32" s="128"/>
      <c r="D32" s="128"/>
      <c r="E32" s="128"/>
      <c r="F32" s="128"/>
      <c r="G32" s="128"/>
      <c r="H32" s="128"/>
      <c r="I32" s="128"/>
      <c r="J32" s="128"/>
      <c r="K32" s="128"/>
    </row>
    <row r="33" spans="1:11">
      <c r="A33" s="128"/>
      <c r="B33" s="128"/>
      <c r="C33" s="128"/>
      <c r="D33" s="128"/>
      <c r="E33" s="128"/>
      <c r="F33" s="128"/>
      <c r="G33" s="128"/>
      <c r="H33" s="128"/>
      <c r="I33" s="128"/>
      <c r="J33" s="128"/>
      <c r="K33" s="128"/>
    </row>
    <row r="34" spans="1:11">
      <c r="A34" s="128"/>
      <c r="B34" s="128"/>
      <c r="C34" s="128"/>
      <c r="D34" s="128"/>
      <c r="E34" s="128"/>
      <c r="F34" s="128"/>
      <c r="G34" s="128"/>
      <c r="H34" s="128"/>
      <c r="I34" s="128"/>
      <c r="J34" s="128"/>
      <c r="K34" s="128"/>
    </row>
    <row r="35" spans="1:11">
      <c r="A35" s="128"/>
      <c r="B35" s="128"/>
      <c r="C35" s="128"/>
      <c r="D35" s="128"/>
      <c r="E35" s="128"/>
      <c r="F35" s="128"/>
      <c r="G35" s="128"/>
      <c r="H35" s="128"/>
      <c r="I35" s="128"/>
      <c r="J35" s="128"/>
      <c r="K35" s="128"/>
    </row>
    <row r="36" spans="1:11">
      <c r="A36" s="128"/>
      <c r="B36" s="128"/>
      <c r="C36" s="128"/>
      <c r="D36" s="128"/>
      <c r="E36" s="128"/>
      <c r="F36" s="128"/>
      <c r="G36" s="128"/>
      <c r="H36" s="128"/>
      <c r="I36" s="128"/>
      <c r="J36" s="128"/>
      <c r="K36" s="128"/>
    </row>
    <row r="37" spans="1:11">
      <c r="A37" s="128"/>
      <c r="B37" s="128"/>
      <c r="C37" s="128"/>
      <c r="D37" s="128"/>
      <c r="E37" s="128"/>
      <c r="F37" s="128"/>
      <c r="G37" s="128"/>
      <c r="H37" s="128"/>
      <c r="I37" s="128"/>
      <c r="J37" s="128"/>
      <c r="K37" s="128"/>
    </row>
    <row r="38" spans="1:11">
      <c r="A38" s="128"/>
      <c r="B38" s="128"/>
      <c r="C38" s="128"/>
      <c r="D38" s="128"/>
      <c r="E38" s="128"/>
      <c r="F38" s="128"/>
      <c r="G38" s="128"/>
      <c r="H38" s="128"/>
      <c r="I38" s="128"/>
      <c r="J38" s="128"/>
      <c r="K38" s="128"/>
    </row>
    <row r="39" spans="1:11">
      <c r="A39" s="128"/>
      <c r="B39" s="128"/>
      <c r="C39" s="128"/>
      <c r="D39" s="128"/>
      <c r="E39" s="128"/>
      <c r="F39" s="128"/>
      <c r="G39" s="128"/>
      <c r="H39" s="128"/>
      <c r="I39" s="128"/>
      <c r="J39" s="128"/>
      <c r="K39" s="128"/>
    </row>
    <row r="40" spans="1:11">
      <c r="A40" s="128"/>
      <c r="B40" s="128"/>
      <c r="C40" s="128"/>
      <c r="D40" s="128"/>
      <c r="E40" s="128"/>
      <c r="F40" s="128"/>
      <c r="G40" s="128"/>
      <c r="H40" s="128"/>
      <c r="I40" s="128"/>
      <c r="J40" s="128"/>
      <c r="K40" s="128"/>
    </row>
    <row r="41" spans="1:11">
      <c r="A41" s="59"/>
      <c r="B41" s="59"/>
      <c r="C41" s="59"/>
      <c r="D41" s="59"/>
      <c r="E41" s="59"/>
      <c r="F41" s="59"/>
      <c r="G41" s="59"/>
      <c r="H41" s="59"/>
      <c r="I41" s="59"/>
      <c r="J41" s="59"/>
      <c r="K41" s="59"/>
    </row>
    <row r="42" spans="1:11">
      <c r="A42" s="59"/>
      <c r="B42" s="59"/>
      <c r="C42" s="59"/>
      <c r="D42" s="59"/>
      <c r="E42" s="59"/>
      <c r="F42" s="59"/>
      <c r="G42" s="59"/>
      <c r="H42" s="59"/>
      <c r="I42" s="59"/>
      <c r="J42" s="59"/>
      <c r="K42" s="59"/>
    </row>
    <row r="43" spans="1:11">
      <c r="A43" s="59"/>
      <c r="B43" s="59"/>
      <c r="C43" s="59"/>
      <c r="D43" s="59"/>
      <c r="E43" s="59"/>
      <c r="F43" s="59"/>
      <c r="G43" s="59"/>
      <c r="H43" s="59"/>
      <c r="I43" s="59"/>
      <c r="J43" s="59"/>
      <c r="K43" s="59"/>
    </row>
    <row r="44" spans="1:11">
      <c r="A44" s="59"/>
      <c r="B44" s="59"/>
      <c r="C44" s="59"/>
      <c r="D44" s="59"/>
      <c r="E44" s="59"/>
      <c r="F44" s="59"/>
      <c r="G44" s="59"/>
      <c r="H44" s="59"/>
      <c r="I44" s="59"/>
      <c r="J44" s="59"/>
      <c r="K44" s="59"/>
    </row>
    <row r="45" spans="1:11">
      <c r="A45" s="59"/>
      <c r="B45" s="59"/>
      <c r="C45" s="59"/>
      <c r="D45" s="59"/>
      <c r="E45" s="59"/>
      <c r="F45" s="59"/>
      <c r="G45" s="59"/>
      <c r="H45" s="59"/>
      <c r="I45" s="59"/>
      <c r="J45" s="59"/>
      <c r="K45" s="59"/>
    </row>
    <row r="46" spans="1:11">
      <c r="A46" s="59"/>
      <c r="B46" s="59"/>
      <c r="C46" s="59"/>
      <c r="D46" s="59"/>
      <c r="E46" s="59"/>
      <c r="F46" s="59"/>
      <c r="G46" s="59"/>
      <c r="H46" s="59"/>
      <c r="I46" s="59"/>
      <c r="J46" s="59"/>
      <c r="K46" s="59"/>
    </row>
    <row r="47" spans="1:11">
      <c r="A47" s="2285"/>
      <c r="B47" s="2285"/>
      <c r="C47" s="2285"/>
      <c r="D47" s="2285"/>
      <c r="E47" s="2285"/>
      <c r="F47" s="2285"/>
      <c r="G47" s="2285"/>
      <c r="H47" s="2285"/>
      <c r="I47" s="2285"/>
      <c r="J47" s="2285"/>
      <c r="K47" s="2285"/>
    </row>
    <row r="48" spans="1:11">
      <c r="A48" s="59"/>
      <c r="B48" s="59"/>
      <c r="C48" s="59"/>
      <c r="D48" s="59"/>
      <c r="E48" s="59"/>
      <c r="F48" s="59"/>
      <c r="G48" s="59"/>
      <c r="H48" s="59"/>
      <c r="I48" s="59"/>
      <c r="J48" s="59"/>
      <c r="K48" s="59"/>
    </row>
    <row r="49" spans="1:11">
      <c r="A49" s="59"/>
      <c r="B49" s="59"/>
      <c r="C49" s="59"/>
      <c r="D49" s="59"/>
      <c r="E49" s="59"/>
      <c r="F49" s="59"/>
      <c r="G49" s="59"/>
      <c r="H49" s="59"/>
      <c r="I49" s="59"/>
      <c r="J49" s="59"/>
      <c r="K49" s="59"/>
    </row>
    <row r="50" spans="1:11">
      <c r="A50" s="59"/>
      <c r="B50" s="59"/>
      <c r="C50" s="59"/>
      <c r="D50" s="59"/>
      <c r="E50" s="59"/>
      <c r="F50" s="59"/>
      <c r="G50" s="59"/>
      <c r="H50" s="59"/>
      <c r="I50" s="59"/>
      <c r="J50" s="59"/>
      <c r="K50" s="59"/>
    </row>
    <row r="51" spans="1:11">
      <c r="A51" s="59"/>
      <c r="B51" s="59"/>
      <c r="C51" s="59"/>
      <c r="D51" s="59"/>
      <c r="E51" s="59"/>
      <c r="F51" s="59"/>
      <c r="G51" s="59"/>
      <c r="H51" s="59"/>
      <c r="I51" s="59"/>
      <c r="J51" s="59"/>
      <c r="K51" s="59"/>
    </row>
    <row r="52" spans="1:11">
      <c r="A52" s="59"/>
      <c r="B52" s="59"/>
      <c r="C52" s="59"/>
      <c r="D52" s="59"/>
      <c r="E52" s="59"/>
      <c r="F52" s="59"/>
      <c r="G52" s="59"/>
      <c r="H52" s="59"/>
      <c r="I52" s="59"/>
      <c r="J52" s="59"/>
      <c r="K52" s="59"/>
    </row>
    <row r="53" spans="1:11">
      <c r="A53" s="59"/>
      <c r="B53" s="59"/>
      <c r="C53" s="59"/>
      <c r="D53" s="59"/>
      <c r="E53" s="59"/>
      <c r="F53" s="59"/>
      <c r="G53" s="59"/>
      <c r="H53" s="59"/>
      <c r="I53" s="59"/>
      <c r="J53" s="59"/>
      <c r="K53" s="59"/>
    </row>
  </sheetData>
  <sortState ref="A5:K29">
    <sortCondition descending="1" ref="J5"/>
  </sortState>
  <mergeCells count="4">
    <mergeCell ref="B3:K3"/>
    <mergeCell ref="A47:K47"/>
    <mergeCell ref="A1:N1"/>
    <mergeCell ref="A3:A4"/>
  </mergeCells>
  <pageMargins left="0.70866141732283472" right="0.70866141732283472" top="0.74803149606299213" bottom="0.74803149606299213" header="0.31496062992125984" footer="0.31496062992125984"/>
  <pageSetup scale="47" orientation="landscape"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Q39"/>
  <sheetViews>
    <sheetView showGridLines="0" view="pageBreakPreview" zoomScale="70" zoomScaleNormal="100" zoomScaleSheetLayoutView="70" workbookViewId="0">
      <selection activeCell="J13" sqref="J13"/>
    </sheetView>
  </sheetViews>
  <sheetFormatPr baseColWidth="10" defaultColWidth="11.5703125" defaultRowHeight="15"/>
  <cols>
    <col min="1" max="1" width="21.7109375" customWidth="1"/>
    <col min="2" max="2" width="16.42578125" customWidth="1"/>
    <col min="3" max="3" width="19.42578125" customWidth="1"/>
    <col min="4" max="4" width="17.85546875" customWidth="1"/>
    <col min="5" max="5" width="17.140625" customWidth="1"/>
    <col min="6" max="6" width="16.42578125" customWidth="1"/>
    <col min="7" max="7" width="17" customWidth="1"/>
    <col min="8" max="8" width="14.5703125" customWidth="1"/>
  </cols>
  <sheetData>
    <row r="1" spans="1:17" ht="57.75" customHeight="1">
      <c r="A1" s="2291" t="s">
        <v>1276</v>
      </c>
      <c r="B1" s="2291"/>
      <c r="C1" s="2291"/>
      <c r="D1" s="2291"/>
      <c r="E1" s="2291"/>
      <c r="F1" s="2291"/>
      <c r="G1" s="2291"/>
      <c r="H1" s="2291"/>
      <c r="I1" s="2291"/>
      <c r="J1" s="2291"/>
      <c r="K1" s="2291"/>
      <c r="L1" s="2291"/>
      <c r="M1" s="2291"/>
      <c r="N1" s="2291"/>
      <c r="O1" s="2291"/>
      <c r="P1" s="2291"/>
      <c r="Q1" s="2291"/>
    </row>
    <row r="2" spans="1:17" s="128" customFormat="1" ht="5.25" customHeight="1"/>
    <row r="3" spans="1:17" ht="43.5" customHeight="1">
      <c r="A3" s="593" t="s">
        <v>868</v>
      </c>
      <c r="B3" s="960" t="s">
        <v>869</v>
      </c>
      <c r="C3" s="961" t="s">
        <v>870</v>
      </c>
      <c r="D3" s="961" t="s">
        <v>871</v>
      </c>
      <c r="E3" s="962" t="s">
        <v>872</v>
      </c>
      <c r="F3" s="961" t="s">
        <v>167</v>
      </c>
      <c r="G3" s="961" t="s">
        <v>873</v>
      </c>
    </row>
    <row r="4" spans="1:17" ht="15.75">
      <c r="A4" s="592" t="s">
        <v>545</v>
      </c>
      <c r="B4" s="371">
        <v>676048</v>
      </c>
      <c r="C4" s="371">
        <v>189478</v>
      </c>
      <c r="D4" s="371">
        <v>122753</v>
      </c>
      <c r="E4" s="371">
        <v>8175</v>
      </c>
      <c r="F4" s="371">
        <f t="shared" ref="F4:F14" si="0">SUM(B4:E4)</f>
        <v>996454</v>
      </c>
      <c r="G4" s="475">
        <f>F4/$F$14</f>
        <v>0.39582303013835973</v>
      </c>
    </row>
    <row r="5" spans="1:17" ht="15.75">
      <c r="A5" s="592" t="s">
        <v>544</v>
      </c>
      <c r="B5" s="371">
        <v>97751</v>
      </c>
      <c r="C5" s="371">
        <v>35867</v>
      </c>
      <c r="D5" s="371">
        <v>15290</v>
      </c>
      <c r="E5" s="371">
        <v>1215</v>
      </c>
      <c r="F5" s="371">
        <f t="shared" si="0"/>
        <v>150123</v>
      </c>
      <c r="G5" s="475">
        <f t="shared" ref="G5:G13" si="1">F5/$F$14</f>
        <v>5.9633601504395568E-2</v>
      </c>
    </row>
    <row r="6" spans="1:17" ht="15.75">
      <c r="A6" s="592" t="s">
        <v>543</v>
      </c>
      <c r="B6" s="371">
        <v>276766</v>
      </c>
      <c r="C6" s="371">
        <v>41405</v>
      </c>
      <c r="D6" s="371">
        <v>29836</v>
      </c>
      <c r="E6" s="371">
        <v>5230</v>
      </c>
      <c r="F6" s="371">
        <f t="shared" si="0"/>
        <v>353237</v>
      </c>
      <c r="G6" s="475">
        <f t="shared" si="1"/>
        <v>0.14031690343656986</v>
      </c>
    </row>
    <row r="7" spans="1:17" ht="15.75">
      <c r="A7" s="592" t="s">
        <v>542</v>
      </c>
      <c r="B7" s="371">
        <v>57970</v>
      </c>
      <c r="C7" s="371">
        <v>32977</v>
      </c>
      <c r="D7" s="371">
        <v>10478</v>
      </c>
      <c r="E7" s="371">
        <v>964</v>
      </c>
      <c r="F7" s="371">
        <f t="shared" si="0"/>
        <v>102389</v>
      </c>
      <c r="G7" s="475">
        <f t="shared" si="1"/>
        <v>4.0672147668468904E-2</v>
      </c>
    </row>
    <row r="8" spans="1:17" ht="15.75">
      <c r="A8" s="592" t="s">
        <v>541</v>
      </c>
      <c r="B8" s="371">
        <v>21012</v>
      </c>
      <c r="C8" s="371">
        <v>22560</v>
      </c>
      <c r="D8" s="371">
        <v>6133</v>
      </c>
      <c r="E8" s="371">
        <v>293</v>
      </c>
      <c r="F8" s="371">
        <f t="shared" si="0"/>
        <v>49998</v>
      </c>
      <c r="G8" s="475">
        <f t="shared" si="1"/>
        <v>1.9860786208753953E-2</v>
      </c>
    </row>
    <row r="9" spans="1:17" ht="15.75">
      <c r="A9" s="592" t="s">
        <v>540</v>
      </c>
      <c r="B9" s="371">
        <v>165655</v>
      </c>
      <c r="C9" s="371">
        <v>21447</v>
      </c>
      <c r="D9" s="371">
        <v>9619</v>
      </c>
      <c r="E9" s="371">
        <v>1967</v>
      </c>
      <c r="F9" s="371">
        <f t="shared" si="0"/>
        <v>198688</v>
      </c>
      <c r="G9" s="475">
        <f t="shared" si="1"/>
        <v>7.8925154811090553E-2</v>
      </c>
    </row>
    <row r="10" spans="1:17" ht="15.75">
      <c r="A10" s="592" t="s">
        <v>539</v>
      </c>
      <c r="B10" s="371">
        <v>21103</v>
      </c>
      <c r="C10" s="371">
        <v>17392</v>
      </c>
      <c r="D10" s="371">
        <v>4083</v>
      </c>
      <c r="E10" s="371">
        <v>321</v>
      </c>
      <c r="F10" s="371">
        <f t="shared" si="0"/>
        <v>42899</v>
      </c>
      <c r="G10" s="475">
        <f t="shared" si="1"/>
        <v>1.7040838984946113E-2</v>
      </c>
    </row>
    <row r="11" spans="1:17" ht="15.75">
      <c r="A11" s="592" t="s">
        <v>538</v>
      </c>
      <c r="B11" s="371">
        <v>35988</v>
      </c>
      <c r="C11" s="371">
        <v>18214</v>
      </c>
      <c r="D11" s="371">
        <v>7729</v>
      </c>
      <c r="E11" s="371">
        <v>665</v>
      </c>
      <c r="F11" s="371">
        <f t="shared" si="0"/>
        <v>62596</v>
      </c>
      <c r="G11" s="475">
        <f t="shared" si="1"/>
        <v>2.4865110074866241E-2</v>
      </c>
    </row>
    <row r="12" spans="1:17" ht="15.75">
      <c r="A12" s="592" t="s">
        <v>537</v>
      </c>
      <c r="B12" s="371">
        <v>89090</v>
      </c>
      <c r="C12" s="371">
        <v>31184</v>
      </c>
      <c r="D12" s="371">
        <v>8382</v>
      </c>
      <c r="E12" s="371">
        <v>1004</v>
      </c>
      <c r="F12" s="371">
        <f t="shared" si="0"/>
        <v>129660</v>
      </c>
      <c r="G12" s="475">
        <f t="shared" si="1"/>
        <v>5.1505050998580694E-2</v>
      </c>
    </row>
    <row r="13" spans="1:17" ht="15.75">
      <c r="A13" s="592" t="s">
        <v>580</v>
      </c>
      <c r="B13" s="371">
        <v>350746</v>
      </c>
      <c r="C13" s="371">
        <v>40084</v>
      </c>
      <c r="D13" s="371">
        <v>35299</v>
      </c>
      <c r="E13" s="371">
        <v>5250</v>
      </c>
      <c r="F13" s="371">
        <f t="shared" si="0"/>
        <v>431379</v>
      </c>
      <c r="G13" s="475">
        <f t="shared" si="1"/>
        <v>0.17135737617396837</v>
      </c>
    </row>
    <row r="14" spans="1:17" ht="16.5" customHeight="1">
      <c r="A14" s="592" t="s">
        <v>23</v>
      </c>
      <c r="B14" s="594">
        <f>SUM(B4:B13)</f>
        <v>1792129</v>
      </c>
      <c r="C14" s="594">
        <f>SUM(C4:C13)</f>
        <v>450608</v>
      </c>
      <c r="D14" s="594">
        <f>SUM(D4:D13)</f>
        <v>249602</v>
      </c>
      <c r="E14" s="594">
        <f>SUM(E4:E13)</f>
        <v>25084</v>
      </c>
      <c r="F14" s="594">
        <f t="shared" si="0"/>
        <v>2517423</v>
      </c>
      <c r="G14" s="595">
        <f>SUM(G4:G13)</f>
        <v>1</v>
      </c>
    </row>
    <row r="15" spans="1:17" ht="15.75">
      <c r="A15" s="592" t="s">
        <v>874</v>
      </c>
      <c r="B15" s="595">
        <f>B14/$F$14</f>
        <v>0.71189029416192673</v>
      </c>
      <c r="C15" s="595">
        <f>C14/$F$14</f>
        <v>0.17899574286879877</v>
      </c>
      <c r="D15" s="595">
        <f>D14/$F$14</f>
        <v>9.9149805177755193E-2</v>
      </c>
      <c r="E15" s="595">
        <f>E14/$F$14</f>
        <v>9.9641577915193427E-3</v>
      </c>
      <c r="F15" s="595">
        <f>F14/$F$14</f>
        <v>1</v>
      </c>
      <c r="G15" s="596"/>
    </row>
    <row r="16" spans="1:17" ht="48" customHeight="1">
      <c r="A16" s="2290" t="s">
        <v>1175</v>
      </c>
      <c r="B16" s="2290"/>
      <c r="C16" s="2290"/>
      <c r="D16" s="2290"/>
      <c r="E16" s="2290"/>
      <c r="F16" s="2290"/>
      <c r="G16" s="2290"/>
      <c r="H16" s="2290"/>
      <c r="I16" s="2290"/>
      <c r="J16" s="2290"/>
      <c r="K16" s="2290"/>
      <c r="L16" s="2290"/>
      <c r="M16" s="2290"/>
      <c r="N16" s="2290"/>
      <c r="O16" s="2290"/>
    </row>
    <row r="17" spans="1:15">
      <c r="A17" s="2290"/>
      <c r="B17" s="2290"/>
      <c r="C17" s="2290"/>
      <c r="D17" s="2290"/>
      <c r="E17" s="2290"/>
      <c r="F17" s="2290"/>
      <c r="G17" s="2290"/>
      <c r="H17" s="2290"/>
      <c r="I17" s="2290"/>
      <c r="J17" s="2290"/>
      <c r="K17" s="2290"/>
      <c r="L17" s="2290"/>
      <c r="M17" s="2290"/>
      <c r="N17" s="2290"/>
      <c r="O17" s="2290"/>
    </row>
    <row r="18" spans="1:15">
      <c r="A18" s="2290"/>
      <c r="B18" s="2290"/>
      <c r="C18" s="2290"/>
      <c r="D18" s="2290"/>
      <c r="E18" s="2290"/>
      <c r="F18" s="2290"/>
      <c r="G18" s="2290"/>
      <c r="H18" s="2290"/>
      <c r="I18" s="2290"/>
      <c r="J18" s="2290"/>
      <c r="K18" s="2290"/>
      <c r="L18" s="2290"/>
      <c r="M18" s="2290"/>
      <c r="N18" s="2290"/>
      <c r="O18" s="2290"/>
    </row>
    <row r="19" spans="1:15" ht="14.25" customHeight="1">
      <c r="A19" s="2290"/>
      <c r="B19" s="2290"/>
      <c r="C19" s="2290"/>
      <c r="D19" s="2290"/>
      <c r="E19" s="2290"/>
      <c r="F19" s="2290"/>
      <c r="G19" s="2290"/>
      <c r="H19" s="2290"/>
      <c r="I19" s="2290"/>
      <c r="J19" s="2290"/>
      <c r="K19" s="2290"/>
      <c r="L19" s="2290"/>
      <c r="M19" s="2290"/>
      <c r="N19" s="2290"/>
      <c r="O19" s="2290"/>
    </row>
    <row r="20" spans="1:15" ht="93.75" customHeight="1">
      <c r="A20" s="2290"/>
      <c r="B20" s="2290"/>
      <c r="C20" s="2290"/>
      <c r="D20" s="2290"/>
      <c r="E20" s="2290"/>
      <c r="F20" s="2290"/>
      <c r="G20" s="2290"/>
      <c r="H20" s="2290"/>
      <c r="I20" s="2290"/>
      <c r="J20" s="2290"/>
      <c r="K20" s="2290"/>
      <c r="L20" s="2290"/>
      <c r="M20" s="2290"/>
      <c r="N20" s="2290"/>
      <c r="O20" s="2290"/>
    </row>
    <row r="21" spans="1:15" ht="15" hidden="1" customHeight="1">
      <c r="A21" s="2290"/>
      <c r="B21" s="2290"/>
      <c r="C21" s="2290"/>
      <c r="D21" s="2290"/>
      <c r="E21" s="2290"/>
      <c r="F21" s="2290"/>
      <c r="G21" s="2290"/>
      <c r="H21" s="2290"/>
      <c r="I21" s="2290"/>
      <c r="J21" s="2290"/>
      <c r="K21" s="2290"/>
      <c r="L21" s="2290"/>
      <c r="M21" s="2290"/>
      <c r="N21" s="2290"/>
      <c r="O21" s="2290"/>
    </row>
    <row r="22" spans="1:15">
      <c r="A22" s="59"/>
      <c r="B22" s="59"/>
      <c r="C22" s="59"/>
      <c r="D22" s="59"/>
      <c r="E22" s="59"/>
      <c r="F22" s="59"/>
      <c r="G22" s="59"/>
    </row>
    <row r="23" spans="1:15">
      <c r="A23" s="59"/>
      <c r="B23" s="59"/>
      <c r="C23" s="59"/>
      <c r="D23" s="59"/>
      <c r="E23" s="59"/>
      <c r="F23" s="59"/>
      <c r="G23" s="59"/>
    </row>
    <row r="24" spans="1:15">
      <c r="A24" s="59"/>
      <c r="B24" s="59"/>
      <c r="C24" s="59"/>
      <c r="D24" s="59"/>
      <c r="E24" s="59"/>
      <c r="F24" s="59"/>
      <c r="G24" s="59"/>
    </row>
    <row r="25" spans="1:15">
      <c r="A25" s="59"/>
      <c r="B25" s="59"/>
      <c r="C25" s="59"/>
      <c r="D25" s="59"/>
      <c r="E25" s="59"/>
      <c r="F25" s="59"/>
      <c r="G25" s="59"/>
    </row>
    <row r="26" spans="1:15">
      <c r="A26" s="59"/>
      <c r="B26" s="59"/>
      <c r="C26" s="59"/>
      <c r="D26" s="59"/>
      <c r="E26" s="59"/>
      <c r="F26" s="59"/>
      <c r="G26" s="59"/>
    </row>
    <row r="27" spans="1:15">
      <c r="A27" s="59"/>
      <c r="B27" s="59"/>
      <c r="C27" s="59"/>
      <c r="D27" s="59"/>
      <c r="E27" s="59"/>
      <c r="F27" s="59"/>
      <c r="G27" s="59"/>
    </row>
    <row r="28" spans="1:15">
      <c r="A28" s="2285"/>
      <c r="B28" s="2285"/>
      <c r="C28" s="2285"/>
      <c r="D28" s="2285"/>
      <c r="E28" s="2285"/>
      <c r="F28" s="2285"/>
      <c r="G28" s="2285"/>
    </row>
    <row r="29" spans="1:15">
      <c r="A29" s="59"/>
      <c r="B29" s="59"/>
      <c r="C29" s="59"/>
      <c r="D29" s="59"/>
      <c r="E29" s="59"/>
      <c r="F29" s="59"/>
      <c r="G29" s="59"/>
    </row>
    <row r="30" spans="1:15">
      <c r="A30" s="59"/>
      <c r="B30" s="59"/>
      <c r="C30" s="59"/>
      <c r="D30" s="59"/>
      <c r="E30" s="59"/>
      <c r="F30" s="59"/>
      <c r="G30" s="59"/>
    </row>
    <row r="31" spans="1:15">
      <c r="A31" s="59"/>
      <c r="B31" s="59"/>
      <c r="C31" s="59"/>
      <c r="D31" s="59"/>
      <c r="E31" s="59"/>
      <c r="F31" s="59"/>
      <c r="G31" s="59"/>
    </row>
    <row r="32" spans="1:15">
      <c r="A32" s="59"/>
      <c r="B32" s="59"/>
      <c r="C32" s="59"/>
      <c r="D32" s="59"/>
      <c r="E32" s="59"/>
      <c r="F32" s="59"/>
      <c r="G32" s="59"/>
    </row>
    <row r="33" spans="1:7">
      <c r="A33" s="59"/>
      <c r="B33" s="59"/>
      <c r="C33" s="59"/>
      <c r="D33" s="59"/>
      <c r="E33" s="59"/>
      <c r="F33" s="59"/>
      <c r="G33" s="59"/>
    </row>
    <row r="34" spans="1:7">
      <c r="A34" s="59"/>
      <c r="B34" s="59"/>
      <c r="C34" s="59"/>
      <c r="D34" s="59"/>
      <c r="E34" s="59"/>
      <c r="F34" s="59"/>
      <c r="G34" s="59"/>
    </row>
    <row r="35" spans="1:7">
      <c r="A35" s="59"/>
      <c r="B35" s="59"/>
      <c r="C35" s="59"/>
      <c r="D35" s="59"/>
      <c r="E35" s="59"/>
      <c r="F35" s="59"/>
      <c r="G35" s="59"/>
    </row>
    <row r="39" spans="1:7" ht="84.75" customHeight="1"/>
  </sheetData>
  <mergeCells count="3">
    <mergeCell ref="A28:G28"/>
    <mergeCell ref="A16:O21"/>
    <mergeCell ref="A1:Q1"/>
  </mergeCells>
  <pageMargins left="0.70866141732283472" right="0.70866141732283472" top="0.74803149606299213" bottom="0.74803149606299213" header="0.31496062992125984" footer="0.31496062992125984"/>
  <pageSetup scale="50" orientation="landscape"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P43"/>
  <sheetViews>
    <sheetView showGridLines="0" view="pageBreakPreview" zoomScale="85" zoomScaleNormal="100" zoomScaleSheetLayoutView="85" workbookViewId="0">
      <selection activeCell="A16" sqref="A16:M17"/>
    </sheetView>
  </sheetViews>
  <sheetFormatPr baseColWidth="10" defaultColWidth="11.5703125" defaultRowHeight="15"/>
  <cols>
    <col min="1" max="1" width="16.28515625" customWidth="1"/>
    <col min="2" max="2" width="10.5703125" customWidth="1"/>
    <col min="3" max="3" width="10.28515625" customWidth="1"/>
    <col min="6" max="7" width="10.140625" customWidth="1"/>
    <col min="8" max="8" width="10.85546875" customWidth="1"/>
    <col min="9" max="9" width="10.140625" customWidth="1"/>
    <col min="10" max="10" width="12.42578125" bestFit="1" customWidth="1"/>
    <col min="11" max="11" width="12.85546875" customWidth="1"/>
  </cols>
  <sheetData>
    <row r="1" spans="1:16" ht="68.25" customHeight="1">
      <c r="A1" s="2293" t="s">
        <v>1656</v>
      </c>
      <c r="B1" s="2293"/>
      <c r="C1" s="2293"/>
      <c r="D1" s="2293"/>
      <c r="E1" s="2293"/>
      <c r="F1" s="2293"/>
      <c r="G1" s="2293"/>
      <c r="H1" s="2293"/>
      <c r="I1" s="2293"/>
      <c r="J1" s="2293"/>
      <c r="K1" s="2293"/>
      <c r="L1" s="2293"/>
      <c r="M1" s="2293"/>
      <c r="N1" s="2293"/>
      <c r="O1" s="2293"/>
      <c r="P1" s="2293"/>
    </row>
    <row r="2" spans="1:16" s="128" customFormat="1" ht="5.25" customHeight="1">
      <c r="A2" s="694"/>
      <c r="B2" s="694"/>
      <c r="C2" s="694"/>
      <c r="D2" s="694"/>
      <c r="E2" s="694"/>
      <c r="F2" s="694"/>
      <c r="G2" s="694"/>
      <c r="H2" s="694"/>
      <c r="I2" s="694"/>
      <c r="J2" s="694"/>
      <c r="K2" s="694"/>
      <c r="L2" s="694"/>
      <c r="M2" s="694"/>
    </row>
    <row r="3" spans="1:16" ht="31.5">
      <c r="A3" s="597" t="s">
        <v>868</v>
      </c>
      <c r="B3" s="1350" t="s">
        <v>875</v>
      </c>
      <c r="C3" s="962" t="s">
        <v>876</v>
      </c>
      <c r="D3" s="962" t="s">
        <v>833</v>
      </c>
      <c r="E3" s="962" t="s">
        <v>834</v>
      </c>
      <c r="F3" s="962" t="s">
        <v>835</v>
      </c>
      <c r="G3" s="962" t="s">
        <v>836</v>
      </c>
      <c r="H3" s="962" t="s">
        <v>837</v>
      </c>
      <c r="I3" s="962" t="s">
        <v>877</v>
      </c>
      <c r="J3" s="962" t="s">
        <v>167</v>
      </c>
      <c r="K3" s="962" t="s">
        <v>878</v>
      </c>
    </row>
    <row r="4" spans="1:16">
      <c r="A4" s="598" t="s">
        <v>545</v>
      </c>
      <c r="B4" s="485">
        <v>98755</v>
      </c>
      <c r="C4" s="485">
        <v>206998</v>
      </c>
      <c r="D4" s="485">
        <v>141404</v>
      </c>
      <c r="E4" s="485">
        <v>166943</v>
      </c>
      <c r="F4" s="485">
        <v>154533</v>
      </c>
      <c r="G4" s="485">
        <v>118995</v>
      </c>
      <c r="H4" s="485">
        <v>69210</v>
      </c>
      <c r="I4" s="485">
        <v>39616</v>
      </c>
      <c r="J4" s="485">
        <f>SUM(B4:I4)</f>
        <v>996454</v>
      </c>
      <c r="K4" s="793">
        <f t="shared" ref="K4:K13" si="0">J4/$J$14</f>
        <v>0.39582303013835973</v>
      </c>
    </row>
    <row r="5" spans="1:16">
      <c r="A5" s="598" t="s">
        <v>544</v>
      </c>
      <c r="B5" s="485">
        <v>14965</v>
      </c>
      <c r="C5" s="485">
        <v>36323</v>
      </c>
      <c r="D5" s="485">
        <v>22792</v>
      </c>
      <c r="E5" s="485">
        <v>23821</v>
      </c>
      <c r="F5" s="485">
        <v>21929</v>
      </c>
      <c r="G5" s="485">
        <v>16935</v>
      </c>
      <c r="H5" s="485">
        <v>8577</v>
      </c>
      <c r="I5" s="485">
        <v>4781</v>
      </c>
      <c r="J5" s="485">
        <f>SUM(B5:I5)</f>
        <v>150123</v>
      </c>
      <c r="K5" s="793">
        <f t="shared" si="0"/>
        <v>5.9633601504395568E-2</v>
      </c>
    </row>
    <row r="6" spans="1:16">
      <c r="A6" s="598" t="s">
        <v>543</v>
      </c>
      <c r="B6" s="485">
        <v>37224</v>
      </c>
      <c r="C6" s="485">
        <v>83158</v>
      </c>
      <c r="D6" s="485">
        <v>48703</v>
      </c>
      <c r="E6" s="485">
        <v>60570</v>
      </c>
      <c r="F6" s="485">
        <v>55062</v>
      </c>
      <c r="G6" s="485">
        <v>36927</v>
      </c>
      <c r="H6" s="485">
        <v>19373</v>
      </c>
      <c r="I6" s="485">
        <v>12220</v>
      </c>
      <c r="J6" s="485">
        <f t="shared" ref="J6:J13" si="1">SUM(B6:I6)</f>
        <v>353237</v>
      </c>
      <c r="K6" s="793">
        <f t="shared" si="0"/>
        <v>0.14031690343656986</v>
      </c>
    </row>
    <row r="7" spans="1:16">
      <c r="A7" s="598" t="s">
        <v>542</v>
      </c>
      <c r="B7" s="485">
        <v>10212</v>
      </c>
      <c r="C7" s="485">
        <v>23943</v>
      </c>
      <c r="D7" s="485">
        <v>14227</v>
      </c>
      <c r="E7" s="485">
        <v>15223</v>
      </c>
      <c r="F7" s="485">
        <v>14698</v>
      </c>
      <c r="G7" s="485">
        <v>12423</v>
      </c>
      <c r="H7" s="485">
        <v>7103</v>
      </c>
      <c r="I7" s="485">
        <v>4560</v>
      </c>
      <c r="J7" s="485">
        <f t="shared" si="1"/>
        <v>102389</v>
      </c>
      <c r="K7" s="793">
        <f t="shared" si="0"/>
        <v>4.0672147668468904E-2</v>
      </c>
    </row>
    <row r="8" spans="1:16">
      <c r="A8" s="598" t="s">
        <v>541</v>
      </c>
      <c r="B8" s="485">
        <v>4655</v>
      </c>
      <c r="C8" s="485">
        <v>13042</v>
      </c>
      <c r="D8" s="485">
        <v>7326</v>
      </c>
      <c r="E8" s="485">
        <v>6485</v>
      </c>
      <c r="F8" s="485">
        <v>7168</v>
      </c>
      <c r="G8" s="485">
        <v>6189</v>
      </c>
      <c r="H8" s="485">
        <v>3307</v>
      </c>
      <c r="I8" s="485">
        <v>1826</v>
      </c>
      <c r="J8" s="485">
        <f>SUM(B8:I8)</f>
        <v>49998</v>
      </c>
      <c r="K8" s="793">
        <f t="shared" si="0"/>
        <v>1.9860786208753953E-2</v>
      </c>
    </row>
    <row r="9" spans="1:16">
      <c r="A9" s="598" t="s">
        <v>540</v>
      </c>
      <c r="B9" s="485">
        <v>22701</v>
      </c>
      <c r="C9" s="485">
        <v>45638</v>
      </c>
      <c r="D9" s="485">
        <v>27314</v>
      </c>
      <c r="E9" s="485">
        <v>35558</v>
      </c>
      <c r="F9" s="485">
        <v>31852</v>
      </c>
      <c r="G9" s="485">
        <v>20721</v>
      </c>
      <c r="H9" s="485">
        <v>9921</v>
      </c>
      <c r="I9" s="485">
        <v>4983</v>
      </c>
      <c r="J9" s="485">
        <f t="shared" si="1"/>
        <v>198688</v>
      </c>
      <c r="K9" s="793">
        <f t="shared" si="0"/>
        <v>7.8925154811090553E-2</v>
      </c>
    </row>
    <row r="10" spans="1:16">
      <c r="A10" s="598" t="s">
        <v>539</v>
      </c>
      <c r="B10" s="485">
        <v>4017</v>
      </c>
      <c r="C10" s="485">
        <v>10062</v>
      </c>
      <c r="D10" s="485">
        <v>6721</v>
      </c>
      <c r="E10" s="485">
        <v>6485</v>
      </c>
      <c r="F10" s="485">
        <v>5828</v>
      </c>
      <c r="G10" s="485">
        <v>4943</v>
      </c>
      <c r="H10" s="485">
        <v>2993</v>
      </c>
      <c r="I10" s="485">
        <v>1850</v>
      </c>
      <c r="J10" s="485">
        <f t="shared" si="1"/>
        <v>42899</v>
      </c>
      <c r="K10" s="793">
        <f t="shared" si="0"/>
        <v>1.7040838984946113E-2</v>
      </c>
    </row>
    <row r="11" spans="1:16">
      <c r="A11" s="598" t="s">
        <v>538</v>
      </c>
      <c r="B11" s="485">
        <v>5787</v>
      </c>
      <c r="C11" s="485">
        <v>14351</v>
      </c>
      <c r="D11" s="485">
        <v>8740</v>
      </c>
      <c r="E11" s="485">
        <v>9138</v>
      </c>
      <c r="F11" s="485">
        <v>9323</v>
      </c>
      <c r="G11" s="485">
        <v>7718</v>
      </c>
      <c r="H11" s="485">
        <v>4419</v>
      </c>
      <c r="I11" s="485">
        <v>3120</v>
      </c>
      <c r="J11" s="485">
        <f t="shared" si="1"/>
        <v>62596</v>
      </c>
      <c r="K11" s="793">
        <f t="shared" si="0"/>
        <v>2.4865110074866241E-2</v>
      </c>
    </row>
    <row r="12" spans="1:16">
      <c r="A12" s="598" t="s">
        <v>537</v>
      </c>
      <c r="B12" s="485">
        <v>13781</v>
      </c>
      <c r="C12" s="485">
        <v>31288</v>
      </c>
      <c r="D12" s="485">
        <v>18467</v>
      </c>
      <c r="E12" s="485">
        <v>20889</v>
      </c>
      <c r="F12" s="485">
        <v>19398</v>
      </c>
      <c r="G12" s="485">
        <v>13960</v>
      </c>
      <c r="H12" s="485">
        <v>7169</v>
      </c>
      <c r="I12" s="485">
        <v>4708</v>
      </c>
      <c r="J12" s="485">
        <f t="shared" si="1"/>
        <v>129660</v>
      </c>
      <c r="K12" s="793">
        <f t="shared" si="0"/>
        <v>5.1505050998580694E-2</v>
      </c>
    </row>
    <row r="13" spans="1:16">
      <c r="A13" s="598" t="s">
        <v>580</v>
      </c>
      <c r="B13" s="485">
        <v>9940</v>
      </c>
      <c r="C13" s="485">
        <v>26568</v>
      </c>
      <c r="D13" s="485">
        <v>88538</v>
      </c>
      <c r="E13" s="485">
        <v>131222</v>
      </c>
      <c r="F13" s="485">
        <v>82802</v>
      </c>
      <c r="G13" s="485">
        <v>49388</v>
      </c>
      <c r="H13" s="485">
        <v>25363</v>
      </c>
      <c r="I13" s="485">
        <v>17558</v>
      </c>
      <c r="J13" s="485">
        <f t="shared" si="1"/>
        <v>431379</v>
      </c>
      <c r="K13" s="793">
        <f t="shared" si="0"/>
        <v>0.17135737617396837</v>
      </c>
    </row>
    <row r="14" spans="1:16">
      <c r="A14" s="794" t="s">
        <v>23</v>
      </c>
      <c r="B14" s="795">
        <f t="shared" ref="B14:I14" si="2">SUM(B4:B13)</f>
        <v>222037</v>
      </c>
      <c r="C14" s="795">
        <f t="shared" si="2"/>
        <v>491371</v>
      </c>
      <c r="D14" s="795">
        <f t="shared" si="2"/>
        <v>384232</v>
      </c>
      <c r="E14" s="795">
        <f t="shared" si="2"/>
        <v>476334</v>
      </c>
      <c r="F14" s="795">
        <f t="shared" si="2"/>
        <v>402593</v>
      </c>
      <c r="G14" s="795">
        <f t="shared" si="2"/>
        <v>288199</v>
      </c>
      <c r="H14" s="795">
        <f t="shared" si="2"/>
        <v>157435</v>
      </c>
      <c r="I14" s="795">
        <f t="shared" si="2"/>
        <v>95222</v>
      </c>
      <c r="J14" s="795">
        <f>SUM(B14:I14)</f>
        <v>2517423</v>
      </c>
      <c r="K14" s="796">
        <f>SUM(K4:K13)</f>
        <v>1</v>
      </c>
    </row>
    <row r="15" spans="1:16">
      <c r="A15" s="794" t="s">
        <v>874</v>
      </c>
      <c r="B15" s="796">
        <f>B14/$J$14</f>
        <v>8.820011575329216E-2</v>
      </c>
      <c r="C15" s="796">
        <f>C14/$J$14</f>
        <v>0.19518809512743787</v>
      </c>
      <c r="D15" s="796">
        <f>D14/$J$14</f>
        <v>0.15262909729513077</v>
      </c>
      <c r="E15" s="796">
        <f>E14/$J$14</f>
        <v>0.18921492335614634</v>
      </c>
      <c r="F15" s="796"/>
      <c r="G15" s="796"/>
      <c r="H15" s="796"/>
      <c r="I15" s="796"/>
      <c r="J15" s="796">
        <f>J14/$J$14</f>
        <v>1</v>
      </c>
      <c r="K15" s="1351"/>
    </row>
    <row r="16" spans="1:16" ht="62.25" customHeight="1">
      <c r="A16" s="2292" t="s">
        <v>879</v>
      </c>
      <c r="B16" s="2292"/>
      <c r="C16" s="2292"/>
      <c r="D16" s="2292"/>
      <c r="E16" s="2292"/>
      <c r="F16" s="2292"/>
      <c r="G16" s="2292"/>
      <c r="H16" s="2292"/>
      <c r="I16" s="2292"/>
      <c r="J16" s="2292"/>
      <c r="K16" s="2292"/>
      <c r="L16" s="2292"/>
      <c r="M16" s="2292"/>
    </row>
    <row r="17" spans="1:13" ht="3.75" customHeight="1">
      <c r="A17" s="2292"/>
      <c r="B17" s="2292"/>
      <c r="C17" s="2292"/>
      <c r="D17" s="2292"/>
      <c r="E17" s="2292"/>
      <c r="F17" s="2292"/>
      <c r="G17" s="2292"/>
      <c r="H17" s="2292"/>
      <c r="I17" s="2292"/>
      <c r="J17" s="2292"/>
      <c r="K17" s="2292"/>
      <c r="L17" s="2292"/>
      <c r="M17" s="2292"/>
    </row>
    <row r="18" spans="1:13">
      <c r="A18" s="128"/>
      <c r="B18" s="128"/>
      <c r="C18" s="128"/>
      <c r="D18" s="128"/>
      <c r="E18" s="128"/>
      <c r="F18" s="128"/>
      <c r="G18" s="128"/>
      <c r="H18" s="128"/>
      <c r="I18" s="128"/>
      <c r="J18" s="128"/>
      <c r="K18" s="128"/>
    </row>
    <row r="19" spans="1:13">
      <c r="A19" s="128"/>
      <c r="B19" s="128"/>
      <c r="C19" s="128"/>
      <c r="D19" s="128"/>
      <c r="E19" s="128"/>
      <c r="F19" s="128"/>
      <c r="G19" s="128"/>
      <c r="H19" s="128"/>
      <c r="I19" s="128"/>
      <c r="J19" s="128"/>
      <c r="K19" s="128"/>
    </row>
    <row r="20" spans="1:13">
      <c r="A20" s="128"/>
      <c r="B20" s="128"/>
      <c r="C20" s="128"/>
      <c r="D20" s="128"/>
      <c r="E20" s="128"/>
      <c r="F20" s="128"/>
      <c r="G20" s="128"/>
      <c r="H20" s="128"/>
      <c r="I20" s="128"/>
      <c r="J20" s="128"/>
      <c r="K20" s="128"/>
    </row>
    <row r="21" spans="1:13">
      <c r="A21" s="128"/>
      <c r="B21" s="128"/>
      <c r="C21" s="128"/>
      <c r="D21" s="128"/>
      <c r="E21" s="128"/>
      <c r="F21" s="128"/>
      <c r="G21" s="128"/>
      <c r="H21" s="128"/>
      <c r="I21" s="128"/>
      <c r="J21" s="128"/>
      <c r="K21" s="128"/>
    </row>
    <row r="22" spans="1:13">
      <c r="A22" s="128"/>
      <c r="B22" s="128"/>
      <c r="C22" s="128"/>
      <c r="D22" s="128"/>
      <c r="E22" s="128"/>
      <c r="F22" s="128"/>
      <c r="G22" s="128"/>
      <c r="H22" s="128"/>
      <c r="I22" s="128"/>
      <c r="J22" s="128"/>
      <c r="K22" s="128"/>
    </row>
    <row r="23" spans="1:13">
      <c r="A23" s="128"/>
      <c r="B23" s="128"/>
      <c r="C23" s="128"/>
      <c r="D23" s="128"/>
      <c r="E23" s="128"/>
      <c r="F23" s="128"/>
      <c r="G23" s="128"/>
      <c r="H23" s="128"/>
      <c r="I23" s="128"/>
      <c r="J23" s="128"/>
      <c r="K23" s="128"/>
    </row>
    <row r="24" spans="1:13">
      <c r="A24" s="128"/>
      <c r="B24" s="128"/>
      <c r="C24" s="128"/>
      <c r="D24" s="128"/>
      <c r="E24" s="128"/>
      <c r="F24" s="128"/>
      <c r="G24" s="128"/>
      <c r="H24" s="128"/>
      <c r="I24" s="128"/>
      <c r="J24" s="128"/>
      <c r="K24" s="128"/>
    </row>
    <row r="25" spans="1:13">
      <c r="A25" s="59"/>
      <c r="B25" s="59"/>
      <c r="C25" s="59"/>
      <c r="D25" s="59"/>
      <c r="E25" s="59"/>
      <c r="F25" s="59"/>
      <c r="G25" s="59"/>
      <c r="H25" s="59"/>
      <c r="I25" s="59"/>
      <c r="J25" s="59"/>
      <c r="K25" s="59"/>
    </row>
    <row r="26" spans="1:13">
      <c r="A26" s="59"/>
      <c r="B26" s="59"/>
      <c r="C26" s="59"/>
      <c r="D26" s="59"/>
      <c r="E26" s="59"/>
      <c r="F26" s="59"/>
      <c r="G26" s="59"/>
      <c r="H26" s="59"/>
      <c r="I26" s="59"/>
      <c r="J26" s="59"/>
      <c r="K26" s="59"/>
    </row>
    <row r="27" spans="1:13">
      <c r="A27" s="59"/>
      <c r="B27" s="59"/>
      <c r="C27" s="59"/>
      <c r="D27" s="59"/>
      <c r="E27" s="59"/>
      <c r="F27" s="59"/>
      <c r="G27" s="59"/>
      <c r="H27" s="59"/>
      <c r="I27" s="59"/>
      <c r="J27" s="59"/>
      <c r="K27" s="59"/>
    </row>
    <row r="28" spans="1:13">
      <c r="A28" s="59"/>
      <c r="B28" s="59"/>
      <c r="C28" s="59"/>
      <c r="D28" s="59"/>
      <c r="E28" s="59"/>
      <c r="F28" s="59"/>
      <c r="G28" s="59"/>
      <c r="H28" s="59"/>
      <c r="I28" s="59"/>
      <c r="J28" s="59"/>
      <c r="K28" s="59"/>
    </row>
    <row r="29" spans="1:13">
      <c r="A29" s="59"/>
      <c r="B29" s="59"/>
      <c r="C29" s="59"/>
      <c r="D29" s="59"/>
      <c r="E29" s="59"/>
      <c r="F29" s="59"/>
      <c r="G29" s="59"/>
      <c r="H29" s="59"/>
      <c r="I29" s="59"/>
      <c r="J29" s="59"/>
      <c r="K29" s="59"/>
    </row>
    <row r="30" spans="1:13">
      <c r="A30" s="59"/>
      <c r="B30" s="59"/>
      <c r="C30" s="59"/>
      <c r="D30" s="59"/>
      <c r="E30" s="59"/>
      <c r="F30" s="59"/>
      <c r="G30" s="59"/>
      <c r="H30" s="59"/>
      <c r="I30" s="59"/>
      <c r="J30" s="59"/>
      <c r="K30" s="59"/>
    </row>
    <row r="31" spans="1:13">
      <c r="A31" s="2285"/>
      <c r="B31" s="2285"/>
      <c r="C31" s="2285"/>
      <c r="D31" s="2285"/>
      <c r="E31" s="2285"/>
      <c r="F31" s="2285"/>
      <c r="G31" s="2285"/>
      <c r="H31" s="2285"/>
      <c r="I31" s="2285"/>
      <c r="J31" s="2285"/>
      <c r="K31" s="2285"/>
    </row>
    <row r="32" spans="1:13">
      <c r="A32" s="59"/>
      <c r="B32" s="59"/>
      <c r="C32" s="59"/>
      <c r="D32" s="59"/>
      <c r="E32" s="59"/>
      <c r="F32" s="59"/>
      <c r="G32" s="59"/>
      <c r="H32" s="59"/>
      <c r="I32" s="59"/>
      <c r="J32" s="59"/>
      <c r="K32" s="59"/>
    </row>
    <row r="33" spans="1:11">
      <c r="A33" s="59"/>
      <c r="B33" s="59"/>
      <c r="C33" s="59"/>
      <c r="D33" s="59"/>
      <c r="E33" s="59"/>
      <c r="F33" s="59"/>
      <c r="G33" s="59"/>
      <c r="H33" s="59"/>
      <c r="I33" s="59"/>
      <c r="J33" s="59"/>
      <c r="K33" s="59"/>
    </row>
    <row r="34" spans="1:11">
      <c r="A34" s="59"/>
      <c r="B34" s="59"/>
      <c r="C34" s="59"/>
      <c r="D34" s="59"/>
      <c r="E34" s="59"/>
      <c r="F34" s="59"/>
      <c r="G34" s="59"/>
      <c r="H34" s="59"/>
      <c r="I34" s="59"/>
      <c r="J34" s="59"/>
      <c r="K34" s="59"/>
    </row>
    <row r="35" spans="1:11">
      <c r="A35" s="59"/>
      <c r="B35" s="59"/>
      <c r="C35" s="59"/>
      <c r="D35" s="59"/>
      <c r="E35" s="59"/>
      <c r="F35" s="59"/>
      <c r="G35" s="59"/>
      <c r="H35" s="59"/>
      <c r="I35" s="59"/>
      <c r="J35" s="59"/>
      <c r="K35" s="59"/>
    </row>
    <row r="36" spans="1:11">
      <c r="A36" s="59"/>
      <c r="B36" s="59"/>
      <c r="C36" s="59"/>
      <c r="D36" s="59"/>
      <c r="E36" s="59"/>
      <c r="F36" s="59"/>
      <c r="G36" s="59"/>
      <c r="H36" s="59"/>
      <c r="I36" s="59"/>
      <c r="J36" s="59"/>
      <c r="K36" s="59"/>
    </row>
    <row r="37" spans="1:11">
      <c r="A37" s="59"/>
      <c r="B37" s="59"/>
      <c r="C37" s="59"/>
      <c r="D37" s="59"/>
      <c r="E37" s="59"/>
      <c r="F37" s="59"/>
      <c r="G37" s="59"/>
      <c r="H37" s="59"/>
      <c r="I37" s="59"/>
      <c r="J37" s="59"/>
      <c r="K37" s="59"/>
    </row>
    <row r="38" spans="1:11">
      <c r="A38" s="59"/>
      <c r="B38" s="59"/>
      <c r="C38" s="59"/>
      <c r="D38" s="59"/>
      <c r="E38" s="59"/>
      <c r="F38" s="59"/>
      <c r="G38" s="59"/>
      <c r="H38" s="59"/>
      <c r="I38" s="59"/>
      <c r="J38" s="59"/>
      <c r="K38" s="59"/>
    </row>
    <row r="39" spans="1:11">
      <c r="A39" s="59"/>
      <c r="B39" s="59"/>
      <c r="C39" s="59"/>
      <c r="D39" s="59"/>
      <c r="E39" s="59"/>
      <c r="F39" s="59"/>
      <c r="G39" s="59"/>
      <c r="H39" s="59"/>
      <c r="I39" s="59"/>
      <c r="J39" s="59"/>
      <c r="K39" s="59"/>
    </row>
    <row r="40" spans="1:11">
      <c r="A40" s="59"/>
      <c r="B40" s="59"/>
      <c r="C40" s="59"/>
      <c r="D40" s="59"/>
      <c r="E40" s="59"/>
      <c r="F40" s="59"/>
      <c r="G40" s="59"/>
      <c r="H40" s="59"/>
      <c r="I40" s="59"/>
      <c r="J40" s="59"/>
      <c r="K40" s="59"/>
    </row>
    <row r="41" spans="1:11">
      <c r="A41" s="59"/>
      <c r="B41" s="59"/>
      <c r="C41" s="59"/>
      <c r="D41" s="59"/>
      <c r="E41" s="59"/>
      <c r="F41" s="59"/>
      <c r="G41" s="59"/>
      <c r="H41" s="59"/>
      <c r="I41" s="59"/>
      <c r="J41" s="59"/>
      <c r="K41" s="59"/>
    </row>
    <row r="42" spans="1:11">
      <c r="A42" s="59"/>
      <c r="B42" s="59"/>
      <c r="C42" s="59"/>
      <c r="D42" s="59"/>
      <c r="E42" s="59"/>
      <c r="F42" s="59"/>
      <c r="G42" s="59"/>
      <c r="H42" s="59"/>
      <c r="I42" s="59"/>
      <c r="J42" s="59"/>
      <c r="K42" s="59"/>
    </row>
    <row r="43" spans="1:11">
      <c r="A43" s="59"/>
      <c r="B43" s="59"/>
      <c r="C43" s="59"/>
      <c r="D43" s="59"/>
      <c r="E43" s="59"/>
      <c r="F43" s="59"/>
      <c r="G43" s="59"/>
      <c r="H43" s="59"/>
      <c r="I43" s="59"/>
      <c r="J43" s="59"/>
      <c r="K43" s="59"/>
    </row>
  </sheetData>
  <mergeCells count="3">
    <mergeCell ref="A31:K31"/>
    <mergeCell ref="A16:M17"/>
    <mergeCell ref="A1:P1"/>
  </mergeCells>
  <pageMargins left="0.70866141732283472" right="0.70866141732283472" top="0.74803149606299213" bottom="0.74803149606299213" header="0.31496062992125984" footer="0.31496062992125984"/>
  <pageSetup scale="4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Q54"/>
  <sheetViews>
    <sheetView showGridLines="0" view="pageBreakPreview" zoomScale="70" zoomScaleNormal="100" zoomScaleSheetLayoutView="70" workbookViewId="0">
      <pane ySplit="1" topLeftCell="A2" activePane="bottomLeft" state="frozen"/>
      <selection pane="bottomLeft" activeCell="E18" sqref="E18"/>
    </sheetView>
  </sheetViews>
  <sheetFormatPr baseColWidth="10" defaultColWidth="11.5703125" defaultRowHeight="15"/>
  <cols>
    <col min="1" max="1" width="37.140625" customWidth="1"/>
    <col min="2" max="2" width="15.140625" customWidth="1"/>
    <col min="3" max="3" width="16.28515625" customWidth="1"/>
    <col min="4" max="4" width="15.85546875" customWidth="1"/>
    <col min="5" max="5" width="17.28515625" customWidth="1"/>
    <col min="6" max="6" width="16.7109375" customWidth="1"/>
    <col min="7" max="7" width="15.85546875" customWidth="1"/>
    <col min="8" max="8" width="16.28515625" customWidth="1"/>
    <col min="9" max="9" width="16" customWidth="1"/>
    <col min="10" max="10" width="17.140625" customWidth="1"/>
    <col min="11" max="11" width="14.140625" customWidth="1"/>
  </cols>
  <sheetData>
    <row r="1" spans="1:17" ht="78.75" customHeight="1">
      <c r="A1" s="2294" t="s">
        <v>1277</v>
      </c>
      <c r="B1" s="2294"/>
      <c r="C1" s="2294"/>
      <c r="D1" s="2294"/>
      <c r="E1" s="2294"/>
      <c r="F1" s="2294"/>
      <c r="G1" s="2294"/>
      <c r="H1" s="2294"/>
      <c r="I1" s="2294"/>
      <c r="J1" s="2294"/>
      <c r="K1" s="2294"/>
      <c r="L1" s="128"/>
      <c r="M1" s="128"/>
      <c r="N1" s="128"/>
      <c r="O1" s="128"/>
      <c r="P1" s="128"/>
      <c r="Q1" s="128"/>
    </row>
    <row r="2" spans="1:17" s="128" customFormat="1" ht="6" customHeight="1">
      <c r="A2" s="2295"/>
      <c r="B2" s="2295"/>
      <c r="C2" s="2295"/>
      <c r="D2" s="2295"/>
      <c r="E2" s="2295"/>
      <c r="F2" s="2295"/>
      <c r="G2" s="2295"/>
      <c r="H2" s="2295"/>
      <c r="I2" s="2295"/>
      <c r="J2" s="2295"/>
      <c r="K2" s="2295"/>
    </row>
    <row r="3" spans="1:17" ht="42" customHeight="1">
      <c r="A3" s="605" t="s">
        <v>576</v>
      </c>
      <c r="B3" s="599" t="s">
        <v>880</v>
      </c>
      <c r="C3" s="600" t="s">
        <v>881</v>
      </c>
      <c r="D3" s="600" t="s">
        <v>882</v>
      </c>
      <c r="E3" s="600" t="s">
        <v>883</v>
      </c>
      <c r="F3" s="600" t="s">
        <v>884</v>
      </c>
      <c r="G3" s="600" t="s">
        <v>885</v>
      </c>
      <c r="H3" s="600" t="s">
        <v>886</v>
      </c>
      <c r="I3" s="600" t="s">
        <v>887</v>
      </c>
      <c r="J3" s="600" t="s">
        <v>888</v>
      </c>
      <c r="K3" s="600" t="s">
        <v>889</v>
      </c>
      <c r="L3" s="108"/>
      <c r="M3" s="108"/>
      <c r="N3" s="59"/>
      <c r="O3" s="59"/>
      <c r="P3" s="148"/>
      <c r="Q3" s="148"/>
    </row>
    <row r="4" spans="1:17" ht="13.5" customHeight="1">
      <c r="A4" s="510" t="s">
        <v>155</v>
      </c>
      <c r="B4" s="371">
        <v>72112</v>
      </c>
      <c r="C4" s="371">
        <v>164870</v>
      </c>
      <c r="D4" s="371">
        <v>101917</v>
      </c>
      <c r="E4" s="371">
        <v>130819</v>
      </c>
      <c r="F4" s="371">
        <v>128513</v>
      </c>
      <c r="G4" s="371">
        <v>99764</v>
      </c>
      <c r="H4" s="371">
        <v>58603</v>
      </c>
      <c r="I4" s="371">
        <v>33704</v>
      </c>
      <c r="J4" s="371">
        <f>SUM(B4:I4)</f>
        <v>790302</v>
      </c>
      <c r="K4" s="475">
        <f>J4/$J$37</f>
        <v>0.3139329385645559</v>
      </c>
      <c r="L4" s="59"/>
      <c r="M4" s="59"/>
      <c r="N4" s="59"/>
      <c r="O4" s="148"/>
      <c r="P4" s="148"/>
      <c r="Q4" s="128"/>
    </row>
    <row r="5" spans="1:17" ht="13.5" customHeight="1">
      <c r="A5" s="510" t="s">
        <v>890</v>
      </c>
      <c r="B5" s="371">
        <v>5757</v>
      </c>
      <c r="C5" s="371">
        <v>9042</v>
      </c>
      <c r="D5" s="371">
        <v>6083</v>
      </c>
      <c r="E5" s="371">
        <v>10222</v>
      </c>
      <c r="F5" s="371">
        <v>7540</v>
      </c>
      <c r="G5" s="371">
        <v>3855</v>
      </c>
      <c r="H5" s="371">
        <v>1539</v>
      </c>
      <c r="I5" s="371">
        <v>853</v>
      </c>
      <c r="J5" s="371">
        <f t="shared" ref="J5:J36" si="0">SUM(B5:I5)</f>
        <v>44891</v>
      </c>
      <c r="K5" s="475">
        <f t="shared" ref="K5:K36" si="1">J5/$J$37</f>
        <v>1.7832124358917831E-2</v>
      </c>
      <c r="L5" s="59"/>
      <c r="M5" s="59"/>
      <c r="N5" s="108"/>
      <c r="O5" s="148"/>
      <c r="P5" s="148"/>
      <c r="Q5" s="128"/>
    </row>
    <row r="6" spans="1:17" ht="15.75">
      <c r="A6" s="510" t="s">
        <v>573</v>
      </c>
      <c r="B6" s="371">
        <v>2402</v>
      </c>
      <c r="C6" s="371">
        <v>6433</v>
      </c>
      <c r="D6" s="371">
        <v>3697</v>
      </c>
      <c r="E6" s="371">
        <v>3748</v>
      </c>
      <c r="F6" s="371">
        <v>3560</v>
      </c>
      <c r="G6" s="371">
        <v>2860</v>
      </c>
      <c r="H6" s="371">
        <v>1562</v>
      </c>
      <c r="I6" s="371">
        <v>857</v>
      </c>
      <c r="J6" s="371">
        <f t="shared" si="0"/>
        <v>25119</v>
      </c>
      <c r="K6" s="475">
        <f t="shared" si="1"/>
        <v>9.9780608979897299E-3</v>
      </c>
      <c r="L6" s="59"/>
      <c r="M6" s="108"/>
      <c r="N6" s="128"/>
      <c r="O6" s="148"/>
      <c r="P6" s="148"/>
      <c r="Q6" s="128"/>
    </row>
    <row r="7" spans="1:17" ht="15.75">
      <c r="A7" s="510" t="s">
        <v>572</v>
      </c>
      <c r="B7" s="371">
        <v>833</v>
      </c>
      <c r="C7" s="371">
        <v>2739</v>
      </c>
      <c r="D7" s="371">
        <v>1604</v>
      </c>
      <c r="E7" s="371">
        <v>1463</v>
      </c>
      <c r="F7" s="371">
        <v>1699</v>
      </c>
      <c r="G7" s="371">
        <v>1429</v>
      </c>
      <c r="H7" s="371">
        <v>821</v>
      </c>
      <c r="I7" s="371">
        <v>399</v>
      </c>
      <c r="J7" s="371">
        <f t="shared" si="0"/>
        <v>10987</v>
      </c>
      <c r="K7" s="475">
        <f t="shared" si="1"/>
        <v>4.3643837368610681E-3</v>
      </c>
      <c r="L7" s="59"/>
      <c r="M7" s="108"/>
      <c r="N7" s="108"/>
      <c r="O7" s="148"/>
      <c r="P7" s="148"/>
      <c r="Q7" s="128"/>
    </row>
    <row r="8" spans="1:17" ht="15.75">
      <c r="A8" s="510" t="s">
        <v>571</v>
      </c>
      <c r="B8" s="371">
        <v>2967</v>
      </c>
      <c r="C8" s="371">
        <v>7517</v>
      </c>
      <c r="D8" s="371">
        <v>4163</v>
      </c>
      <c r="E8" s="371">
        <v>3624</v>
      </c>
      <c r="F8" s="371">
        <v>3811</v>
      </c>
      <c r="G8" s="371">
        <v>3353</v>
      </c>
      <c r="H8" s="371">
        <v>1701</v>
      </c>
      <c r="I8" s="371">
        <v>951</v>
      </c>
      <c r="J8" s="371">
        <f t="shared" si="0"/>
        <v>28087</v>
      </c>
      <c r="K8" s="475">
        <f t="shared" si="1"/>
        <v>1.1157044326678512E-2</v>
      </c>
      <c r="L8" s="128"/>
      <c r="M8" s="108"/>
      <c r="N8" s="108"/>
      <c r="O8" s="148"/>
      <c r="P8" s="148"/>
      <c r="Q8" s="128"/>
    </row>
    <row r="9" spans="1:17" ht="15.75">
      <c r="A9" s="510" t="s">
        <v>570</v>
      </c>
      <c r="B9" s="371">
        <v>815</v>
      </c>
      <c r="C9" s="371">
        <v>2383</v>
      </c>
      <c r="D9" s="371">
        <v>1436</v>
      </c>
      <c r="E9" s="371">
        <v>1474</v>
      </c>
      <c r="F9" s="371">
        <v>1567</v>
      </c>
      <c r="G9" s="371">
        <v>1359</v>
      </c>
      <c r="H9" s="371">
        <v>790</v>
      </c>
      <c r="I9" s="371">
        <v>541</v>
      </c>
      <c r="J9" s="371">
        <f t="shared" si="0"/>
        <v>10365</v>
      </c>
      <c r="K9" s="475">
        <f t="shared" si="1"/>
        <v>4.1173056733016262E-3</v>
      </c>
      <c r="L9" s="128"/>
      <c r="M9" s="108"/>
      <c r="N9" s="108"/>
      <c r="O9" s="148"/>
      <c r="P9" s="148"/>
      <c r="Q9" s="128"/>
    </row>
    <row r="10" spans="1:17" ht="15.75">
      <c r="A10" s="510" t="s">
        <v>891</v>
      </c>
      <c r="B10" s="371">
        <v>5676</v>
      </c>
      <c r="C10" s="371">
        <v>12889</v>
      </c>
      <c r="D10" s="371">
        <v>7816</v>
      </c>
      <c r="E10" s="371">
        <v>8312</v>
      </c>
      <c r="F10" s="371">
        <v>7894</v>
      </c>
      <c r="G10" s="371">
        <v>6600</v>
      </c>
      <c r="H10" s="371">
        <v>4007</v>
      </c>
      <c r="I10" s="371">
        <v>2591</v>
      </c>
      <c r="J10" s="371">
        <f t="shared" si="0"/>
        <v>55785</v>
      </c>
      <c r="K10" s="475">
        <f t="shared" si="1"/>
        <v>2.2159565555729014E-2</v>
      </c>
      <c r="L10" s="128"/>
      <c r="M10" s="108"/>
      <c r="N10" s="108"/>
      <c r="O10" s="108"/>
      <c r="P10" s="108"/>
      <c r="Q10" s="148"/>
    </row>
    <row r="11" spans="1:17" ht="15.75">
      <c r="A11" s="510" t="s">
        <v>568</v>
      </c>
      <c r="B11" s="371">
        <v>981</v>
      </c>
      <c r="C11" s="371">
        <v>2357</v>
      </c>
      <c r="D11" s="371">
        <v>1498</v>
      </c>
      <c r="E11" s="371">
        <v>1681</v>
      </c>
      <c r="F11" s="371">
        <v>1557</v>
      </c>
      <c r="G11" s="371">
        <v>1157</v>
      </c>
      <c r="H11" s="371">
        <v>641</v>
      </c>
      <c r="I11" s="371">
        <v>413</v>
      </c>
      <c r="J11" s="371">
        <f t="shared" si="0"/>
        <v>10285</v>
      </c>
      <c r="K11" s="475">
        <f t="shared" si="1"/>
        <v>4.0855271442264566E-3</v>
      </c>
      <c r="L11" s="128"/>
      <c r="M11" s="108"/>
      <c r="N11" s="108"/>
      <c r="O11" s="108"/>
      <c r="P11" s="108"/>
      <c r="Q11" s="148"/>
    </row>
    <row r="12" spans="1:17" ht="15.75">
      <c r="A12" s="510" t="s">
        <v>892</v>
      </c>
      <c r="B12" s="371">
        <v>571</v>
      </c>
      <c r="C12" s="371">
        <v>1656</v>
      </c>
      <c r="D12" s="371">
        <v>1064</v>
      </c>
      <c r="E12" s="371">
        <v>1221</v>
      </c>
      <c r="F12" s="371">
        <v>999</v>
      </c>
      <c r="G12" s="371">
        <v>873</v>
      </c>
      <c r="H12" s="371">
        <v>539</v>
      </c>
      <c r="I12" s="371">
        <v>318</v>
      </c>
      <c r="J12" s="371">
        <f t="shared" si="0"/>
        <v>7241</v>
      </c>
      <c r="K12" s="475">
        <f t="shared" si="1"/>
        <v>2.8763541129162638E-3</v>
      </c>
      <c r="L12" s="128"/>
      <c r="M12" s="108"/>
      <c r="N12" s="108"/>
      <c r="O12" s="108"/>
      <c r="P12" s="108"/>
      <c r="Q12" s="148"/>
    </row>
    <row r="13" spans="1:17" ht="15.75">
      <c r="A13" s="522" t="s">
        <v>567</v>
      </c>
      <c r="B13" s="371">
        <v>3975</v>
      </c>
      <c r="C13" s="371">
        <v>9872</v>
      </c>
      <c r="D13" s="371">
        <v>5956</v>
      </c>
      <c r="E13" s="371">
        <v>7466</v>
      </c>
      <c r="F13" s="371">
        <v>6450</v>
      </c>
      <c r="G13" s="371">
        <v>4731</v>
      </c>
      <c r="H13" s="371">
        <v>2538</v>
      </c>
      <c r="I13" s="371">
        <v>1747</v>
      </c>
      <c r="J13" s="371">
        <f t="shared" si="0"/>
        <v>42735</v>
      </c>
      <c r="K13" s="475">
        <f t="shared" si="1"/>
        <v>1.6975693000342018E-2</v>
      </c>
      <c r="L13" s="128"/>
      <c r="M13" s="13"/>
      <c r="N13" s="13"/>
      <c r="O13" s="13"/>
      <c r="P13" s="13"/>
      <c r="Q13" s="128"/>
    </row>
    <row r="14" spans="1:17" ht="15.75">
      <c r="A14" s="510" t="s">
        <v>893</v>
      </c>
      <c r="B14" s="371">
        <v>1221</v>
      </c>
      <c r="C14" s="371">
        <v>2797</v>
      </c>
      <c r="D14" s="371">
        <v>1679</v>
      </c>
      <c r="E14" s="371">
        <v>2108</v>
      </c>
      <c r="F14" s="371">
        <v>1948</v>
      </c>
      <c r="G14" s="371">
        <v>1565</v>
      </c>
      <c r="H14" s="371">
        <v>814</v>
      </c>
      <c r="I14" s="371">
        <v>490</v>
      </c>
      <c r="J14" s="371">
        <f t="shared" si="0"/>
        <v>12622</v>
      </c>
      <c r="K14" s="475">
        <f t="shared" si="1"/>
        <v>5.013857424834841E-3</v>
      </c>
      <c r="L14" s="128"/>
      <c r="M14" s="13"/>
      <c r="N14" s="13"/>
      <c r="O14" s="13"/>
      <c r="P14" s="13"/>
      <c r="Q14" s="128"/>
    </row>
    <row r="15" spans="1:17" ht="15.75">
      <c r="A15" s="510" t="s">
        <v>565</v>
      </c>
      <c r="B15" s="371">
        <v>583</v>
      </c>
      <c r="C15" s="371">
        <v>1949</v>
      </c>
      <c r="D15" s="371">
        <v>1048</v>
      </c>
      <c r="E15" s="371">
        <v>898</v>
      </c>
      <c r="F15" s="371">
        <v>1169</v>
      </c>
      <c r="G15" s="371">
        <v>1019</v>
      </c>
      <c r="H15" s="371">
        <v>595</v>
      </c>
      <c r="I15" s="371">
        <v>356</v>
      </c>
      <c r="J15" s="371">
        <f t="shared" si="0"/>
        <v>7617</v>
      </c>
      <c r="K15" s="475">
        <f t="shared" si="1"/>
        <v>3.0257131995695598E-3</v>
      </c>
      <c r="L15" s="128"/>
      <c r="M15" s="13"/>
      <c r="N15" s="13"/>
      <c r="O15" s="13"/>
      <c r="P15" s="13"/>
      <c r="Q15" s="128"/>
    </row>
    <row r="16" spans="1:17" ht="15.75">
      <c r="A16" s="510" t="s">
        <v>564</v>
      </c>
      <c r="B16" s="371">
        <v>7375</v>
      </c>
      <c r="C16" s="371">
        <v>16534</v>
      </c>
      <c r="D16" s="371">
        <v>9937</v>
      </c>
      <c r="E16" s="371">
        <v>11756</v>
      </c>
      <c r="F16" s="371">
        <v>10443</v>
      </c>
      <c r="G16" s="371">
        <v>7104</v>
      </c>
      <c r="H16" s="371">
        <v>3702</v>
      </c>
      <c r="I16" s="371">
        <v>1584</v>
      </c>
      <c r="J16" s="371">
        <f t="shared" si="0"/>
        <v>68435</v>
      </c>
      <c r="K16" s="475">
        <f t="shared" si="1"/>
        <v>2.7184545465740163E-2</v>
      </c>
      <c r="L16" s="128"/>
      <c r="M16" s="13"/>
      <c r="N16" s="13"/>
      <c r="O16" s="13"/>
      <c r="P16" s="13"/>
      <c r="Q16" s="128"/>
    </row>
    <row r="17" spans="1:17" ht="15.75">
      <c r="A17" s="510" t="s">
        <v>894</v>
      </c>
      <c r="B17" s="371">
        <v>7388</v>
      </c>
      <c r="C17" s="371">
        <v>15818</v>
      </c>
      <c r="D17" s="371">
        <v>9702</v>
      </c>
      <c r="E17" s="371">
        <v>11332</v>
      </c>
      <c r="F17" s="371">
        <v>10533</v>
      </c>
      <c r="G17" s="371">
        <v>7540</v>
      </c>
      <c r="H17" s="371">
        <v>3723</v>
      </c>
      <c r="I17" s="371">
        <v>2772</v>
      </c>
      <c r="J17" s="371">
        <f t="shared" si="0"/>
        <v>68808</v>
      </c>
      <c r="K17" s="475">
        <f t="shared" si="1"/>
        <v>2.7332712857553142E-2</v>
      </c>
      <c r="L17" s="128"/>
      <c r="M17" s="13"/>
      <c r="N17" s="13"/>
      <c r="O17" s="13"/>
      <c r="P17" s="13"/>
      <c r="Q17" s="128"/>
    </row>
    <row r="18" spans="1:17" ht="15.75">
      <c r="A18" s="522" t="s">
        <v>562</v>
      </c>
      <c r="B18" s="371">
        <v>1967</v>
      </c>
      <c r="C18" s="371">
        <v>4441</v>
      </c>
      <c r="D18" s="371">
        <v>2669</v>
      </c>
      <c r="E18" s="371">
        <v>2889</v>
      </c>
      <c r="F18" s="371">
        <v>2655</v>
      </c>
      <c r="G18" s="371">
        <v>2199</v>
      </c>
      <c r="H18" s="371">
        <v>1283</v>
      </c>
      <c r="I18" s="371">
        <v>747</v>
      </c>
      <c r="J18" s="371">
        <f t="shared" si="0"/>
        <v>18850</v>
      </c>
      <c r="K18" s="475">
        <f t="shared" si="1"/>
        <v>7.4878159133367735E-3</v>
      </c>
      <c r="L18" s="128"/>
      <c r="M18" s="13"/>
      <c r="N18" s="13"/>
      <c r="O18" s="13"/>
      <c r="P18" s="13"/>
      <c r="Q18" s="128"/>
    </row>
    <row r="19" spans="1:17" ht="15.75">
      <c r="A19" s="510" t="s">
        <v>561</v>
      </c>
      <c r="B19" s="371">
        <v>3975</v>
      </c>
      <c r="C19" s="371">
        <v>9181</v>
      </c>
      <c r="D19" s="371">
        <v>4962</v>
      </c>
      <c r="E19" s="371">
        <v>5585</v>
      </c>
      <c r="F19" s="371">
        <v>4996</v>
      </c>
      <c r="G19" s="371">
        <v>3338</v>
      </c>
      <c r="H19" s="371">
        <v>1799</v>
      </c>
      <c r="I19" s="371">
        <v>978</v>
      </c>
      <c r="J19" s="371">
        <f t="shared" si="0"/>
        <v>34814</v>
      </c>
      <c r="K19" s="475">
        <f t="shared" si="1"/>
        <v>1.3829221390286812E-2</v>
      </c>
      <c r="L19" s="13"/>
      <c r="M19" s="13"/>
      <c r="N19" s="13"/>
      <c r="O19" s="13"/>
      <c r="P19" s="13"/>
      <c r="Q19" s="128"/>
    </row>
    <row r="20" spans="1:17" ht="15.75">
      <c r="A20" s="522" t="s">
        <v>559</v>
      </c>
      <c r="B20" s="371">
        <v>1146</v>
      </c>
      <c r="C20" s="371">
        <v>3055</v>
      </c>
      <c r="D20" s="371">
        <v>1985</v>
      </c>
      <c r="E20" s="371">
        <v>2020</v>
      </c>
      <c r="F20" s="371">
        <v>2132</v>
      </c>
      <c r="G20" s="371">
        <v>1961</v>
      </c>
      <c r="H20" s="371">
        <v>1169</v>
      </c>
      <c r="I20" s="371">
        <v>802</v>
      </c>
      <c r="J20" s="371">
        <f t="shared" si="0"/>
        <v>14270</v>
      </c>
      <c r="K20" s="475">
        <f t="shared" si="1"/>
        <v>5.668495123783329E-3</v>
      </c>
      <c r="L20" s="13"/>
      <c r="M20" s="13"/>
      <c r="N20" s="13"/>
      <c r="O20" s="13"/>
      <c r="P20" s="13"/>
      <c r="Q20" s="128"/>
    </row>
    <row r="21" spans="1:17" ht="15.75">
      <c r="A21" s="510" t="s">
        <v>560</v>
      </c>
      <c r="B21" s="371">
        <v>1631</v>
      </c>
      <c r="C21" s="371">
        <v>4998</v>
      </c>
      <c r="D21" s="371">
        <v>3223</v>
      </c>
      <c r="E21" s="371">
        <v>3065</v>
      </c>
      <c r="F21" s="371">
        <v>3361</v>
      </c>
      <c r="G21" s="371">
        <v>2599</v>
      </c>
      <c r="H21" s="371">
        <v>1317</v>
      </c>
      <c r="I21" s="371">
        <v>685</v>
      </c>
      <c r="J21" s="371">
        <f t="shared" si="0"/>
        <v>20879</v>
      </c>
      <c r="K21" s="475">
        <f t="shared" si="1"/>
        <v>8.2937988570057561E-3</v>
      </c>
      <c r="L21" s="128"/>
      <c r="M21" s="128"/>
      <c r="N21" s="128"/>
      <c r="O21" s="128"/>
      <c r="P21" s="128"/>
      <c r="Q21" s="128"/>
    </row>
    <row r="22" spans="1:17" ht="15.75">
      <c r="A22" s="510" t="s">
        <v>895</v>
      </c>
      <c r="B22" s="371">
        <v>272</v>
      </c>
      <c r="C22" s="371">
        <v>837</v>
      </c>
      <c r="D22" s="371">
        <v>511</v>
      </c>
      <c r="E22" s="371">
        <v>500</v>
      </c>
      <c r="F22" s="371">
        <v>489</v>
      </c>
      <c r="G22" s="371">
        <v>388</v>
      </c>
      <c r="H22" s="371">
        <v>190</v>
      </c>
      <c r="I22" s="371">
        <v>120</v>
      </c>
      <c r="J22" s="371">
        <f t="shared" si="0"/>
        <v>3307</v>
      </c>
      <c r="K22" s="475">
        <f t="shared" si="1"/>
        <v>1.3136449456448121E-3</v>
      </c>
      <c r="L22" s="128"/>
      <c r="M22" s="128"/>
      <c r="N22" s="128"/>
      <c r="O22" s="128"/>
      <c r="P22" s="128"/>
      <c r="Q22" s="128"/>
    </row>
    <row r="23" spans="1:17" ht="15.75">
      <c r="A23" s="510" t="s">
        <v>557</v>
      </c>
      <c r="B23" s="371">
        <v>2135</v>
      </c>
      <c r="C23" s="371">
        <v>5581</v>
      </c>
      <c r="D23" s="371">
        <v>3254</v>
      </c>
      <c r="E23" s="371">
        <v>3169</v>
      </c>
      <c r="F23" s="371">
        <v>3573</v>
      </c>
      <c r="G23" s="371">
        <v>2948</v>
      </c>
      <c r="H23" s="371">
        <v>1630</v>
      </c>
      <c r="I23" s="371">
        <v>1118</v>
      </c>
      <c r="J23" s="371">
        <f t="shared" si="0"/>
        <v>23408</v>
      </c>
      <c r="K23" s="475">
        <f t="shared" si="1"/>
        <v>9.298397607394546E-3</v>
      </c>
      <c r="L23" s="128"/>
      <c r="M23" s="128"/>
      <c r="N23" s="128"/>
      <c r="O23" s="128"/>
      <c r="P23" s="128"/>
      <c r="Q23" s="128"/>
    </row>
    <row r="24" spans="1:17" ht="15.75">
      <c r="A24" s="510" t="s">
        <v>556</v>
      </c>
      <c r="B24" s="371">
        <v>5544</v>
      </c>
      <c r="C24" s="371">
        <v>12317</v>
      </c>
      <c r="D24" s="371">
        <v>7585</v>
      </c>
      <c r="E24" s="371">
        <v>9559</v>
      </c>
      <c r="F24" s="371">
        <v>9745</v>
      </c>
      <c r="G24" s="371">
        <v>6850</v>
      </c>
      <c r="H24" s="371">
        <v>3462</v>
      </c>
      <c r="I24" s="371">
        <v>2169</v>
      </c>
      <c r="J24" s="371">
        <f t="shared" si="0"/>
        <v>57231</v>
      </c>
      <c r="K24" s="475">
        <f t="shared" si="1"/>
        <v>2.2733962468762699E-2</v>
      </c>
      <c r="L24" s="128"/>
      <c r="M24" s="128"/>
      <c r="N24" s="128"/>
      <c r="O24" s="128"/>
      <c r="P24" s="128"/>
      <c r="Q24" s="128"/>
    </row>
    <row r="25" spans="1:17" ht="15.75">
      <c r="A25" s="510" t="s">
        <v>896</v>
      </c>
      <c r="B25" s="371">
        <v>1586</v>
      </c>
      <c r="C25" s="371">
        <v>4186</v>
      </c>
      <c r="D25" s="371">
        <v>2331</v>
      </c>
      <c r="E25" s="371">
        <v>2434</v>
      </c>
      <c r="F25" s="371">
        <v>2590</v>
      </c>
      <c r="G25" s="371">
        <v>2266</v>
      </c>
      <c r="H25" s="371">
        <v>1169</v>
      </c>
      <c r="I25" s="371">
        <v>849</v>
      </c>
      <c r="J25" s="371">
        <f t="shared" si="0"/>
        <v>17411</v>
      </c>
      <c r="K25" s="475">
        <f t="shared" si="1"/>
        <v>6.9161996215971648E-3</v>
      </c>
      <c r="L25" s="128"/>
      <c r="M25" s="128" t="s">
        <v>899</v>
      </c>
      <c r="N25" s="128"/>
      <c r="O25" s="128"/>
      <c r="P25" s="128"/>
      <c r="Q25" s="128"/>
    </row>
    <row r="26" spans="1:17" ht="15.75">
      <c r="A26" s="510" t="s">
        <v>554</v>
      </c>
      <c r="B26" s="371">
        <v>983</v>
      </c>
      <c r="C26" s="371">
        <v>2427</v>
      </c>
      <c r="D26" s="371">
        <v>1411</v>
      </c>
      <c r="E26" s="371">
        <v>1588</v>
      </c>
      <c r="F26" s="371">
        <v>1559</v>
      </c>
      <c r="G26" s="371">
        <v>1358</v>
      </c>
      <c r="H26" s="371">
        <v>644</v>
      </c>
      <c r="I26" s="371">
        <v>373</v>
      </c>
      <c r="J26" s="371">
        <f t="shared" si="0"/>
        <v>10343</v>
      </c>
      <c r="K26" s="475">
        <f t="shared" si="1"/>
        <v>4.1085665778059551E-3</v>
      </c>
      <c r="L26" s="128"/>
      <c r="M26" s="128"/>
      <c r="N26" s="128"/>
      <c r="O26" s="128"/>
      <c r="P26" s="128"/>
      <c r="Q26" s="128"/>
    </row>
    <row r="27" spans="1:17" ht="15.75">
      <c r="A27" s="510" t="s">
        <v>553</v>
      </c>
      <c r="B27" s="371">
        <v>9824</v>
      </c>
      <c r="C27" s="371">
        <v>22413</v>
      </c>
      <c r="D27" s="371">
        <v>14624</v>
      </c>
      <c r="E27" s="371">
        <v>15863</v>
      </c>
      <c r="F27" s="371">
        <v>13520</v>
      </c>
      <c r="G27" s="371">
        <v>10067</v>
      </c>
      <c r="H27" s="371">
        <v>4881</v>
      </c>
      <c r="I27" s="371">
        <v>2500</v>
      </c>
      <c r="J27" s="371">
        <f t="shared" si="0"/>
        <v>93692</v>
      </c>
      <c r="K27" s="475">
        <f t="shared" si="1"/>
        <v>3.7217424326384564E-2</v>
      </c>
      <c r="L27" s="128"/>
      <c r="M27" s="128"/>
      <c r="N27" s="128"/>
      <c r="O27" s="128"/>
      <c r="P27" s="128"/>
      <c r="Q27" s="128"/>
    </row>
    <row r="28" spans="1:17" ht="15.75">
      <c r="A28" s="510" t="s">
        <v>897</v>
      </c>
      <c r="B28" s="371">
        <v>3446</v>
      </c>
      <c r="C28" s="371">
        <v>8406</v>
      </c>
      <c r="D28" s="371">
        <v>5657</v>
      </c>
      <c r="E28" s="371">
        <v>5264</v>
      </c>
      <c r="F28" s="371">
        <v>4829</v>
      </c>
      <c r="G28" s="371">
        <v>4070</v>
      </c>
      <c r="H28" s="371">
        <v>2454</v>
      </c>
      <c r="I28" s="371">
        <v>1532</v>
      </c>
      <c r="J28" s="371">
        <f t="shared" si="0"/>
        <v>35658</v>
      </c>
      <c r="K28" s="475">
        <f t="shared" si="1"/>
        <v>1.4164484872029849E-2</v>
      </c>
      <c r="L28" s="128"/>
      <c r="M28" s="128"/>
      <c r="N28" s="128"/>
      <c r="O28" s="128"/>
      <c r="P28" s="128"/>
      <c r="Q28" s="128"/>
    </row>
    <row r="29" spans="1:17" ht="15.75">
      <c r="A29" s="510" t="s">
        <v>550</v>
      </c>
      <c r="B29" s="371">
        <v>7367</v>
      </c>
      <c r="C29" s="371">
        <v>14908</v>
      </c>
      <c r="D29" s="371">
        <v>8117</v>
      </c>
      <c r="E29" s="371">
        <v>9791</v>
      </c>
      <c r="F29" s="371">
        <v>10364</v>
      </c>
      <c r="G29" s="371">
        <v>7040</v>
      </c>
      <c r="H29" s="371">
        <v>3225</v>
      </c>
      <c r="I29" s="371">
        <v>1643</v>
      </c>
      <c r="J29" s="371">
        <f t="shared" si="0"/>
        <v>62455</v>
      </c>
      <c r="K29" s="475">
        <f t="shared" si="1"/>
        <v>2.4809100417371256E-2</v>
      </c>
      <c r="L29" s="128"/>
      <c r="M29" s="128"/>
      <c r="N29" s="128"/>
      <c r="O29" s="128"/>
      <c r="P29" s="128"/>
      <c r="Q29" s="128"/>
    </row>
    <row r="30" spans="1:17" ht="15.75">
      <c r="A30" s="510" t="s">
        <v>549</v>
      </c>
      <c r="B30" s="371">
        <v>2418</v>
      </c>
      <c r="C30" s="371">
        <v>6289</v>
      </c>
      <c r="D30" s="371">
        <v>3803</v>
      </c>
      <c r="E30" s="371">
        <v>3972</v>
      </c>
      <c r="F30" s="371">
        <v>3869</v>
      </c>
      <c r="G30" s="371">
        <v>3082</v>
      </c>
      <c r="H30" s="371">
        <v>1647</v>
      </c>
      <c r="I30" s="371">
        <v>958</v>
      </c>
      <c r="J30" s="371">
        <f t="shared" si="0"/>
        <v>26038</v>
      </c>
      <c r="K30" s="475">
        <f t="shared" si="1"/>
        <v>1.0343116750740738E-2</v>
      </c>
      <c r="L30" s="128"/>
      <c r="M30" s="128"/>
      <c r="N30" s="128"/>
      <c r="O30" s="128"/>
      <c r="P30" s="128"/>
      <c r="Q30" s="128"/>
    </row>
    <row r="31" spans="1:17" ht="15.75">
      <c r="A31" s="510" t="s">
        <v>548</v>
      </c>
      <c r="B31" s="371">
        <v>27705</v>
      </c>
      <c r="C31" s="371">
        <v>60969</v>
      </c>
      <c r="D31" s="371">
        <v>35162</v>
      </c>
      <c r="E31" s="371">
        <v>43545</v>
      </c>
      <c r="F31" s="371">
        <v>38867</v>
      </c>
      <c r="G31" s="371">
        <v>25346</v>
      </c>
      <c r="H31" s="371">
        <v>13373</v>
      </c>
      <c r="I31" s="371">
        <v>8304</v>
      </c>
      <c r="J31" s="371">
        <f t="shared" si="0"/>
        <v>253271</v>
      </c>
      <c r="K31" s="475">
        <f t="shared" si="1"/>
        <v>0.10060724796746515</v>
      </c>
      <c r="L31" s="128"/>
      <c r="M31" s="128"/>
      <c r="N31" s="128"/>
      <c r="O31" s="128"/>
      <c r="P31" s="128"/>
      <c r="Q31" s="128"/>
    </row>
    <row r="32" spans="1:17" ht="15.75">
      <c r="A32" s="510" t="s">
        <v>547</v>
      </c>
      <c r="B32" s="371">
        <v>1074</v>
      </c>
      <c r="C32" s="371">
        <v>2200</v>
      </c>
      <c r="D32" s="371">
        <v>1333</v>
      </c>
      <c r="E32" s="371">
        <v>1419</v>
      </c>
      <c r="F32" s="371">
        <v>1455</v>
      </c>
      <c r="G32" s="371">
        <v>1181</v>
      </c>
      <c r="H32" s="371">
        <v>717</v>
      </c>
      <c r="I32" s="371">
        <v>509</v>
      </c>
      <c r="J32" s="371">
        <f t="shared" si="0"/>
        <v>9888</v>
      </c>
      <c r="K32" s="475">
        <f t="shared" si="1"/>
        <v>3.9278261936909293E-3</v>
      </c>
      <c r="L32" s="128"/>
      <c r="M32" s="128"/>
      <c r="N32" s="128"/>
      <c r="O32" s="128"/>
      <c r="P32" s="128"/>
      <c r="Q32" s="128"/>
    </row>
    <row r="33" spans="1:17" ht="15.75">
      <c r="A33" s="510" t="s">
        <v>546</v>
      </c>
      <c r="B33" s="371">
        <v>2752</v>
      </c>
      <c r="C33" s="371">
        <v>6713</v>
      </c>
      <c r="D33" s="371">
        <v>3986</v>
      </c>
      <c r="E33" s="371">
        <v>4225</v>
      </c>
      <c r="F33" s="371">
        <v>4169</v>
      </c>
      <c r="G33" s="371">
        <v>3217</v>
      </c>
      <c r="H33" s="371">
        <v>1743</v>
      </c>
      <c r="I33" s="371">
        <v>1268</v>
      </c>
      <c r="J33" s="371">
        <f t="shared" si="0"/>
        <v>28073</v>
      </c>
      <c r="K33" s="475">
        <f t="shared" si="1"/>
        <v>1.1151483084090358E-2</v>
      </c>
      <c r="L33" s="128"/>
      <c r="M33" s="128"/>
      <c r="N33" s="128"/>
      <c r="O33" s="128"/>
      <c r="P33" s="128"/>
      <c r="Q33" s="128"/>
    </row>
    <row r="34" spans="1:17" ht="15.75">
      <c r="A34" s="510" t="s">
        <v>552</v>
      </c>
      <c r="B34" s="371">
        <v>604</v>
      </c>
      <c r="C34" s="371">
        <v>1896</v>
      </c>
      <c r="D34" s="371">
        <v>1217</v>
      </c>
      <c r="E34" s="371">
        <v>1041</v>
      </c>
      <c r="F34" s="371">
        <v>1276</v>
      </c>
      <c r="G34" s="371">
        <v>1060</v>
      </c>
      <c r="H34" s="371">
        <v>504</v>
      </c>
      <c r="I34" s="371">
        <v>306</v>
      </c>
      <c r="J34" s="371">
        <f t="shared" si="0"/>
        <v>7904</v>
      </c>
      <c r="K34" s="475">
        <f t="shared" si="1"/>
        <v>3.1397186726267296E-3</v>
      </c>
      <c r="L34" s="128"/>
      <c r="M34" s="128"/>
      <c r="N34" s="128"/>
      <c r="O34" s="128"/>
      <c r="P34" s="128"/>
      <c r="Q34" s="128"/>
    </row>
    <row r="35" spans="1:17" ht="15.75">
      <c r="A35" s="510" t="s">
        <v>156</v>
      </c>
      <c r="B35" s="371">
        <v>25012</v>
      </c>
      <c r="C35" s="371">
        <v>37130</v>
      </c>
      <c r="D35" s="371">
        <v>36264</v>
      </c>
      <c r="E35" s="371">
        <v>33059</v>
      </c>
      <c r="F35" s="371">
        <v>22659</v>
      </c>
      <c r="G35" s="371">
        <v>16632</v>
      </c>
      <c r="H35" s="371">
        <v>9290</v>
      </c>
      <c r="I35" s="371">
        <v>5227</v>
      </c>
      <c r="J35" s="371">
        <f t="shared" si="0"/>
        <v>185273</v>
      </c>
      <c r="K35" s="475">
        <f t="shared" si="1"/>
        <v>7.3596292716798087E-2</v>
      </c>
      <c r="L35" s="128"/>
      <c r="M35" s="128"/>
      <c r="N35" s="128"/>
      <c r="O35" s="128"/>
      <c r="P35" s="128"/>
      <c r="Q35" s="128"/>
    </row>
    <row r="36" spans="1:17" ht="15.75">
      <c r="A36" s="510" t="s">
        <v>580</v>
      </c>
      <c r="B36" s="371">
        <v>9940</v>
      </c>
      <c r="C36" s="371">
        <v>26568</v>
      </c>
      <c r="D36" s="371">
        <v>88538</v>
      </c>
      <c r="E36" s="371">
        <v>131222</v>
      </c>
      <c r="F36" s="371">
        <v>82802</v>
      </c>
      <c r="G36" s="371">
        <v>49388</v>
      </c>
      <c r="H36" s="371">
        <v>25363</v>
      </c>
      <c r="I36" s="371">
        <v>17558</v>
      </c>
      <c r="J36" s="371">
        <f t="shared" si="0"/>
        <v>431379</v>
      </c>
      <c r="K36" s="475">
        <f t="shared" si="1"/>
        <v>0.17135737617396837</v>
      </c>
      <c r="L36" s="128"/>
      <c r="M36" s="128"/>
      <c r="N36" s="128"/>
      <c r="O36" s="128"/>
      <c r="P36" s="128"/>
      <c r="Q36" s="128"/>
    </row>
    <row r="37" spans="1:17" ht="18" customHeight="1">
      <c r="A37" s="601" t="s">
        <v>23</v>
      </c>
      <c r="B37" s="602">
        <v>222037</v>
      </c>
      <c r="C37" s="602">
        <v>491371</v>
      </c>
      <c r="D37" s="602">
        <v>384232</v>
      </c>
      <c r="E37" s="602">
        <v>476334</v>
      </c>
      <c r="F37" s="602">
        <v>402593</v>
      </c>
      <c r="G37" s="602">
        <v>288199</v>
      </c>
      <c r="H37" s="602">
        <v>157435</v>
      </c>
      <c r="I37" s="602">
        <v>95222</v>
      </c>
      <c r="J37" s="602">
        <f>SUM(B37:I37)</f>
        <v>2517423</v>
      </c>
      <c r="K37" s="603">
        <f>SUM(K4:K36)</f>
        <v>1</v>
      </c>
      <c r="L37" s="128"/>
      <c r="M37" s="128"/>
      <c r="N37" s="128"/>
      <c r="O37" s="128"/>
      <c r="P37" s="128"/>
      <c r="Q37" s="128"/>
    </row>
    <row r="38" spans="1:17" ht="15.75">
      <c r="A38" s="601" t="s">
        <v>867</v>
      </c>
      <c r="B38" s="603">
        <f>B37/$J$37</f>
        <v>8.820011575329216E-2</v>
      </c>
      <c r="C38" s="603">
        <f t="shared" ref="C38:J38" si="2">C37/$J$37</f>
        <v>0.19518809512743787</v>
      </c>
      <c r="D38" s="603">
        <f t="shared" si="2"/>
        <v>0.15262909729513077</v>
      </c>
      <c r="E38" s="603">
        <f t="shared" si="2"/>
        <v>0.18921492335614634</v>
      </c>
      <c r="F38" s="603">
        <f t="shared" si="2"/>
        <v>0.15992266694949558</v>
      </c>
      <c r="G38" s="603">
        <f t="shared" si="2"/>
        <v>0.11448175376168407</v>
      </c>
      <c r="H38" s="603">
        <f t="shared" si="2"/>
        <v>6.253815906186605E-2</v>
      </c>
      <c r="I38" s="603">
        <f t="shared" si="2"/>
        <v>3.7825188694947172E-2</v>
      </c>
      <c r="J38" s="603">
        <f t="shared" si="2"/>
        <v>1</v>
      </c>
      <c r="K38" s="604"/>
      <c r="L38" s="128"/>
      <c r="M38" s="128"/>
      <c r="N38" s="128"/>
      <c r="O38" s="128"/>
      <c r="P38" s="128"/>
      <c r="Q38" s="128"/>
    </row>
    <row r="39" spans="1:17">
      <c r="A39" s="128"/>
      <c r="B39" s="128"/>
      <c r="C39" s="128"/>
      <c r="D39" s="128"/>
      <c r="E39" s="128"/>
      <c r="F39" s="128"/>
      <c r="G39" s="128"/>
      <c r="H39" s="128"/>
      <c r="I39" s="128"/>
      <c r="J39" s="128"/>
      <c r="K39" s="128"/>
      <c r="L39" s="128"/>
      <c r="M39" s="128"/>
      <c r="N39" s="128"/>
      <c r="O39" s="128"/>
      <c r="P39" s="128"/>
      <c r="Q39" s="128"/>
    </row>
    <row r="40" spans="1:17">
      <c r="A40" s="128"/>
      <c r="B40" s="128"/>
      <c r="C40" s="128"/>
      <c r="D40" s="128"/>
      <c r="E40" s="128"/>
      <c r="F40" s="128"/>
      <c r="G40" s="128"/>
      <c r="H40" s="128"/>
      <c r="I40" s="128"/>
      <c r="J40" s="128"/>
      <c r="K40" s="128"/>
      <c r="L40" s="128"/>
      <c r="M40" s="128"/>
      <c r="N40" s="128"/>
      <c r="O40" s="128"/>
      <c r="P40" s="128"/>
      <c r="Q40" s="128"/>
    </row>
    <row r="41" spans="1:17">
      <c r="A41" s="128"/>
      <c r="B41" s="128"/>
      <c r="C41" s="128"/>
      <c r="D41" s="128"/>
      <c r="E41" s="128"/>
      <c r="F41" s="128"/>
      <c r="G41" s="128"/>
      <c r="H41" s="128"/>
      <c r="I41" s="128"/>
      <c r="J41" s="128"/>
      <c r="K41" s="128"/>
      <c r="L41" s="128"/>
      <c r="M41" s="128"/>
      <c r="N41" s="128"/>
      <c r="O41" s="128"/>
      <c r="P41" s="128"/>
      <c r="Q41" s="128"/>
    </row>
    <row r="42" spans="1:17">
      <c r="A42" s="128"/>
      <c r="B42" s="128"/>
      <c r="C42" s="128"/>
      <c r="D42" s="128"/>
      <c r="E42" s="128"/>
      <c r="F42" s="128"/>
      <c r="G42" s="128"/>
      <c r="H42" s="128"/>
      <c r="I42" s="128"/>
      <c r="J42" s="128"/>
      <c r="K42" s="128"/>
      <c r="L42" s="128"/>
      <c r="M42" s="128"/>
      <c r="N42" s="128"/>
      <c r="O42" s="128"/>
      <c r="P42" s="128"/>
      <c r="Q42" s="128"/>
    </row>
    <row r="43" spans="1:17">
      <c r="A43" s="128"/>
      <c r="B43" s="128"/>
      <c r="C43" s="128"/>
      <c r="D43" s="128"/>
      <c r="E43" s="128"/>
      <c r="F43" s="128"/>
      <c r="G43" s="128"/>
      <c r="H43" s="128"/>
      <c r="I43" s="128"/>
      <c r="J43" s="128"/>
      <c r="K43" s="128"/>
      <c r="L43" s="128"/>
      <c r="M43" s="128"/>
      <c r="N43" s="128"/>
      <c r="O43" s="128"/>
      <c r="P43" s="128"/>
      <c r="Q43" s="128"/>
    </row>
    <row r="44" spans="1:17">
      <c r="A44" s="128"/>
      <c r="B44" s="128"/>
      <c r="C44" s="128"/>
      <c r="D44" s="128"/>
      <c r="E44" s="128"/>
      <c r="F44" s="128"/>
      <c r="G44" s="128"/>
      <c r="H44" s="128"/>
      <c r="I44" s="128"/>
      <c r="J44" s="128"/>
      <c r="K44" s="128"/>
      <c r="L44" s="128"/>
      <c r="M44" s="128"/>
      <c r="N44" s="128"/>
      <c r="O44" s="128"/>
      <c r="P44" s="128"/>
      <c r="Q44" s="128"/>
    </row>
    <row r="45" spans="1:17">
      <c r="A45" s="128"/>
      <c r="B45" s="128"/>
      <c r="C45" s="128"/>
      <c r="D45" s="128"/>
      <c r="E45" s="128"/>
      <c r="F45" s="128"/>
      <c r="G45" s="128"/>
      <c r="H45" s="128"/>
      <c r="I45" s="128"/>
      <c r="J45" s="128"/>
      <c r="K45" s="128"/>
      <c r="L45" s="128"/>
      <c r="M45" s="128"/>
      <c r="N45" s="128"/>
      <c r="O45" s="128"/>
      <c r="P45" s="128"/>
      <c r="Q45" s="128"/>
    </row>
    <row r="46" spans="1:17">
      <c r="A46" s="128"/>
      <c r="B46" s="128"/>
      <c r="C46" s="128"/>
      <c r="D46" s="128"/>
      <c r="E46" s="128"/>
      <c r="F46" s="128"/>
      <c r="G46" s="128"/>
      <c r="H46" s="128"/>
      <c r="I46" s="128"/>
      <c r="J46" s="128"/>
      <c r="K46" s="128"/>
      <c r="L46" s="128"/>
      <c r="M46" s="128"/>
      <c r="N46" s="128"/>
      <c r="O46" s="128"/>
      <c r="P46" s="128"/>
      <c r="Q46" s="128"/>
    </row>
    <row r="47" spans="1:17">
      <c r="A47" s="128"/>
      <c r="B47" s="128"/>
      <c r="C47" s="128"/>
      <c r="D47" s="128"/>
      <c r="E47" s="128"/>
      <c r="F47" s="128"/>
      <c r="G47" s="128"/>
      <c r="H47" s="128"/>
      <c r="I47" s="128"/>
      <c r="J47" s="128"/>
      <c r="K47" s="128"/>
      <c r="L47" s="128"/>
      <c r="M47" s="128"/>
      <c r="N47" s="128"/>
      <c r="O47" s="128"/>
      <c r="P47" s="128"/>
      <c r="Q47" s="128"/>
    </row>
    <row r="48" spans="1:17">
      <c r="A48" s="59"/>
      <c r="B48" s="59"/>
      <c r="C48" s="59"/>
      <c r="D48" s="59"/>
      <c r="E48" s="59"/>
      <c r="F48" s="59"/>
      <c r="G48" s="59"/>
      <c r="H48" s="59"/>
      <c r="I48" s="59"/>
      <c r="J48" s="59"/>
      <c r="K48" s="59"/>
      <c r="L48" s="59"/>
      <c r="M48" s="59"/>
      <c r="N48" s="59"/>
      <c r="O48" s="59"/>
      <c r="P48" s="59"/>
      <c r="Q48" s="59"/>
    </row>
    <row r="49" spans="1:17">
      <c r="A49" s="59"/>
      <c r="B49" s="59"/>
      <c r="C49" s="59"/>
      <c r="D49" s="59"/>
      <c r="E49" s="59"/>
      <c r="F49" s="59"/>
      <c r="G49" s="59"/>
      <c r="H49" s="59"/>
      <c r="I49" s="59"/>
      <c r="J49" s="59"/>
      <c r="K49" s="59"/>
      <c r="L49" s="59"/>
      <c r="M49" s="59"/>
      <c r="N49" s="59"/>
      <c r="O49" s="59"/>
      <c r="P49" s="59"/>
      <c r="Q49" s="59"/>
    </row>
    <row r="50" spans="1:17">
      <c r="A50" s="59"/>
      <c r="B50" s="59"/>
      <c r="C50" s="59"/>
      <c r="D50" s="59"/>
      <c r="E50" s="59"/>
      <c r="F50" s="59"/>
      <c r="G50" s="59"/>
      <c r="H50" s="59"/>
      <c r="I50" s="59"/>
      <c r="J50" s="59"/>
      <c r="K50" s="59"/>
      <c r="L50" s="59"/>
      <c r="M50" s="59"/>
      <c r="N50" s="59"/>
      <c r="O50" s="59"/>
      <c r="P50" s="59"/>
      <c r="Q50" s="59"/>
    </row>
    <row r="51" spans="1:17">
      <c r="A51" s="59"/>
      <c r="B51" s="59"/>
      <c r="C51" s="59"/>
      <c r="D51" s="59"/>
      <c r="E51" s="59"/>
      <c r="F51" s="59"/>
      <c r="G51" s="59"/>
      <c r="H51" s="59"/>
      <c r="I51" s="59"/>
      <c r="J51" s="59"/>
      <c r="K51" s="59"/>
      <c r="L51" s="59"/>
      <c r="M51" s="59"/>
      <c r="N51" s="59"/>
      <c r="O51" s="59"/>
      <c r="P51" s="59"/>
      <c r="Q51" s="59"/>
    </row>
    <row r="52" spans="1:17">
      <c r="A52" s="59"/>
      <c r="B52" s="59"/>
      <c r="C52" s="59"/>
      <c r="D52" s="59"/>
      <c r="E52" s="59"/>
      <c r="F52" s="59"/>
      <c r="G52" s="59"/>
      <c r="H52" s="59"/>
      <c r="I52" s="59"/>
      <c r="J52" s="59"/>
      <c r="K52" s="59"/>
      <c r="L52" s="59"/>
      <c r="M52" s="59"/>
      <c r="N52" s="59"/>
      <c r="O52" s="59"/>
      <c r="P52" s="59"/>
      <c r="Q52" s="59"/>
    </row>
    <row r="53" spans="1:17">
      <c r="A53" s="59"/>
      <c r="B53" s="59"/>
      <c r="C53" s="59"/>
      <c r="D53" s="59"/>
      <c r="E53" s="59"/>
      <c r="F53" s="59"/>
      <c r="G53" s="59"/>
      <c r="H53" s="59"/>
      <c r="I53" s="59"/>
      <c r="J53" s="59"/>
      <c r="K53" s="59"/>
      <c r="L53" s="59"/>
      <c r="M53" s="59"/>
      <c r="N53" s="59"/>
      <c r="O53" s="59"/>
      <c r="P53" s="59"/>
      <c r="Q53" s="59"/>
    </row>
    <row r="54" spans="1:17">
      <c r="A54" s="477"/>
      <c r="B54" s="477"/>
      <c r="C54" s="477"/>
      <c r="D54" s="477"/>
      <c r="E54" s="477"/>
      <c r="F54" s="477"/>
      <c r="G54" s="477"/>
      <c r="H54" s="477"/>
      <c r="I54" s="477"/>
      <c r="J54" s="477"/>
      <c r="K54" s="477"/>
      <c r="L54" s="477"/>
      <c r="M54" s="477"/>
      <c r="N54" s="477"/>
      <c r="O54" s="477"/>
      <c r="P54" s="477"/>
      <c r="Q54" s="477"/>
    </row>
  </sheetData>
  <mergeCells count="2">
    <mergeCell ref="A1:K1"/>
    <mergeCell ref="A2:K2"/>
  </mergeCells>
  <printOptions horizontalCentered="1"/>
  <pageMargins left="0.70866141732283472" right="0.70866141732283472" top="0.31496062992125984" bottom="0.74803149606299213" header="0.31496062992125984" footer="0.31496062992125984"/>
  <pageSetup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O68"/>
  <sheetViews>
    <sheetView showGridLines="0" view="pageBreakPreview" zoomScale="70" zoomScaleNormal="100" zoomScaleSheetLayoutView="70" workbookViewId="0">
      <selection sqref="A1:O1"/>
    </sheetView>
  </sheetViews>
  <sheetFormatPr baseColWidth="10" defaultColWidth="11.5703125" defaultRowHeight="15"/>
  <cols>
    <col min="1" max="1" width="32.28515625" customWidth="1"/>
    <col min="2" max="2" width="23.85546875" customWidth="1"/>
    <col min="3" max="3" width="24.28515625" customWidth="1"/>
    <col min="4" max="4" width="26.140625" customWidth="1"/>
    <col min="5" max="5" width="27.140625" customWidth="1"/>
    <col min="6" max="6" width="21.42578125" customWidth="1"/>
    <col min="7" max="7" width="21.28515625" customWidth="1"/>
  </cols>
  <sheetData>
    <row r="1" spans="1:15" ht="63.75" customHeight="1">
      <c r="A1" s="2296" t="s">
        <v>1278</v>
      </c>
      <c r="B1" s="2296"/>
      <c r="C1" s="2296"/>
      <c r="D1" s="2296"/>
      <c r="E1" s="2296"/>
      <c r="F1" s="2296"/>
      <c r="G1" s="2296"/>
      <c r="H1" s="2296"/>
      <c r="I1" s="2296"/>
      <c r="J1" s="2296"/>
      <c r="K1" s="2296"/>
      <c r="L1" s="2296"/>
      <c r="M1" s="2296"/>
      <c r="N1" s="2296"/>
      <c r="O1" s="2296"/>
    </row>
    <row r="2" spans="1:15" s="128" customFormat="1" ht="8.25" customHeight="1">
      <c r="A2" s="619"/>
      <c r="B2" s="619"/>
      <c r="C2" s="619"/>
      <c r="D2" s="619"/>
      <c r="E2" s="619"/>
      <c r="F2" s="619"/>
      <c r="G2" s="619"/>
      <c r="H2" s="619"/>
      <c r="I2" s="619"/>
      <c r="J2" s="619"/>
      <c r="K2" s="619"/>
      <c r="L2" s="619"/>
      <c r="M2" s="619"/>
      <c r="N2" s="619"/>
      <c r="O2" s="619"/>
    </row>
    <row r="3" spans="1:15" ht="37.5" customHeight="1">
      <c r="A3" s="969" t="s">
        <v>576</v>
      </c>
      <c r="B3" s="963" t="s">
        <v>869</v>
      </c>
      <c r="C3" s="964" t="s">
        <v>870</v>
      </c>
      <c r="D3" s="964" t="s">
        <v>871</v>
      </c>
      <c r="E3" s="964" t="s">
        <v>872</v>
      </c>
      <c r="F3" s="964" t="s">
        <v>167</v>
      </c>
      <c r="G3" s="964" t="s">
        <v>889</v>
      </c>
      <c r="H3" s="108"/>
      <c r="I3" s="108"/>
      <c r="J3" s="59"/>
      <c r="K3" s="59"/>
      <c r="L3" s="148"/>
      <c r="M3" s="148"/>
    </row>
    <row r="4" spans="1:15" ht="18.75">
      <c r="A4" s="970" t="s">
        <v>155</v>
      </c>
      <c r="B4" s="965">
        <v>538804</v>
      </c>
      <c r="C4" s="965">
        <v>147367</v>
      </c>
      <c r="D4" s="965">
        <v>97905</v>
      </c>
      <c r="E4" s="965">
        <v>6226</v>
      </c>
      <c r="F4" s="965">
        <f t="shared" ref="F4:F35" si="0">SUM(B4:E4)</f>
        <v>790302</v>
      </c>
      <c r="G4" s="966">
        <f t="shared" ref="G4:G36" si="1">F4/$F$37</f>
        <v>0.37885202804926454</v>
      </c>
      <c r="H4" s="59"/>
      <c r="I4" s="59"/>
      <c r="J4" s="59"/>
      <c r="K4" s="148"/>
      <c r="L4" s="148"/>
      <c r="M4" s="128"/>
    </row>
    <row r="5" spans="1:15" ht="18.75">
      <c r="A5" s="970" t="s">
        <v>548</v>
      </c>
      <c r="B5" s="965">
        <v>203447</v>
      </c>
      <c r="C5" s="965">
        <v>25685</v>
      </c>
      <c r="D5" s="965">
        <v>20467</v>
      </c>
      <c r="E5" s="965">
        <v>3672</v>
      </c>
      <c r="F5" s="965">
        <f t="shared" si="0"/>
        <v>253271</v>
      </c>
      <c r="G5" s="966">
        <f t="shared" si="1"/>
        <v>0.12141210827767775</v>
      </c>
      <c r="H5" s="59"/>
      <c r="I5" s="108"/>
      <c r="J5" s="128"/>
      <c r="K5" s="128"/>
      <c r="L5" s="148"/>
      <c r="M5" s="128"/>
    </row>
    <row r="6" spans="1:15" ht="18.75">
      <c r="A6" s="970" t="s">
        <v>156</v>
      </c>
      <c r="B6" s="965">
        <v>127398</v>
      </c>
      <c r="C6" s="965">
        <v>32849</v>
      </c>
      <c r="D6" s="965">
        <v>23232</v>
      </c>
      <c r="E6" s="965">
        <v>1794</v>
      </c>
      <c r="F6" s="965">
        <f t="shared" si="0"/>
        <v>185273</v>
      </c>
      <c r="G6" s="966">
        <f t="shared" si="1"/>
        <v>8.8815480402139171E-2</v>
      </c>
      <c r="H6" s="59"/>
      <c r="I6" s="108"/>
      <c r="J6" s="108"/>
      <c r="K6" s="128"/>
      <c r="L6" s="148"/>
      <c r="M6" s="128"/>
    </row>
    <row r="7" spans="1:15" ht="18.75">
      <c r="A7" s="970" t="s">
        <v>553</v>
      </c>
      <c r="B7" s="965">
        <v>67494</v>
      </c>
      <c r="C7" s="965">
        <v>17991</v>
      </c>
      <c r="D7" s="965">
        <v>7350</v>
      </c>
      <c r="E7" s="965">
        <v>857</v>
      </c>
      <c r="F7" s="965">
        <f t="shared" si="0"/>
        <v>93692</v>
      </c>
      <c r="G7" s="966">
        <f t="shared" si="1"/>
        <v>4.4913721858215835E-2</v>
      </c>
      <c r="H7" s="128"/>
      <c r="I7" s="108"/>
      <c r="J7" s="108"/>
      <c r="K7" s="128"/>
      <c r="L7" s="148"/>
      <c r="M7" s="128"/>
    </row>
    <row r="8" spans="1:15" ht="18.75">
      <c r="A8" s="970" t="s">
        <v>563</v>
      </c>
      <c r="B8" s="965">
        <v>48803</v>
      </c>
      <c r="C8" s="965">
        <v>15205</v>
      </c>
      <c r="D8" s="965">
        <v>4277</v>
      </c>
      <c r="E8" s="965">
        <v>523</v>
      </c>
      <c r="F8" s="965">
        <f t="shared" si="0"/>
        <v>68808</v>
      </c>
      <c r="G8" s="966">
        <f t="shared" si="1"/>
        <v>3.2984922657431963E-2</v>
      </c>
      <c r="H8" s="128"/>
      <c r="I8" s="108"/>
      <c r="J8" s="108"/>
      <c r="K8" s="128"/>
      <c r="L8" s="148"/>
      <c r="M8" s="128"/>
    </row>
    <row r="9" spans="1:15" ht="18.75">
      <c r="A9" s="970" t="s">
        <v>564</v>
      </c>
      <c r="B9" s="965">
        <v>61578</v>
      </c>
      <c r="C9" s="965">
        <v>3431</v>
      </c>
      <c r="D9" s="965">
        <v>2735</v>
      </c>
      <c r="E9" s="965">
        <v>691</v>
      </c>
      <c r="F9" s="965">
        <f t="shared" si="0"/>
        <v>68435</v>
      </c>
      <c r="G9" s="966">
        <f t="shared" si="1"/>
        <v>3.2806115307251429E-2</v>
      </c>
      <c r="H9" s="128"/>
      <c r="I9" s="108"/>
      <c r="J9" s="108"/>
      <c r="K9" s="128"/>
      <c r="L9" s="108"/>
      <c r="M9" s="148"/>
    </row>
    <row r="10" spans="1:15" ht="18.75">
      <c r="A10" s="970" t="s">
        <v>550</v>
      </c>
      <c r="B10" s="965">
        <v>49096</v>
      </c>
      <c r="C10" s="965">
        <v>8568</v>
      </c>
      <c r="D10" s="965">
        <v>4255</v>
      </c>
      <c r="E10" s="965">
        <v>536</v>
      </c>
      <c r="F10" s="965">
        <f t="shared" si="0"/>
        <v>62455</v>
      </c>
      <c r="G10" s="966">
        <f t="shared" si="1"/>
        <v>2.9939445189075591E-2</v>
      </c>
      <c r="H10" s="128"/>
      <c r="I10" s="108"/>
      <c r="J10" s="108"/>
      <c r="K10" s="128"/>
      <c r="L10" s="108"/>
      <c r="M10" s="148"/>
    </row>
    <row r="11" spans="1:15" ht="18.75">
      <c r="A11" s="970" t="s">
        <v>556</v>
      </c>
      <c r="B11" s="965">
        <v>43157</v>
      </c>
      <c r="C11" s="965">
        <v>8490</v>
      </c>
      <c r="D11" s="965">
        <v>4602</v>
      </c>
      <c r="E11" s="965">
        <v>982</v>
      </c>
      <c r="F11" s="965">
        <f t="shared" si="0"/>
        <v>57231</v>
      </c>
      <c r="G11" s="966">
        <f t="shared" si="1"/>
        <v>2.7435183534000242E-2</v>
      </c>
      <c r="H11" s="128"/>
      <c r="I11" s="108"/>
      <c r="J11" s="108"/>
      <c r="K11" s="128"/>
      <c r="L11" s="108"/>
      <c r="M11" s="148"/>
    </row>
    <row r="12" spans="1:15" ht="18.75">
      <c r="A12" s="970" t="s">
        <v>891</v>
      </c>
      <c r="B12" s="965">
        <v>32799</v>
      </c>
      <c r="C12" s="965">
        <v>15848</v>
      </c>
      <c r="D12" s="965">
        <v>6682</v>
      </c>
      <c r="E12" s="965">
        <v>456</v>
      </c>
      <c r="F12" s="965">
        <f t="shared" si="0"/>
        <v>55785</v>
      </c>
      <c r="G12" s="966">
        <f t="shared" si="1"/>
        <v>2.6742005441879463E-2</v>
      </c>
      <c r="H12" s="128"/>
      <c r="I12" s="13"/>
      <c r="J12" s="13"/>
      <c r="K12" s="128"/>
      <c r="L12" s="13"/>
      <c r="M12" s="128"/>
    </row>
    <row r="13" spans="1:15" ht="18.75">
      <c r="A13" s="970" t="s">
        <v>890</v>
      </c>
      <c r="B13" s="965">
        <v>39717</v>
      </c>
      <c r="C13" s="965">
        <v>3681</v>
      </c>
      <c r="D13" s="965">
        <v>924</v>
      </c>
      <c r="E13" s="965">
        <v>569</v>
      </c>
      <c r="F13" s="965">
        <f t="shared" si="0"/>
        <v>44891</v>
      </c>
      <c r="G13" s="966">
        <f t="shared" si="1"/>
        <v>2.1519680313550435E-2</v>
      </c>
      <c r="H13" s="128"/>
      <c r="I13" s="13"/>
      <c r="J13" s="13"/>
      <c r="K13" s="128"/>
      <c r="L13" s="13"/>
      <c r="M13" s="128"/>
    </row>
    <row r="14" spans="1:15" ht="18.75">
      <c r="A14" s="971" t="s">
        <v>567</v>
      </c>
      <c r="B14" s="965">
        <v>30162</v>
      </c>
      <c r="C14" s="965">
        <v>7230</v>
      </c>
      <c r="D14" s="965">
        <v>4767</v>
      </c>
      <c r="E14" s="965">
        <v>576</v>
      </c>
      <c r="F14" s="965">
        <f t="shared" si="0"/>
        <v>42735</v>
      </c>
      <c r="G14" s="966">
        <f t="shared" si="1"/>
        <v>2.0486145066930514E-2</v>
      </c>
      <c r="H14" s="128"/>
      <c r="I14" s="13"/>
      <c r="J14" s="13"/>
      <c r="K14" s="128"/>
      <c r="L14" s="13"/>
      <c r="M14" s="128"/>
    </row>
    <row r="15" spans="1:15" ht="18.75">
      <c r="A15" s="970" t="s">
        <v>897</v>
      </c>
      <c r="B15" s="965">
        <v>18001</v>
      </c>
      <c r="C15" s="965">
        <v>14215</v>
      </c>
      <c r="D15" s="965">
        <v>3164</v>
      </c>
      <c r="E15" s="965">
        <v>278</v>
      </c>
      <c r="F15" s="965">
        <f t="shared" si="0"/>
        <v>35658</v>
      </c>
      <c r="G15" s="966">
        <f t="shared" si="1"/>
        <v>1.7093599176239812E-2</v>
      </c>
      <c r="H15" s="128"/>
      <c r="I15" s="13"/>
      <c r="J15" s="13"/>
      <c r="K15" s="128"/>
      <c r="L15" s="13"/>
      <c r="M15" s="128"/>
    </row>
    <row r="16" spans="1:15" ht="18.75">
      <c r="A16" s="970" t="s">
        <v>561</v>
      </c>
      <c r="B16" s="965">
        <v>25429</v>
      </c>
      <c r="C16" s="965">
        <v>6720</v>
      </c>
      <c r="D16" s="965">
        <v>2322</v>
      </c>
      <c r="E16" s="965">
        <v>343</v>
      </c>
      <c r="F16" s="965">
        <f t="shared" si="0"/>
        <v>34814</v>
      </c>
      <c r="G16" s="966">
        <f t="shared" si="1"/>
        <v>1.6689005601032383E-2</v>
      </c>
      <c r="H16" s="128"/>
      <c r="I16" s="13"/>
      <c r="J16" s="13"/>
      <c r="K16" s="128"/>
      <c r="L16" s="13"/>
      <c r="M16" s="128"/>
    </row>
    <row r="17" spans="1:13" ht="18.75">
      <c r="A17" s="970" t="s">
        <v>571</v>
      </c>
      <c r="B17" s="965">
        <v>12752</v>
      </c>
      <c r="C17" s="965">
        <v>11933</v>
      </c>
      <c r="D17" s="965">
        <v>3228</v>
      </c>
      <c r="E17" s="965">
        <v>174</v>
      </c>
      <c r="F17" s="965">
        <f t="shared" si="0"/>
        <v>28087</v>
      </c>
      <c r="G17" s="966">
        <f t="shared" si="1"/>
        <v>1.3464241406221537E-2</v>
      </c>
      <c r="H17" s="128"/>
      <c r="I17" s="13"/>
      <c r="J17" s="13"/>
      <c r="K17" s="128"/>
      <c r="L17" s="13"/>
      <c r="M17" s="128"/>
    </row>
    <row r="18" spans="1:13" ht="18.75">
      <c r="A18" s="970" t="s">
        <v>546</v>
      </c>
      <c r="B18" s="965">
        <v>17653</v>
      </c>
      <c r="C18" s="965">
        <v>6661</v>
      </c>
      <c r="D18" s="965">
        <v>3374</v>
      </c>
      <c r="E18" s="965">
        <v>385</v>
      </c>
      <c r="F18" s="965">
        <f t="shared" si="0"/>
        <v>28073</v>
      </c>
      <c r="G18" s="966">
        <f t="shared" si="1"/>
        <v>1.3457530138386343E-2</v>
      </c>
      <c r="H18" s="13"/>
      <c r="I18" s="13"/>
      <c r="J18" s="13"/>
      <c r="K18" s="128"/>
      <c r="L18" s="13"/>
      <c r="M18" s="128"/>
    </row>
    <row r="19" spans="1:13" ht="18.75">
      <c r="A19" s="970" t="s">
        <v>549</v>
      </c>
      <c r="B19" s="965">
        <v>14858</v>
      </c>
      <c r="C19" s="965">
        <v>9259</v>
      </c>
      <c r="D19" s="965">
        <v>1783</v>
      </c>
      <c r="E19" s="965">
        <v>138</v>
      </c>
      <c r="F19" s="965">
        <f t="shared" si="0"/>
        <v>26038</v>
      </c>
      <c r="G19" s="966">
        <f t="shared" si="1"/>
        <v>1.2481999420913461E-2</v>
      </c>
      <c r="H19" s="13"/>
      <c r="I19" s="13"/>
      <c r="J19" s="13"/>
      <c r="K19" s="128"/>
      <c r="L19" s="13"/>
      <c r="M19" s="128"/>
    </row>
    <row r="20" spans="1:13" ht="18.75">
      <c r="A20" s="970" t="s">
        <v>573</v>
      </c>
      <c r="B20" s="965">
        <v>12631</v>
      </c>
      <c r="C20" s="965">
        <v>9015</v>
      </c>
      <c r="D20" s="965">
        <v>3342</v>
      </c>
      <c r="E20" s="965">
        <v>131</v>
      </c>
      <c r="F20" s="965">
        <f t="shared" si="0"/>
        <v>25119</v>
      </c>
      <c r="G20" s="966">
        <f t="shared" si="1"/>
        <v>1.2041452625160352E-2</v>
      </c>
      <c r="H20" s="128"/>
      <c r="I20" s="128"/>
      <c r="J20" s="128"/>
      <c r="K20" s="128"/>
      <c r="L20" s="128"/>
      <c r="M20" s="128"/>
    </row>
    <row r="21" spans="1:13" ht="18.75">
      <c r="A21" s="970" t="s">
        <v>557</v>
      </c>
      <c r="B21" s="965">
        <v>13752</v>
      </c>
      <c r="C21" s="965">
        <v>5524</v>
      </c>
      <c r="D21" s="965">
        <v>3955</v>
      </c>
      <c r="E21" s="965">
        <v>177</v>
      </c>
      <c r="F21" s="965">
        <f t="shared" si="0"/>
        <v>23408</v>
      </c>
      <c r="G21" s="966">
        <f t="shared" si="1"/>
        <v>1.1221239820444822E-2</v>
      </c>
      <c r="H21" s="128"/>
      <c r="I21" s="128"/>
      <c r="J21" s="128"/>
      <c r="K21" s="128"/>
      <c r="L21" s="128"/>
      <c r="M21" s="128"/>
    </row>
    <row r="22" spans="1:13" ht="18.75">
      <c r="A22" s="970" t="s">
        <v>560</v>
      </c>
      <c r="B22" s="965">
        <v>9846</v>
      </c>
      <c r="C22" s="965">
        <v>9262</v>
      </c>
      <c r="D22" s="965">
        <v>1616</v>
      </c>
      <c r="E22" s="965">
        <v>155</v>
      </c>
      <c r="F22" s="965">
        <f t="shared" si="0"/>
        <v>20879</v>
      </c>
      <c r="G22" s="966">
        <f t="shared" si="1"/>
        <v>1.0008897223644371E-2</v>
      </c>
      <c r="H22" s="128"/>
      <c r="I22" s="128"/>
      <c r="J22" s="128"/>
      <c r="K22" s="128"/>
      <c r="L22" s="128"/>
      <c r="M22" s="128"/>
    </row>
    <row r="23" spans="1:13" ht="18.75">
      <c r="A23" s="971" t="s">
        <v>562</v>
      </c>
      <c r="B23" s="965">
        <v>10726</v>
      </c>
      <c r="C23" s="965">
        <v>6050</v>
      </c>
      <c r="D23" s="965">
        <v>1800</v>
      </c>
      <c r="E23" s="965">
        <v>274</v>
      </c>
      <c r="F23" s="965">
        <f t="shared" si="0"/>
        <v>18850</v>
      </c>
      <c r="G23" s="966">
        <f t="shared" si="1"/>
        <v>9.0362427638151447E-3</v>
      </c>
      <c r="H23" s="128"/>
      <c r="I23" s="128"/>
      <c r="J23" s="128"/>
      <c r="K23" s="128"/>
      <c r="L23" s="128"/>
      <c r="M23" s="128"/>
    </row>
    <row r="24" spans="1:13" ht="18.75">
      <c r="A24" s="970" t="s">
        <v>896</v>
      </c>
      <c r="B24" s="965">
        <v>8572</v>
      </c>
      <c r="C24" s="965">
        <v>7520</v>
      </c>
      <c r="D24" s="965">
        <v>1172</v>
      </c>
      <c r="E24" s="965">
        <v>147</v>
      </c>
      <c r="F24" s="965">
        <f t="shared" si="0"/>
        <v>17411</v>
      </c>
      <c r="G24" s="966">
        <f t="shared" si="1"/>
        <v>8.3464203056119613E-3</v>
      </c>
      <c r="H24" s="128"/>
      <c r="I24" s="128"/>
      <c r="J24" s="128"/>
      <c r="K24" s="128"/>
      <c r="L24" s="128"/>
      <c r="M24" s="128"/>
    </row>
    <row r="25" spans="1:13" ht="18.75">
      <c r="A25" s="971" t="s">
        <v>559</v>
      </c>
      <c r="B25" s="965">
        <v>7945</v>
      </c>
      <c r="C25" s="965">
        <v>4649</v>
      </c>
      <c r="D25" s="965">
        <v>1557</v>
      </c>
      <c r="E25" s="965">
        <v>119</v>
      </c>
      <c r="F25" s="965">
        <f t="shared" si="0"/>
        <v>14270</v>
      </c>
      <c r="G25" s="966">
        <f t="shared" si="1"/>
        <v>6.8406994291587333E-3</v>
      </c>
      <c r="H25" s="128"/>
      <c r="I25" s="128"/>
      <c r="J25" s="128"/>
      <c r="K25" s="128"/>
      <c r="L25" s="128"/>
      <c r="M25" s="128"/>
    </row>
    <row r="26" spans="1:13" ht="18.75">
      <c r="A26" s="970" t="s">
        <v>898</v>
      </c>
      <c r="B26" s="965">
        <v>8333</v>
      </c>
      <c r="C26" s="965">
        <v>3335</v>
      </c>
      <c r="D26" s="965">
        <v>883</v>
      </c>
      <c r="E26" s="965">
        <v>71</v>
      </c>
      <c r="F26" s="965">
        <f t="shared" si="0"/>
        <v>12622</v>
      </c>
      <c r="G26" s="966">
        <f t="shared" si="1"/>
        <v>6.0506873297015784E-3</v>
      </c>
      <c r="H26" s="128"/>
      <c r="I26" s="128"/>
      <c r="J26" s="128"/>
      <c r="K26" s="128"/>
      <c r="L26" s="128"/>
      <c r="M26" s="128"/>
    </row>
    <row r="27" spans="1:13" ht="18.75">
      <c r="A27" s="970" t="s">
        <v>572</v>
      </c>
      <c r="B27" s="965">
        <v>4477</v>
      </c>
      <c r="C27" s="965">
        <v>5409</v>
      </c>
      <c r="D27" s="965">
        <v>1038</v>
      </c>
      <c r="E27" s="965">
        <v>63</v>
      </c>
      <c r="F27" s="965">
        <f t="shared" si="0"/>
        <v>10987</v>
      </c>
      <c r="G27" s="966">
        <f t="shared" si="1"/>
        <v>5.2669071218056761E-3</v>
      </c>
      <c r="H27" s="128"/>
      <c r="I27" s="128"/>
      <c r="J27" s="128"/>
      <c r="K27" s="128"/>
      <c r="L27" s="128"/>
      <c r="M27" s="128"/>
    </row>
    <row r="28" spans="1:13" ht="18.75">
      <c r="A28" s="970" t="s">
        <v>570</v>
      </c>
      <c r="B28" s="965">
        <v>5105</v>
      </c>
      <c r="C28" s="965">
        <v>3618</v>
      </c>
      <c r="D28" s="965">
        <v>1553</v>
      </c>
      <c r="E28" s="965">
        <v>89</v>
      </c>
      <c r="F28" s="965">
        <f t="shared" si="0"/>
        <v>10365</v>
      </c>
      <c r="G28" s="966">
        <f t="shared" si="1"/>
        <v>4.9687350794134734E-3</v>
      </c>
      <c r="H28" s="128"/>
      <c r="I28" s="128"/>
      <c r="J28" s="128"/>
      <c r="K28" s="128"/>
      <c r="L28" s="128"/>
      <c r="M28" s="128"/>
    </row>
    <row r="29" spans="1:13" ht="18.75">
      <c r="A29" s="970" t="s">
        <v>554</v>
      </c>
      <c r="B29" s="965">
        <v>5873</v>
      </c>
      <c r="C29" s="965">
        <v>3559</v>
      </c>
      <c r="D29" s="965">
        <v>824</v>
      </c>
      <c r="E29" s="965">
        <v>87</v>
      </c>
      <c r="F29" s="965">
        <f t="shared" si="0"/>
        <v>10343</v>
      </c>
      <c r="G29" s="966">
        <f t="shared" si="1"/>
        <v>4.9581888013867396E-3</v>
      </c>
      <c r="H29" s="128"/>
      <c r="I29" s="128"/>
      <c r="J29" s="128"/>
      <c r="K29" s="128"/>
      <c r="L29" s="128"/>
      <c r="M29" s="128"/>
    </row>
    <row r="30" spans="1:13" ht="18.75">
      <c r="A30" s="970" t="s">
        <v>568</v>
      </c>
      <c r="B30" s="965">
        <v>6931</v>
      </c>
      <c r="C30" s="965">
        <v>2432</v>
      </c>
      <c r="D30" s="965">
        <v>822</v>
      </c>
      <c r="E30" s="965">
        <v>100</v>
      </c>
      <c r="F30" s="965">
        <f t="shared" si="0"/>
        <v>10285</v>
      </c>
      <c r="G30" s="966">
        <f t="shared" si="1"/>
        <v>4.9303849774980776E-3</v>
      </c>
      <c r="H30" s="128"/>
      <c r="I30" s="128"/>
      <c r="J30" s="128"/>
      <c r="K30" s="128"/>
      <c r="L30" s="128"/>
      <c r="M30" s="128"/>
    </row>
    <row r="31" spans="1:13" ht="18.75">
      <c r="A31" s="970" t="s">
        <v>547</v>
      </c>
      <c r="B31" s="965">
        <v>5285</v>
      </c>
      <c r="C31" s="965">
        <v>3286</v>
      </c>
      <c r="D31" s="965">
        <v>1245</v>
      </c>
      <c r="E31" s="965">
        <v>72</v>
      </c>
      <c r="F31" s="965">
        <f t="shared" si="0"/>
        <v>9888</v>
      </c>
      <c r="G31" s="966">
        <f t="shared" si="1"/>
        <v>4.7400725967429256E-3</v>
      </c>
      <c r="H31" s="128"/>
      <c r="I31" s="128"/>
      <c r="J31" s="128"/>
      <c r="K31" s="128"/>
      <c r="L31" s="128"/>
      <c r="M31" s="128"/>
    </row>
    <row r="32" spans="1:13" ht="18.75">
      <c r="A32" s="970" t="s">
        <v>552</v>
      </c>
      <c r="B32" s="965">
        <v>3874</v>
      </c>
      <c r="C32" s="965">
        <v>3337</v>
      </c>
      <c r="D32" s="965">
        <v>643</v>
      </c>
      <c r="E32" s="965">
        <v>50</v>
      </c>
      <c r="F32" s="965">
        <f t="shared" si="0"/>
        <v>7904</v>
      </c>
      <c r="G32" s="966">
        <f t="shared" si="1"/>
        <v>3.7889900692411088E-3</v>
      </c>
      <c r="H32" s="128"/>
      <c r="I32" s="128"/>
      <c r="J32" s="128"/>
      <c r="K32" s="128"/>
      <c r="L32" s="128"/>
      <c r="M32" s="128"/>
    </row>
    <row r="33" spans="1:13" ht="18.75">
      <c r="A33" s="970" t="s">
        <v>565</v>
      </c>
      <c r="B33" s="965">
        <v>2091</v>
      </c>
      <c r="C33" s="965">
        <v>4000</v>
      </c>
      <c r="D33" s="965">
        <v>1498</v>
      </c>
      <c r="E33" s="965">
        <v>28</v>
      </c>
      <c r="F33" s="965">
        <f t="shared" si="0"/>
        <v>7617</v>
      </c>
      <c r="G33" s="966">
        <f t="shared" si="1"/>
        <v>3.6514090786196264E-3</v>
      </c>
      <c r="H33" s="128"/>
      <c r="I33" s="128"/>
      <c r="J33" s="128"/>
      <c r="K33" s="128"/>
      <c r="L33" s="128"/>
      <c r="M33" s="128"/>
    </row>
    <row r="34" spans="1:13" ht="18.75">
      <c r="A34" s="970" t="s">
        <v>892</v>
      </c>
      <c r="B34" s="965">
        <v>3102</v>
      </c>
      <c r="C34" s="965">
        <v>3177</v>
      </c>
      <c r="D34" s="965">
        <v>919</v>
      </c>
      <c r="E34" s="965">
        <v>43</v>
      </c>
      <c r="F34" s="965">
        <f t="shared" si="0"/>
        <v>7241</v>
      </c>
      <c r="G34" s="966">
        <f t="shared" si="1"/>
        <v>3.4711635996172662E-3</v>
      </c>
      <c r="H34" s="128"/>
      <c r="I34" s="128"/>
      <c r="J34" s="128"/>
      <c r="K34" s="128"/>
      <c r="L34" s="128"/>
      <c r="M34" s="128"/>
    </row>
    <row r="35" spans="1:13" ht="18.75">
      <c r="A35" s="970" t="s">
        <v>895</v>
      </c>
      <c r="B35" s="965">
        <v>1692</v>
      </c>
      <c r="C35" s="965">
        <v>1218</v>
      </c>
      <c r="D35" s="965">
        <v>369</v>
      </c>
      <c r="E35" s="965">
        <v>28</v>
      </c>
      <c r="F35" s="965">
        <f t="shared" si="0"/>
        <v>3307</v>
      </c>
      <c r="G35" s="966">
        <f t="shared" si="1"/>
        <v>1.5852973379276755E-3</v>
      </c>
      <c r="H35" s="128"/>
      <c r="I35" s="128"/>
      <c r="J35" s="128"/>
      <c r="K35" s="128"/>
      <c r="L35" s="128"/>
      <c r="M35" s="128"/>
    </row>
    <row r="36" spans="1:13" ht="18.75">
      <c r="A36" s="967" t="s">
        <v>580</v>
      </c>
      <c r="B36" s="967">
        <v>350746</v>
      </c>
      <c r="C36" s="967">
        <v>40084</v>
      </c>
      <c r="D36" s="967">
        <v>35299</v>
      </c>
      <c r="E36" s="967">
        <v>5250</v>
      </c>
      <c r="F36" s="967">
        <f>SUM(B36:E36)</f>
        <v>431379</v>
      </c>
      <c r="G36" s="968">
        <f t="shared" si="1"/>
        <v>0.20679285767701927</v>
      </c>
      <c r="H36" s="59"/>
      <c r="I36" s="59"/>
      <c r="J36" s="108"/>
      <c r="K36" s="148"/>
      <c r="L36" s="148"/>
      <c r="M36" s="128"/>
    </row>
    <row r="37" spans="1:13" ht="18.75">
      <c r="A37" s="972" t="s">
        <v>23</v>
      </c>
      <c r="B37" s="607">
        <f>SUM(B4:B35)</f>
        <v>1441383</v>
      </c>
      <c r="C37" s="607">
        <f>SUM(C4:C35)</f>
        <v>410524</v>
      </c>
      <c r="D37" s="607">
        <f>SUM(D4:D35)</f>
        <v>214303</v>
      </c>
      <c r="E37" s="607">
        <f>SUM(E4:E35)</f>
        <v>19834</v>
      </c>
      <c r="F37" s="607">
        <f>SUM(B37:E37)</f>
        <v>2086044</v>
      </c>
      <c r="G37" s="608">
        <f>SUM(G4:G35)</f>
        <v>0.99999999999999978</v>
      </c>
      <c r="H37" s="128"/>
      <c r="I37" s="128"/>
      <c r="J37" s="128"/>
      <c r="K37" s="128"/>
      <c r="L37" s="128"/>
      <c r="M37" s="128"/>
    </row>
    <row r="38" spans="1:13" ht="15.75">
      <c r="A38" s="606" t="s">
        <v>867</v>
      </c>
      <c r="B38" s="608">
        <f>B37/$F$37</f>
        <v>0.6909648118639875</v>
      </c>
      <c r="C38" s="608">
        <f>C37/$F$37</f>
        <v>0.19679546548394952</v>
      </c>
      <c r="D38" s="608">
        <f>D37/$F$37</f>
        <v>0.10273177363468844</v>
      </c>
      <c r="E38" s="608">
        <f>E37/$F$37</f>
        <v>9.5079490173745132E-3</v>
      </c>
      <c r="F38" s="608">
        <f>F37/$F$37</f>
        <v>1</v>
      </c>
      <c r="G38" s="609"/>
      <c r="H38" s="128"/>
      <c r="I38" s="128"/>
      <c r="J38" s="128"/>
      <c r="K38" s="128"/>
      <c r="L38" s="128"/>
      <c r="M38" s="128"/>
    </row>
    <row r="39" spans="1:13">
      <c r="A39" s="128"/>
      <c r="B39" s="128"/>
      <c r="C39" s="128"/>
      <c r="D39" s="128"/>
      <c r="E39" s="128"/>
      <c r="F39" s="128"/>
      <c r="G39" s="128"/>
      <c r="H39" s="128"/>
      <c r="I39" s="128"/>
      <c r="J39" s="128"/>
      <c r="K39" s="128"/>
      <c r="L39" s="128"/>
      <c r="M39" s="128"/>
    </row>
    <row r="40" spans="1:13">
      <c r="A40" s="128"/>
      <c r="B40" s="128"/>
      <c r="C40" s="128"/>
      <c r="D40" s="128"/>
      <c r="E40" s="128"/>
      <c r="F40" s="128"/>
      <c r="G40" s="128"/>
      <c r="H40" s="128"/>
      <c r="I40" s="128"/>
      <c r="J40" s="128"/>
      <c r="K40" s="128"/>
      <c r="L40" s="128"/>
      <c r="M40" s="128"/>
    </row>
    <row r="41" spans="1:13">
      <c r="A41" s="128"/>
      <c r="B41" s="128"/>
      <c r="C41" s="128"/>
      <c r="D41" s="128"/>
      <c r="E41" s="128"/>
      <c r="F41" s="128"/>
      <c r="G41" s="128"/>
      <c r="H41" s="128"/>
      <c r="I41" s="128"/>
      <c r="J41" s="128"/>
      <c r="K41" s="128"/>
      <c r="L41" s="128"/>
      <c r="M41" s="128"/>
    </row>
    <row r="42" spans="1:13">
      <c r="A42" s="128"/>
      <c r="B42" s="128"/>
      <c r="C42" s="128"/>
      <c r="D42" s="128"/>
      <c r="E42" s="128"/>
      <c r="F42" s="128"/>
      <c r="G42" s="128"/>
      <c r="H42" s="128"/>
      <c r="I42" s="128"/>
      <c r="J42" s="128"/>
      <c r="K42" s="128"/>
      <c r="L42" s="128"/>
      <c r="M42" s="128"/>
    </row>
    <row r="43" spans="1:13">
      <c r="A43" s="128"/>
      <c r="B43" s="128"/>
      <c r="C43" s="128"/>
      <c r="D43" s="128"/>
      <c r="E43" s="128"/>
      <c r="F43" s="128"/>
      <c r="G43" s="128"/>
      <c r="H43" s="128"/>
      <c r="I43" s="128"/>
      <c r="J43" s="128"/>
      <c r="K43" s="128"/>
      <c r="L43" s="128"/>
      <c r="M43" s="128"/>
    </row>
    <row r="44" spans="1:13">
      <c r="A44" s="128"/>
      <c r="B44" s="128"/>
      <c r="C44" s="128"/>
      <c r="D44" s="128"/>
      <c r="E44" s="128"/>
      <c r="F44" s="128"/>
      <c r="G44" s="128"/>
      <c r="H44" s="128"/>
      <c r="I44" s="128"/>
      <c r="J44" s="128"/>
      <c r="K44" s="128"/>
      <c r="L44" s="128"/>
      <c r="M44" s="128"/>
    </row>
    <row r="45" spans="1:13">
      <c r="A45" s="128"/>
      <c r="B45" s="128"/>
      <c r="C45" s="128"/>
      <c r="D45" s="128"/>
      <c r="E45" s="128"/>
      <c r="F45" s="128"/>
      <c r="G45" s="128"/>
      <c r="H45" s="128"/>
      <c r="I45" s="128"/>
      <c r="J45" s="128"/>
      <c r="K45" s="128"/>
      <c r="L45" s="128"/>
      <c r="M45" s="128"/>
    </row>
    <row r="46" spans="1:13">
      <c r="A46" s="128"/>
      <c r="B46" s="128"/>
      <c r="C46" s="128"/>
      <c r="D46" s="128"/>
      <c r="E46" s="128"/>
      <c r="F46" s="128"/>
      <c r="G46" s="128"/>
      <c r="H46" s="128"/>
      <c r="I46" s="128"/>
      <c r="J46" s="128"/>
      <c r="K46" s="128"/>
      <c r="L46" s="128"/>
      <c r="M46" s="128"/>
    </row>
    <row r="47" spans="1:13">
      <c r="A47" s="128"/>
      <c r="B47" s="128"/>
      <c r="C47" s="128"/>
      <c r="D47" s="128"/>
      <c r="E47" s="128"/>
      <c r="F47" s="128"/>
      <c r="G47" s="128"/>
      <c r="H47" s="128"/>
      <c r="I47" s="128"/>
      <c r="J47" s="128"/>
      <c r="K47" s="128"/>
      <c r="L47" s="128"/>
      <c r="M47" s="128"/>
    </row>
    <row r="48" spans="1:13">
      <c r="A48" s="128"/>
      <c r="B48" s="128"/>
      <c r="C48" s="128"/>
      <c r="D48" s="128"/>
      <c r="E48" s="128"/>
      <c r="F48" s="128"/>
      <c r="G48" s="128"/>
      <c r="H48" s="128"/>
      <c r="I48" s="128"/>
      <c r="J48" s="128"/>
      <c r="K48" s="128"/>
      <c r="L48" s="128"/>
      <c r="M48" s="128"/>
    </row>
    <row r="49" spans="1:13">
      <c r="A49" s="128"/>
      <c r="B49" s="128"/>
      <c r="C49" s="128"/>
      <c r="D49" s="128"/>
      <c r="E49" s="128"/>
      <c r="F49" s="128"/>
      <c r="G49" s="128"/>
      <c r="H49" s="128"/>
      <c r="I49" s="128"/>
      <c r="J49" s="128"/>
      <c r="K49" s="128"/>
      <c r="L49" s="128"/>
      <c r="M49" s="128"/>
    </row>
    <row r="50" spans="1:13">
      <c r="A50" s="128"/>
      <c r="B50" s="128"/>
      <c r="C50" s="128"/>
      <c r="D50" s="128"/>
      <c r="E50" s="128"/>
      <c r="F50" s="128"/>
      <c r="G50" s="128"/>
      <c r="H50" s="128"/>
      <c r="I50" s="128"/>
      <c r="J50" s="128"/>
      <c r="K50" s="128"/>
      <c r="L50" s="128"/>
      <c r="M50" s="128"/>
    </row>
    <row r="51" spans="1:13">
      <c r="A51" s="128"/>
      <c r="B51" s="128"/>
      <c r="C51" s="128"/>
      <c r="D51" s="128"/>
      <c r="E51" s="128"/>
      <c r="F51" s="128"/>
      <c r="G51" s="128"/>
      <c r="H51" s="128"/>
      <c r="I51" s="128"/>
      <c r="J51" s="128"/>
      <c r="K51" s="128"/>
      <c r="L51" s="128"/>
      <c r="M51" s="128"/>
    </row>
    <row r="52" spans="1:13">
      <c r="A52" s="128"/>
      <c r="B52" s="128"/>
      <c r="C52" s="128"/>
      <c r="D52" s="128"/>
      <c r="E52" s="128"/>
      <c r="F52" s="128"/>
      <c r="G52" s="128"/>
      <c r="H52" s="128"/>
      <c r="I52" s="128"/>
      <c r="J52" s="128"/>
      <c r="K52" s="128"/>
      <c r="L52" s="128"/>
      <c r="M52" s="128"/>
    </row>
    <row r="53" spans="1:13">
      <c r="A53" s="128"/>
      <c r="B53" s="128"/>
      <c r="C53" s="128"/>
      <c r="D53" s="128"/>
      <c r="E53" s="128"/>
      <c r="F53" s="128"/>
      <c r="G53" s="128"/>
      <c r="H53" s="128"/>
      <c r="I53" s="128"/>
      <c r="J53" s="128"/>
      <c r="K53" s="128"/>
      <c r="L53" s="128"/>
      <c r="M53" s="128"/>
    </row>
    <row r="54" spans="1:13">
      <c r="A54" s="128"/>
      <c r="B54" s="128"/>
      <c r="C54" s="128"/>
      <c r="D54" s="128"/>
      <c r="E54" s="128"/>
      <c r="F54" s="128"/>
      <c r="G54" s="128"/>
      <c r="H54" s="128"/>
      <c r="I54" s="128"/>
      <c r="J54" s="128"/>
      <c r="K54" s="128"/>
      <c r="L54" s="128"/>
      <c r="M54" s="128"/>
    </row>
    <row r="55" spans="1:13">
      <c r="A55" s="128"/>
      <c r="B55" s="128"/>
      <c r="C55" s="128"/>
      <c r="D55" s="128"/>
      <c r="E55" s="128"/>
      <c r="F55" s="128"/>
      <c r="G55" s="128"/>
      <c r="H55" s="128"/>
      <c r="I55" s="128"/>
      <c r="J55" s="128"/>
      <c r="K55" s="128"/>
      <c r="L55" s="128"/>
      <c r="M55" s="128"/>
    </row>
    <row r="56" spans="1:13">
      <c r="A56" s="59"/>
      <c r="B56" s="59"/>
      <c r="C56" s="59"/>
      <c r="D56" s="59"/>
      <c r="E56" s="59"/>
      <c r="F56" s="59"/>
      <c r="G56" s="59"/>
      <c r="H56" s="59"/>
      <c r="I56" s="59"/>
      <c r="J56" s="59"/>
      <c r="K56" s="59"/>
      <c r="L56" s="59"/>
      <c r="M56" s="59"/>
    </row>
    <row r="57" spans="1:13">
      <c r="A57" s="59"/>
      <c r="B57" s="59"/>
      <c r="C57" s="59"/>
      <c r="D57" s="59"/>
      <c r="E57" s="59"/>
      <c r="F57" s="59"/>
      <c r="G57" s="59"/>
      <c r="H57" s="59"/>
      <c r="I57" s="59"/>
      <c r="J57" s="59"/>
      <c r="K57" s="59"/>
      <c r="L57" s="59"/>
      <c r="M57" s="59"/>
    </row>
    <row r="58" spans="1:13">
      <c r="A58" s="59"/>
      <c r="B58" s="59"/>
      <c r="C58" s="59"/>
      <c r="D58" s="59"/>
      <c r="E58" s="59"/>
      <c r="F58" s="59"/>
      <c r="G58" s="59"/>
      <c r="H58" s="59"/>
      <c r="I58" s="59"/>
      <c r="J58" s="59"/>
      <c r="K58" s="59"/>
      <c r="L58" s="59"/>
      <c r="M58" s="59"/>
    </row>
    <row r="59" spans="1:13">
      <c r="A59" s="59"/>
      <c r="B59" s="59"/>
      <c r="C59" s="59"/>
      <c r="D59" s="59"/>
      <c r="E59" s="59"/>
      <c r="F59" s="59"/>
      <c r="G59" s="59"/>
      <c r="H59" s="59"/>
      <c r="I59" s="59"/>
      <c r="J59" s="59"/>
      <c r="K59" s="59"/>
      <c r="L59" s="59"/>
      <c r="M59" s="59"/>
    </row>
    <row r="60" spans="1:13">
      <c r="A60" s="59"/>
      <c r="B60" s="59"/>
      <c r="C60" s="59"/>
      <c r="D60" s="59"/>
      <c r="E60" s="59"/>
      <c r="F60" s="59"/>
      <c r="G60" s="59"/>
      <c r="H60" s="59"/>
      <c r="I60" s="59"/>
      <c r="J60" s="59"/>
      <c r="K60" s="59"/>
      <c r="L60" s="59"/>
      <c r="M60" s="59"/>
    </row>
    <row r="61" spans="1:13">
      <c r="A61" s="59"/>
      <c r="B61" s="59"/>
      <c r="C61" s="59"/>
      <c r="D61" s="59"/>
      <c r="E61" s="59"/>
      <c r="F61" s="59"/>
      <c r="G61" s="59"/>
      <c r="H61" s="59"/>
      <c r="I61" s="59"/>
      <c r="J61" s="59"/>
      <c r="K61" s="59"/>
      <c r="L61" s="59"/>
      <c r="M61" s="59"/>
    </row>
    <row r="62" spans="1:13">
      <c r="A62" s="2285"/>
      <c r="B62" s="2285"/>
      <c r="C62" s="2285"/>
      <c r="D62" s="2285"/>
      <c r="E62" s="2285"/>
      <c r="F62" s="2285"/>
      <c r="G62" s="2285"/>
      <c r="H62" s="2285"/>
      <c r="I62" s="2285"/>
      <c r="J62" s="2285"/>
      <c r="K62" s="2285"/>
      <c r="L62" s="2285"/>
      <c r="M62" s="2285"/>
    </row>
    <row r="63" spans="1:13">
      <c r="A63" s="59"/>
      <c r="B63" s="59"/>
      <c r="C63" s="59"/>
      <c r="D63" s="59"/>
      <c r="E63" s="59"/>
      <c r="F63" s="59"/>
      <c r="G63" s="59"/>
      <c r="H63" s="59"/>
      <c r="I63" s="59"/>
      <c r="J63" s="59"/>
      <c r="K63" s="59"/>
      <c r="L63" s="59"/>
      <c r="M63" s="59"/>
    </row>
    <row r="64" spans="1:13">
      <c r="A64" s="59"/>
      <c r="B64" s="59"/>
      <c r="C64" s="59"/>
      <c r="D64" s="59"/>
      <c r="E64" s="59"/>
      <c r="F64" s="59"/>
      <c r="G64" s="59"/>
      <c r="H64" s="59"/>
      <c r="I64" s="59"/>
      <c r="J64" s="59"/>
      <c r="K64" s="59"/>
      <c r="L64" s="59"/>
      <c r="M64" s="59"/>
    </row>
    <row r="65" spans="1:13">
      <c r="A65" s="59"/>
      <c r="B65" s="59"/>
      <c r="C65" s="59"/>
      <c r="D65" s="59"/>
      <c r="E65" s="59"/>
      <c r="F65" s="59"/>
      <c r="G65" s="59"/>
      <c r="H65" s="59"/>
      <c r="I65" s="59"/>
      <c r="J65" s="59"/>
      <c r="K65" s="59"/>
      <c r="L65" s="59"/>
      <c r="M65" s="59"/>
    </row>
    <row r="66" spans="1:13">
      <c r="A66" s="59"/>
      <c r="B66" s="59"/>
      <c r="C66" s="59"/>
      <c r="D66" s="59"/>
      <c r="E66" s="59"/>
      <c r="F66" s="59"/>
      <c r="G66" s="59"/>
      <c r="H66" s="59"/>
      <c r="I66" s="59"/>
      <c r="J66" s="59"/>
      <c r="K66" s="59"/>
      <c r="L66" s="59"/>
      <c r="M66" s="59"/>
    </row>
    <row r="67" spans="1:13">
      <c r="A67" s="59"/>
      <c r="B67" s="59"/>
      <c r="C67" s="59"/>
      <c r="D67" s="59"/>
      <c r="E67" s="59"/>
      <c r="F67" s="59"/>
      <c r="G67" s="59"/>
      <c r="H67" s="59"/>
      <c r="I67" s="59"/>
      <c r="J67" s="59"/>
      <c r="K67" s="59"/>
      <c r="L67" s="59"/>
      <c r="M67" s="59"/>
    </row>
    <row r="68" spans="1:13">
      <c r="A68" s="59"/>
      <c r="B68" s="59"/>
      <c r="C68" s="59"/>
      <c r="D68" s="59"/>
      <c r="E68" s="59"/>
      <c r="F68" s="59"/>
      <c r="G68" s="59"/>
      <c r="H68" s="59"/>
      <c r="I68" s="59"/>
      <c r="J68" s="59"/>
      <c r="K68" s="59"/>
      <c r="L68" s="59"/>
      <c r="M68" s="59"/>
    </row>
  </sheetData>
  <mergeCells count="2">
    <mergeCell ref="A62:M62"/>
    <mergeCell ref="A1:O1"/>
  </mergeCells>
  <printOptions horizontalCentered="1"/>
  <pageMargins left="0.25" right="0.25" top="0.75" bottom="0.75" header="0.3" footer="0.3"/>
  <pageSetup scale="3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L70"/>
  <sheetViews>
    <sheetView showGridLines="0" view="pageBreakPreview" zoomScale="85" zoomScaleNormal="100" zoomScaleSheetLayoutView="85" workbookViewId="0">
      <selection activeCell="N29" sqref="N29"/>
    </sheetView>
  </sheetViews>
  <sheetFormatPr baseColWidth="10" defaultColWidth="11.5703125" defaultRowHeight="13.5" customHeight="1"/>
  <cols>
    <col min="1" max="1" width="24.140625" customWidth="1"/>
    <col min="2" max="2" width="10.28515625" bestFit="1" customWidth="1"/>
    <col min="3" max="3" width="10.7109375" bestFit="1" customWidth="1"/>
    <col min="4" max="8" width="11.85546875" bestFit="1" customWidth="1"/>
    <col min="9" max="9" width="11.42578125" customWidth="1"/>
    <col min="10" max="10" width="12.28515625" customWidth="1"/>
    <col min="11" max="11" width="12.85546875" customWidth="1"/>
  </cols>
  <sheetData>
    <row r="1" spans="1:12" ht="49.5" customHeight="1">
      <c r="A1" s="2297" t="s">
        <v>1279</v>
      </c>
      <c r="B1" s="2297"/>
      <c r="C1" s="2297"/>
      <c r="D1" s="2297"/>
      <c r="E1" s="2297"/>
      <c r="F1" s="2297"/>
      <c r="G1" s="2297"/>
      <c r="H1" s="2297"/>
      <c r="I1" s="2297"/>
      <c r="J1" s="2297"/>
      <c r="K1" s="2297"/>
      <c r="L1" s="2297"/>
    </row>
    <row r="2" spans="1:12" s="128" customFormat="1" ht="3.75" customHeight="1">
      <c r="A2" s="619"/>
      <c r="B2" s="619"/>
      <c r="C2" s="619"/>
      <c r="D2" s="619"/>
      <c r="E2" s="619"/>
      <c r="F2" s="619"/>
      <c r="G2" s="619"/>
      <c r="H2" s="619"/>
      <c r="I2" s="619"/>
      <c r="J2" s="619"/>
      <c r="K2" s="619"/>
      <c r="L2" s="619"/>
    </row>
    <row r="3" spans="1:12" ht="36" customHeight="1">
      <c r="A3" s="869" t="s">
        <v>576</v>
      </c>
      <c r="B3" s="870" t="s">
        <v>880</v>
      </c>
      <c r="C3" s="871" t="s">
        <v>881</v>
      </c>
      <c r="D3" s="871" t="s">
        <v>882</v>
      </c>
      <c r="E3" s="871" t="s">
        <v>883</v>
      </c>
      <c r="F3" s="871" t="s">
        <v>884</v>
      </c>
      <c r="G3" s="871" t="s">
        <v>885</v>
      </c>
      <c r="H3" s="871" t="s">
        <v>886</v>
      </c>
      <c r="I3" s="871" t="s">
        <v>887</v>
      </c>
      <c r="J3" s="871" t="s">
        <v>888</v>
      </c>
      <c r="K3" s="871" t="s">
        <v>889</v>
      </c>
    </row>
    <row r="4" spans="1:12" ht="15" customHeight="1">
      <c r="A4" s="1617" t="s">
        <v>155</v>
      </c>
      <c r="B4" s="485">
        <v>56190</v>
      </c>
      <c r="C4" s="485">
        <v>118111</v>
      </c>
      <c r="D4" s="485">
        <v>72603</v>
      </c>
      <c r="E4" s="485">
        <v>102949</v>
      </c>
      <c r="F4" s="485">
        <v>89282</v>
      </c>
      <c r="G4" s="485">
        <v>55311</v>
      </c>
      <c r="H4" s="485">
        <v>29241</v>
      </c>
      <c r="I4" s="485">
        <v>15117</v>
      </c>
      <c r="J4" s="1782">
        <f t="shared" ref="J4:J35" si="0">SUM(B4:I4)</f>
        <v>538804</v>
      </c>
      <c r="K4" s="1783">
        <f t="shared" ref="K4:K36" si="1">J4/$J$37</f>
        <v>0.30065023220984649</v>
      </c>
    </row>
    <row r="5" spans="1:12" ht="13.5" customHeight="1">
      <c r="A5" s="1617" t="s">
        <v>548</v>
      </c>
      <c r="B5" s="485">
        <v>23939</v>
      </c>
      <c r="C5" s="485">
        <v>49974</v>
      </c>
      <c r="D5" s="485">
        <v>28997</v>
      </c>
      <c r="E5" s="485">
        <v>37694</v>
      </c>
      <c r="F5" s="485">
        <v>31085</v>
      </c>
      <c r="G5" s="485">
        <v>17406</v>
      </c>
      <c r="H5" s="485">
        <v>8847</v>
      </c>
      <c r="I5" s="485">
        <v>5505</v>
      </c>
      <c r="J5" s="1782">
        <f t="shared" si="0"/>
        <v>203447</v>
      </c>
      <c r="K5" s="1783">
        <f t="shared" si="1"/>
        <v>0.11352251986324645</v>
      </c>
    </row>
    <row r="6" spans="1:12" ht="13.5" customHeight="1">
      <c r="A6" s="1617" t="s">
        <v>156</v>
      </c>
      <c r="B6" s="485">
        <v>20079</v>
      </c>
      <c r="C6" s="485">
        <v>24260</v>
      </c>
      <c r="D6" s="485">
        <v>27279</v>
      </c>
      <c r="E6" s="485">
        <v>26509</v>
      </c>
      <c r="F6" s="485">
        <v>15070</v>
      </c>
      <c r="G6" s="485">
        <v>8533</v>
      </c>
      <c r="H6" s="485">
        <v>3883</v>
      </c>
      <c r="I6" s="485">
        <v>1785</v>
      </c>
      <c r="J6" s="1782">
        <f t="shared" si="0"/>
        <v>127398</v>
      </c>
      <c r="K6" s="1783">
        <f t="shared" si="1"/>
        <v>7.1087516579442664E-2</v>
      </c>
    </row>
    <row r="7" spans="1:12" ht="13.5" customHeight="1">
      <c r="A7" s="1617" t="s">
        <v>553</v>
      </c>
      <c r="B7" s="485">
        <v>8086</v>
      </c>
      <c r="C7" s="485">
        <v>16471</v>
      </c>
      <c r="D7" s="485">
        <v>10999</v>
      </c>
      <c r="E7" s="485">
        <v>13507</v>
      </c>
      <c r="F7" s="485">
        <v>9704</v>
      </c>
      <c r="G7" s="485">
        <v>5462</v>
      </c>
      <c r="H7" s="485">
        <v>2299</v>
      </c>
      <c r="I7" s="485">
        <v>966</v>
      </c>
      <c r="J7" s="1782">
        <f t="shared" si="0"/>
        <v>67494</v>
      </c>
      <c r="K7" s="1783">
        <f t="shared" si="1"/>
        <v>3.7661351387093228E-2</v>
      </c>
    </row>
    <row r="8" spans="1:12" ht="13.5" customHeight="1">
      <c r="A8" s="1617" t="s">
        <v>564</v>
      </c>
      <c r="B8" s="485">
        <v>6859</v>
      </c>
      <c r="C8" s="485">
        <v>15116</v>
      </c>
      <c r="D8" s="485">
        <v>9096</v>
      </c>
      <c r="E8" s="485">
        <v>10898</v>
      </c>
      <c r="F8" s="485">
        <v>9409</v>
      </c>
      <c r="G8" s="485">
        <v>5947</v>
      </c>
      <c r="H8" s="485">
        <v>2995</v>
      </c>
      <c r="I8" s="485">
        <v>1258</v>
      </c>
      <c r="J8" s="1782">
        <f t="shared" si="0"/>
        <v>61578</v>
      </c>
      <c r="K8" s="1783">
        <f t="shared" si="1"/>
        <v>3.4360249736486603E-2</v>
      </c>
    </row>
    <row r="9" spans="1:12" ht="13.5" customHeight="1">
      <c r="A9" s="1617" t="s">
        <v>550</v>
      </c>
      <c r="B9" s="485">
        <v>6423</v>
      </c>
      <c r="C9" s="485">
        <v>12210</v>
      </c>
      <c r="D9" s="485">
        <v>6455</v>
      </c>
      <c r="E9" s="485">
        <v>8496</v>
      </c>
      <c r="F9" s="485">
        <v>8468</v>
      </c>
      <c r="G9" s="485">
        <v>4591</v>
      </c>
      <c r="H9" s="485">
        <v>1739</v>
      </c>
      <c r="I9" s="485">
        <v>714</v>
      </c>
      <c r="J9" s="1782">
        <f t="shared" si="0"/>
        <v>49096</v>
      </c>
      <c r="K9" s="1783">
        <f t="shared" si="1"/>
        <v>2.7395349330321644E-2</v>
      </c>
    </row>
    <row r="10" spans="1:12" ht="13.5" customHeight="1">
      <c r="A10" s="1617" t="s">
        <v>563</v>
      </c>
      <c r="B10" s="485">
        <v>6071</v>
      </c>
      <c r="C10" s="485">
        <v>11475</v>
      </c>
      <c r="D10" s="485">
        <v>6973</v>
      </c>
      <c r="E10" s="485">
        <v>9422</v>
      </c>
      <c r="F10" s="485">
        <v>7383</v>
      </c>
      <c r="G10" s="485">
        <v>4060</v>
      </c>
      <c r="H10" s="485">
        <v>1972</v>
      </c>
      <c r="I10" s="485">
        <v>1447</v>
      </c>
      <c r="J10" s="1782">
        <f t="shared" si="0"/>
        <v>48803</v>
      </c>
      <c r="K10" s="1783">
        <f t="shared" si="1"/>
        <v>2.7231856635320337E-2</v>
      </c>
    </row>
    <row r="11" spans="1:12" ht="13.5" customHeight="1">
      <c r="A11" s="1617" t="s">
        <v>556</v>
      </c>
      <c r="B11" s="485">
        <v>4689</v>
      </c>
      <c r="C11" s="485">
        <v>9603</v>
      </c>
      <c r="D11" s="485">
        <v>5955</v>
      </c>
      <c r="E11" s="485">
        <v>8064</v>
      </c>
      <c r="F11" s="485">
        <v>7413</v>
      </c>
      <c r="G11" s="485">
        <v>4237</v>
      </c>
      <c r="H11" s="485">
        <v>1980</v>
      </c>
      <c r="I11" s="485">
        <v>1216</v>
      </c>
      <c r="J11" s="1782">
        <f t="shared" si="0"/>
        <v>43157</v>
      </c>
      <c r="K11" s="1783">
        <f t="shared" si="1"/>
        <v>2.4081413782155191E-2</v>
      </c>
    </row>
    <row r="12" spans="1:12" ht="13.5" customHeight="1">
      <c r="A12" s="1617" t="s">
        <v>890</v>
      </c>
      <c r="B12" s="485">
        <v>5379</v>
      </c>
      <c r="C12" s="485">
        <v>7971</v>
      </c>
      <c r="D12" s="485">
        <v>5479</v>
      </c>
      <c r="E12" s="485">
        <v>9615</v>
      </c>
      <c r="F12" s="485">
        <v>6730</v>
      </c>
      <c r="G12" s="485">
        <v>2932</v>
      </c>
      <c r="H12" s="485">
        <v>1068</v>
      </c>
      <c r="I12" s="485">
        <v>543</v>
      </c>
      <c r="J12" s="1782">
        <f t="shared" si="0"/>
        <v>39717</v>
      </c>
      <c r="K12" s="1783">
        <f t="shared" si="1"/>
        <v>2.2161909103641533E-2</v>
      </c>
    </row>
    <row r="13" spans="1:12" ht="13.5" customHeight="1">
      <c r="A13" s="1617" t="s">
        <v>891</v>
      </c>
      <c r="B13" s="485">
        <v>4121</v>
      </c>
      <c r="C13" s="485">
        <v>7914</v>
      </c>
      <c r="D13" s="485">
        <v>4454</v>
      </c>
      <c r="E13" s="485">
        <v>6261</v>
      </c>
      <c r="F13" s="485">
        <v>4650</v>
      </c>
      <c r="G13" s="485">
        <v>2718</v>
      </c>
      <c r="H13" s="485">
        <v>1606</v>
      </c>
      <c r="I13" s="485">
        <v>1075</v>
      </c>
      <c r="J13" s="1782">
        <f t="shared" si="0"/>
        <v>32799</v>
      </c>
      <c r="K13" s="1783">
        <f t="shared" si="1"/>
        <v>1.8301695915863201E-2</v>
      </c>
    </row>
    <row r="14" spans="1:12" ht="13.5" customHeight="1">
      <c r="A14" s="1618" t="s">
        <v>567</v>
      </c>
      <c r="B14" s="485">
        <v>3170</v>
      </c>
      <c r="C14" s="485">
        <v>7224</v>
      </c>
      <c r="D14" s="485">
        <v>4371</v>
      </c>
      <c r="E14" s="485">
        <v>6026</v>
      </c>
      <c r="F14" s="485">
        <v>4472</v>
      </c>
      <c r="G14" s="485">
        <v>2517</v>
      </c>
      <c r="H14" s="485">
        <v>1428</v>
      </c>
      <c r="I14" s="485">
        <v>954</v>
      </c>
      <c r="J14" s="1782">
        <f t="shared" si="0"/>
        <v>30162</v>
      </c>
      <c r="K14" s="1783">
        <f t="shared" si="1"/>
        <v>1.6830261660851425E-2</v>
      </c>
    </row>
    <row r="15" spans="1:12" ht="13.5" customHeight="1">
      <c r="A15" s="1617" t="s">
        <v>561</v>
      </c>
      <c r="B15" s="485">
        <v>3378</v>
      </c>
      <c r="C15" s="485">
        <v>6879</v>
      </c>
      <c r="D15" s="485">
        <v>3671</v>
      </c>
      <c r="E15" s="485">
        <v>4760</v>
      </c>
      <c r="F15" s="485">
        <v>3532</v>
      </c>
      <c r="G15" s="485">
        <v>1804</v>
      </c>
      <c r="H15" s="485">
        <v>943</v>
      </c>
      <c r="I15" s="485">
        <v>462</v>
      </c>
      <c r="J15" s="1782">
        <f t="shared" si="0"/>
        <v>25429</v>
      </c>
      <c r="K15" s="1783">
        <f t="shared" si="1"/>
        <v>1.4189268741256908E-2</v>
      </c>
    </row>
    <row r="16" spans="1:12" ht="13.5" customHeight="1">
      <c r="A16" s="1617" t="s">
        <v>897</v>
      </c>
      <c r="B16" s="485">
        <v>2297</v>
      </c>
      <c r="C16" s="485">
        <v>4266</v>
      </c>
      <c r="D16" s="485">
        <v>2956</v>
      </c>
      <c r="E16" s="485">
        <v>3856</v>
      </c>
      <c r="F16" s="485">
        <v>2411</v>
      </c>
      <c r="G16" s="485">
        <v>1172</v>
      </c>
      <c r="H16" s="485">
        <v>650</v>
      </c>
      <c r="I16" s="485">
        <v>393</v>
      </c>
      <c r="J16" s="1782">
        <f t="shared" si="0"/>
        <v>18001</v>
      </c>
      <c r="K16" s="1783">
        <f t="shared" si="1"/>
        <v>1.0044477824978E-2</v>
      </c>
    </row>
    <row r="17" spans="1:11" ht="13.5" customHeight="1">
      <c r="A17" s="1617" t="s">
        <v>546</v>
      </c>
      <c r="B17" s="485">
        <v>2025</v>
      </c>
      <c r="C17" s="485">
        <v>4335</v>
      </c>
      <c r="D17" s="485">
        <v>2553</v>
      </c>
      <c r="E17" s="485">
        <v>3231</v>
      </c>
      <c r="F17" s="485">
        <v>2607</v>
      </c>
      <c r="G17" s="485">
        <v>1524</v>
      </c>
      <c r="H17" s="485">
        <v>808</v>
      </c>
      <c r="I17" s="485">
        <v>570</v>
      </c>
      <c r="J17" s="1782">
        <f t="shared" si="0"/>
        <v>17653</v>
      </c>
      <c r="K17" s="1783">
        <f t="shared" si="1"/>
        <v>9.850295374942317E-3</v>
      </c>
    </row>
    <row r="18" spans="1:11" ht="13.5" customHeight="1">
      <c r="A18" s="1617" t="s">
        <v>549</v>
      </c>
      <c r="B18" s="485">
        <v>1793</v>
      </c>
      <c r="C18" s="485">
        <v>3673</v>
      </c>
      <c r="D18" s="485">
        <v>2295</v>
      </c>
      <c r="E18" s="485">
        <v>3009</v>
      </c>
      <c r="F18" s="485">
        <v>2037</v>
      </c>
      <c r="G18" s="485">
        <v>1169</v>
      </c>
      <c r="H18" s="485">
        <v>577</v>
      </c>
      <c r="I18" s="485">
        <v>305</v>
      </c>
      <c r="J18" s="1782">
        <f t="shared" si="0"/>
        <v>14858</v>
      </c>
      <c r="K18" s="1783">
        <f t="shared" si="1"/>
        <v>8.2906978236499708E-3</v>
      </c>
    </row>
    <row r="19" spans="1:11" ht="13.5" customHeight="1">
      <c r="A19" s="1617" t="s">
        <v>557</v>
      </c>
      <c r="B19" s="485">
        <v>1528</v>
      </c>
      <c r="C19" s="485">
        <v>3395</v>
      </c>
      <c r="D19" s="485">
        <v>1957</v>
      </c>
      <c r="E19" s="485">
        <v>2417</v>
      </c>
      <c r="F19" s="485">
        <v>2196</v>
      </c>
      <c r="G19" s="485">
        <v>1232</v>
      </c>
      <c r="H19" s="485">
        <v>614</v>
      </c>
      <c r="I19" s="485">
        <v>413</v>
      </c>
      <c r="J19" s="1782">
        <f t="shared" si="0"/>
        <v>13752</v>
      </c>
      <c r="K19" s="1783">
        <f t="shared" si="1"/>
        <v>7.6735547496859877E-3</v>
      </c>
    </row>
    <row r="20" spans="1:11" ht="13.5" customHeight="1">
      <c r="A20" s="1617" t="s">
        <v>571</v>
      </c>
      <c r="B20" s="485">
        <v>1807</v>
      </c>
      <c r="C20" s="485">
        <v>3264</v>
      </c>
      <c r="D20" s="485">
        <v>1813</v>
      </c>
      <c r="E20" s="485">
        <v>2412</v>
      </c>
      <c r="F20" s="485">
        <v>1730</v>
      </c>
      <c r="G20" s="485">
        <v>1036</v>
      </c>
      <c r="H20" s="485">
        <v>455</v>
      </c>
      <c r="I20" s="485">
        <v>235</v>
      </c>
      <c r="J20" s="1782">
        <f t="shared" si="0"/>
        <v>12752</v>
      </c>
      <c r="K20" s="1783">
        <f t="shared" si="1"/>
        <v>7.1155592036064369E-3</v>
      </c>
    </row>
    <row r="21" spans="1:11" ht="13.5" customHeight="1">
      <c r="A21" s="1617" t="s">
        <v>573</v>
      </c>
      <c r="B21" s="485">
        <v>1635</v>
      </c>
      <c r="C21" s="485">
        <v>3134</v>
      </c>
      <c r="D21" s="485">
        <v>1947</v>
      </c>
      <c r="E21" s="485">
        <v>2731</v>
      </c>
      <c r="F21" s="485">
        <v>1607</v>
      </c>
      <c r="G21" s="485">
        <v>823</v>
      </c>
      <c r="H21" s="485">
        <v>492</v>
      </c>
      <c r="I21" s="485">
        <v>262</v>
      </c>
      <c r="J21" s="1782">
        <f t="shared" si="0"/>
        <v>12631</v>
      </c>
      <c r="K21" s="1783">
        <f t="shared" si="1"/>
        <v>7.0480417425308108E-3</v>
      </c>
    </row>
    <row r="22" spans="1:11" ht="13.5" customHeight="1">
      <c r="A22" s="1618" t="s">
        <v>562</v>
      </c>
      <c r="B22" s="485">
        <v>1428</v>
      </c>
      <c r="C22" s="485">
        <v>2607</v>
      </c>
      <c r="D22" s="485">
        <v>1606</v>
      </c>
      <c r="E22" s="485">
        <v>2080</v>
      </c>
      <c r="F22" s="485">
        <v>1408</v>
      </c>
      <c r="G22" s="485">
        <v>799</v>
      </c>
      <c r="H22" s="485">
        <v>477</v>
      </c>
      <c r="I22" s="485">
        <v>321</v>
      </c>
      <c r="J22" s="1782">
        <f t="shared" si="0"/>
        <v>10726</v>
      </c>
      <c r="K22" s="1783">
        <f t="shared" si="1"/>
        <v>5.9850602272492658E-3</v>
      </c>
    </row>
    <row r="23" spans="1:11" ht="13.5" customHeight="1">
      <c r="A23" s="1617" t="s">
        <v>560</v>
      </c>
      <c r="B23" s="485">
        <v>937</v>
      </c>
      <c r="C23" s="485">
        <v>2276</v>
      </c>
      <c r="D23" s="485">
        <v>1661</v>
      </c>
      <c r="E23" s="485">
        <v>2090</v>
      </c>
      <c r="F23" s="485">
        <v>1557</v>
      </c>
      <c r="G23" s="485">
        <v>801</v>
      </c>
      <c r="H23" s="485">
        <v>341</v>
      </c>
      <c r="I23" s="485">
        <v>183</v>
      </c>
      <c r="J23" s="1782">
        <f t="shared" si="0"/>
        <v>9846</v>
      </c>
      <c r="K23" s="1783">
        <f t="shared" si="1"/>
        <v>5.4940241466992614E-3</v>
      </c>
    </row>
    <row r="24" spans="1:11" ht="13.5" customHeight="1">
      <c r="A24" s="1617" t="s">
        <v>896</v>
      </c>
      <c r="B24" s="485">
        <v>1043</v>
      </c>
      <c r="C24" s="485">
        <v>2195</v>
      </c>
      <c r="D24" s="485">
        <v>1132</v>
      </c>
      <c r="E24" s="485">
        <v>1586</v>
      </c>
      <c r="F24" s="485">
        <v>1166</v>
      </c>
      <c r="G24" s="485">
        <v>695</v>
      </c>
      <c r="H24" s="485">
        <v>396</v>
      </c>
      <c r="I24" s="485">
        <v>359</v>
      </c>
      <c r="J24" s="1782">
        <f t="shared" si="0"/>
        <v>8572</v>
      </c>
      <c r="K24" s="1783">
        <f t="shared" si="1"/>
        <v>4.7831378209939124E-3</v>
      </c>
    </row>
    <row r="25" spans="1:11" ht="13.5" customHeight="1">
      <c r="A25" s="1617" t="s">
        <v>893</v>
      </c>
      <c r="B25" s="485">
        <v>995</v>
      </c>
      <c r="C25" s="485">
        <v>1878</v>
      </c>
      <c r="D25" s="485">
        <v>1154</v>
      </c>
      <c r="E25" s="485">
        <v>1728</v>
      </c>
      <c r="F25" s="485">
        <v>1302</v>
      </c>
      <c r="G25" s="485">
        <v>723</v>
      </c>
      <c r="H25" s="485">
        <v>345</v>
      </c>
      <c r="I25" s="485">
        <v>208</v>
      </c>
      <c r="J25" s="1782">
        <f t="shared" si="0"/>
        <v>8333</v>
      </c>
      <c r="K25" s="1783">
        <f t="shared" si="1"/>
        <v>4.6497768854809E-3</v>
      </c>
    </row>
    <row r="26" spans="1:11" ht="13.5" customHeight="1">
      <c r="A26" s="1618" t="s">
        <v>559</v>
      </c>
      <c r="B26" s="485">
        <v>849</v>
      </c>
      <c r="C26" s="485">
        <v>1805</v>
      </c>
      <c r="D26" s="485">
        <v>1222</v>
      </c>
      <c r="E26" s="485">
        <v>1435</v>
      </c>
      <c r="F26" s="485">
        <v>1137</v>
      </c>
      <c r="G26" s="485">
        <v>697</v>
      </c>
      <c r="H26" s="485">
        <v>439</v>
      </c>
      <c r="I26" s="485">
        <v>361</v>
      </c>
      <c r="J26" s="1782">
        <f t="shared" si="0"/>
        <v>7945</v>
      </c>
      <c r="K26" s="1783">
        <f t="shared" si="1"/>
        <v>4.4332746136020338E-3</v>
      </c>
    </row>
    <row r="27" spans="1:11" ht="13.5" customHeight="1">
      <c r="A27" s="1617" t="s">
        <v>568</v>
      </c>
      <c r="B27" s="485">
        <v>793</v>
      </c>
      <c r="C27" s="485">
        <v>1653</v>
      </c>
      <c r="D27" s="485">
        <v>1073</v>
      </c>
      <c r="E27" s="485">
        <v>1349</v>
      </c>
      <c r="F27" s="485">
        <v>1022</v>
      </c>
      <c r="G27" s="485">
        <v>558</v>
      </c>
      <c r="H27" s="485">
        <v>289</v>
      </c>
      <c r="I27" s="485">
        <v>194</v>
      </c>
      <c r="J27" s="1782">
        <f t="shared" si="0"/>
        <v>6931</v>
      </c>
      <c r="K27" s="1783">
        <f t="shared" si="1"/>
        <v>3.8674671298773691E-3</v>
      </c>
    </row>
    <row r="28" spans="1:11" ht="13.5" customHeight="1">
      <c r="A28" s="1617" t="s">
        <v>554</v>
      </c>
      <c r="B28" s="485">
        <v>726</v>
      </c>
      <c r="C28" s="485">
        <v>1483</v>
      </c>
      <c r="D28" s="485">
        <v>857</v>
      </c>
      <c r="E28" s="485">
        <v>1204</v>
      </c>
      <c r="F28" s="485">
        <v>798</v>
      </c>
      <c r="G28" s="485">
        <v>448</v>
      </c>
      <c r="H28" s="485">
        <v>234</v>
      </c>
      <c r="I28" s="485">
        <v>123</v>
      </c>
      <c r="J28" s="1782">
        <f t="shared" si="0"/>
        <v>5873</v>
      </c>
      <c r="K28" s="1783">
        <f t="shared" si="1"/>
        <v>3.2771078421252042E-3</v>
      </c>
    </row>
    <row r="29" spans="1:11" ht="13.5" customHeight="1">
      <c r="A29" s="1617" t="s">
        <v>547</v>
      </c>
      <c r="B29" s="485">
        <v>736</v>
      </c>
      <c r="C29" s="485">
        <v>1212</v>
      </c>
      <c r="D29" s="485">
        <v>740</v>
      </c>
      <c r="E29" s="485">
        <v>989</v>
      </c>
      <c r="F29" s="485">
        <v>751</v>
      </c>
      <c r="G29" s="485">
        <v>375</v>
      </c>
      <c r="H29" s="485">
        <v>268</v>
      </c>
      <c r="I29" s="485">
        <v>214</v>
      </c>
      <c r="J29" s="1782">
        <f t="shared" si="0"/>
        <v>5285</v>
      </c>
      <c r="K29" s="1783">
        <f t="shared" si="1"/>
        <v>2.9490064610304279E-3</v>
      </c>
    </row>
    <row r="30" spans="1:11" ht="13.5" customHeight="1">
      <c r="A30" s="1617" t="s">
        <v>570</v>
      </c>
      <c r="B30" s="485">
        <v>528</v>
      </c>
      <c r="C30" s="485">
        <v>1220</v>
      </c>
      <c r="D30" s="485">
        <v>791</v>
      </c>
      <c r="E30" s="485">
        <v>1007</v>
      </c>
      <c r="F30" s="485">
        <v>757</v>
      </c>
      <c r="G30" s="485">
        <v>398</v>
      </c>
      <c r="H30" s="485">
        <v>226</v>
      </c>
      <c r="I30" s="485">
        <v>178</v>
      </c>
      <c r="J30" s="1782">
        <f t="shared" si="0"/>
        <v>5105</v>
      </c>
      <c r="K30" s="1783">
        <f t="shared" si="1"/>
        <v>2.8485672627361087E-3</v>
      </c>
    </row>
    <row r="31" spans="1:11" ht="13.5" customHeight="1">
      <c r="A31" s="1617" t="s">
        <v>572</v>
      </c>
      <c r="B31" s="485">
        <v>474</v>
      </c>
      <c r="C31" s="485">
        <v>956</v>
      </c>
      <c r="D31" s="485">
        <v>663</v>
      </c>
      <c r="E31" s="485">
        <v>1008</v>
      </c>
      <c r="F31" s="485">
        <v>732</v>
      </c>
      <c r="G31" s="485">
        <v>335</v>
      </c>
      <c r="H31" s="485">
        <v>210</v>
      </c>
      <c r="I31" s="485">
        <v>99</v>
      </c>
      <c r="J31" s="1782">
        <f t="shared" si="0"/>
        <v>4477</v>
      </c>
      <c r="K31" s="1783">
        <f t="shared" si="1"/>
        <v>2.4981460597981505E-3</v>
      </c>
    </row>
    <row r="32" spans="1:11" ht="13.5" customHeight="1">
      <c r="A32" s="1617" t="s">
        <v>552</v>
      </c>
      <c r="B32" s="485">
        <v>365</v>
      </c>
      <c r="C32" s="485">
        <v>942</v>
      </c>
      <c r="D32" s="485">
        <v>633</v>
      </c>
      <c r="E32" s="485">
        <v>712</v>
      </c>
      <c r="F32" s="485">
        <v>578</v>
      </c>
      <c r="G32" s="485">
        <v>346</v>
      </c>
      <c r="H32" s="485">
        <v>166</v>
      </c>
      <c r="I32" s="485">
        <v>132</v>
      </c>
      <c r="J32" s="1782">
        <f t="shared" si="0"/>
        <v>3874</v>
      </c>
      <c r="K32" s="1783">
        <f t="shared" si="1"/>
        <v>2.1616747455121812E-3</v>
      </c>
    </row>
    <row r="33" spans="1:11" ht="13.5" customHeight="1">
      <c r="A33" s="1617" t="s">
        <v>892</v>
      </c>
      <c r="B33" s="485">
        <v>333</v>
      </c>
      <c r="C33" s="485">
        <v>642</v>
      </c>
      <c r="D33" s="485">
        <v>557</v>
      </c>
      <c r="E33" s="485">
        <v>824</v>
      </c>
      <c r="F33" s="485">
        <v>427</v>
      </c>
      <c r="G33" s="485">
        <v>191</v>
      </c>
      <c r="H33" s="485">
        <v>75</v>
      </c>
      <c r="I33" s="485">
        <v>53</v>
      </c>
      <c r="J33" s="1782">
        <f t="shared" si="0"/>
        <v>3102</v>
      </c>
      <c r="K33" s="1783">
        <f t="shared" si="1"/>
        <v>1.7309021839387677E-3</v>
      </c>
    </row>
    <row r="34" spans="1:11" ht="13.5" customHeight="1">
      <c r="A34" s="1617" t="s">
        <v>565</v>
      </c>
      <c r="B34" s="485">
        <v>229</v>
      </c>
      <c r="C34" s="485">
        <v>462</v>
      </c>
      <c r="D34" s="485">
        <v>327</v>
      </c>
      <c r="E34" s="485">
        <v>470</v>
      </c>
      <c r="F34" s="485">
        <v>319</v>
      </c>
      <c r="G34" s="485">
        <v>158</v>
      </c>
      <c r="H34" s="485">
        <v>77</v>
      </c>
      <c r="I34" s="485">
        <v>49</v>
      </c>
      <c r="J34" s="1782">
        <f t="shared" si="0"/>
        <v>2091</v>
      </c>
      <c r="K34" s="1783">
        <f t="shared" si="1"/>
        <v>1.1667686868523416E-3</v>
      </c>
    </row>
    <row r="35" spans="1:11" ht="13.5" customHeight="1">
      <c r="A35" s="1617" t="s">
        <v>895</v>
      </c>
      <c r="B35" s="485">
        <v>166</v>
      </c>
      <c r="C35" s="485">
        <v>420</v>
      </c>
      <c r="D35" s="485">
        <v>312</v>
      </c>
      <c r="E35" s="485">
        <v>374</v>
      </c>
      <c r="F35" s="485">
        <v>233</v>
      </c>
      <c r="G35" s="485">
        <v>118</v>
      </c>
      <c r="H35" s="485">
        <v>50</v>
      </c>
      <c r="I35" s="485">
        <v>19</v>
      </c>
      <c r="J35" s="1782">
        <f t="shared" si="0"/>
        <v>1692</v>
      </c>
      <c r="K35" s="1783">
        <f t="shared" si="1"/>
        <v>9.4412846396660062E-4</v>
      </c>
    </row>
    <row r="36" spans="1:11" ht="15.75" customHeight="1">
      <c r="A36" s="1617" t="s">
        <v>580</v>
      </c>
      <c r="B36" s="485">
        <v>9084</v>
      </c>
      <c r="C36" s="485">
        <v>24095</v>
      </c>
      <c r="D36" s="485">
        <v>79413</v>
      </c>
      <c r="E36" s="485">
        <v>110289</v>
      </c>
      <c r="F36" s="485">
        <v>64832</v>
      </c>
      <c r="G36" s="485">
        <v>34947</v>
      </c>
      <c r="H36" s="485">
        <v>16805</v>
      </c>
      <c r="I36" s="485">
        <v>11281</v>
      </c>
      <c r="J36" s="1782">
        <f>SUM(B36:I36)</f>
        <v>350746</v>
      </c>
      <c r="K36" s="1783">
        <f t="shared" si="1"/>
        <v>0.19571470580521827</v>
      </c>
    </row>
    <row r="37" spans="1:11" ht="15">
      <c r="A37" s="1784" t="s">
        <v>23</v>
      </c>
      <c r="B37" s="1785">
        <f>SUM(B4:B36)</f>
        <v>178155</v>
      </c>
      <c r="C37" s="1785">
        <f t="shared" ref="C37:J37" si="2">SUM(C4:C36)</f>
        <v>353121</v>
      </c>
      <c r="D37" s="1785">
        <f t="shared" si="2"/>
        <v>291994</v>
      </c>
      <c r="E37" s="1785">
        <f t="shared" si="2"/>
        <v>389002</v>
      </c>
      <c r="F37" s="1785">
        <f t="shared" si="2"/>
        <v>286805</v>
      </c>
      <c r="G37" s="1785">
        <f t="shared" si="2"/>
        <v>164063</v>
      </c>
      <c r="H37" s="1785">
        <f t="shared" si="2"/>
        <v>81995</v>
      </c>
      <c r="I37" s="1785">
        <f t="shared" si="2"/>
        <v>46994</v>
      </c>
      <c r="J37" s="1785">
        <f t="shared" si="2"/>
        <v>1792129</v>
      </c>
      <c r="K37" s="1786">
        <f>SUM(K4:K35)</f>
        <v>0.80428529419478201</v>
      </c>
    </row>
    <row r="38" spans="1:11" ht="15">
      <c r="A38" s="1784" t="s">
        <v>867</v>
      </c>
      <c r="B38" s="1786">
        <f>B37/$J$37</f>
        <v>9.9409696511802439E-2</v>
      </c>
      <c r="C38" s="1786">
        <f t="shared" ref="C38:J38" si="3">C37/$J$37</f>
        <v>0.1970399452271572</v>
      </c>
      <c r="D38" s="1786">
        <f t="shared" si="3"/>
        <v>0.16293135148195248</v>
      </c>
      <c r="E38" s="1786">
        <f t="shared" si="3"/>
        <v>0.21706138341603756</v>
      </c>
      <c r="F38" s="1786">
        <f t="shared" si="3"/>
        <v>0.16003591259334568</v>
      </c>
      <c r="G38" s="1786">
        <f t="shared" si="3"/>
        <v>9.1546423276449407E-2</v>
      </c>
      <c r="H38" s="1786">
        <f t="shared" si="3"/>
        <v>4.5752844800792801E-2</v>
      </c>
      <c r="I38" s="1786">
        <f t="shared" si="3"/>
        <v>2.622244269246243E-2</v>
      </c>
      <c r="J38" s="1786">
        <f t="shared" si="3"/>
        <v>1</v>
      </c>
      <c r="K38" s="1787"/>
    </row>
    <row r="39" spans="1:11" ht="13.5" customHeight="1">
      <c r="A39" s="128"/>
      <c r="B39" s="128"/>
      <c r="C39" s="128"/>
      <c r="D39" s="128"/>
      <c r="E39" s="128"/>
      <c r="F39" s="128"/>
      <c r="G39" s="128"/>
      <c r="H39" s="128"/>
      <c r="I39" s="128"/>
      <c r="J39" s="128"/>
      <c r="K39" s="128"/>
    </row>
    <row r="40" spans="1:11" ht="13.5" customHeight="1">
      <c r="A40" s="128"/>
      <c r="B40" s="128"/>
      <c r="C40" s="128"/>
      <c r="D40" s="128"/>
      <c r="E40" s="128"/>
      <c r="F40" s="128"/>
      <c r="G40" s="128"/>
      <c r="H40" s="128"/>
      <c r="I40" s="128"/>
      <c r="J40" s="128"/>
      <c r="K40" s="128"/>
    </row>
    <row r="41" spans="1:11" ht="13.5" customHeight="1">
      <c r="A41" s="128"/>
      <c r="B41" s="128"/>
      <c r="C41" s="128"/>
      <c r="D41" s="128"/>
      <c r="E41" s="128"/>
      <c r="F41" s="128"/>
      <c r="G41" s="128"/>
      <c r="H41" s="128"/>
      <c r="I41" s="128"/>
      <c r="J41" s="128"/>
      <c r="K41" s="128"/>
    </row>
    <row r="42" spans="1:11" ht="13.5" customHeight="1">
      <c r="A42" s="128"/>
      <c r="B42" s="128"/>
      <c r="C42" s="128"/>
      <c r="D42" s="128"/>
      <c r="E42" s="128"/>
      <c r="F42" s="128"/>
      <c r="G42" s="128"/>
      <c r="H42" s="128"/>
      <c r="I42" s="128"/>
      <c r="J42" s="128"/>
      <c r="K42" s="128"/>
    </row>
    <row r="43" spans="1:11" ht="13.5" customHeight="1">
      <c r="A43" s="128"/>
      <c r="B43" s="128"/>
      <c r="C43" s="128"/>
      <c r="D43" s="128"/>
      <c r="E43" s="128"/>
      <c r="F43" s="128"/>
      <c r="G43" s="128"/>
      <c r="H43" s="128"/>
      <c r="I43" s="128"/>
      <c r="J43" s="128"/>
      <c r="K43" s="128"/>
    </row>
    <row r="44" spans="1:11" ht="13.5" customHeight="1">
      <c r="A44" s="128"/>
      <c r="B44" s="128"/>
      <c r="C44" s="128"/>
      <c r="D44" s="128"/>
      <c r="E44" s="128"/>
      <c r="F44" s="128"/>
      <c r="G44" s="128"/>
      <c r="H44" s="128"/>
      <c r="I44" s="128"/>
      <c r="J44" s="128"/>
      <c r="K44" s="128"/>
    </row>
    <row r="45" spans="1:11" ht="13.5" customHeight="1">
      <c r="A45" s="128"/>
      <c r="B45" s="128"/>
      <c r="C45" s="128"/>
      <c r="D45" s="128"/>
      <c r="E45" s="128"/>
      <c r="F45" s="128"/>
      <c r="G45" s="128"/>
      <c r="H45" s="128"/>
      <c r="I45" s="128"/>
      <c r="J45" s="128"/>
      <c r="K45" s="128"/>
    </row>
    <row r="46" spans="1:11" ht="13.5" customHeight="1">
      <c r="A46" s="128"/>
      <c r="B46" s="128"/>
      <c r="C46" s="128"/>
      <c r="D46" s="128"/>
      <c r="E46" s="128"/>
      <c r="F46" s="128"/>
      <c r="G46" s="128"/>
      <c r="H46" s="128"/>
      <c r="I46" s="128"/>
      <c r="J46" s="128"/>
      <c r="K46" s="128"/>
    </row>
    <row r="47" spans="1:11" ht="13.5" customHeight="1">
      <c r="A47" s="128"/>
      <c r="B47" s="128"/>
      <c r="C47" s="128"/>
      <c r="D47" s="128"/>
      <c r="E47" s="128"/>
      <c r="F47" s="128"/>
      <c r="G47" s="128"/>
      <c r="H47" s="128"/>
      <c r="I47" s="128"/>
      <c r="J47" s="128"/>
      <c r="K47" s="128"/>
    </row>
    <row r="48" spans="1:11" ht="13.5" customHeight="1">
      <c r="A48" s="128"/>
      <c r="B48" s="128"/>
      <c r="C48" s="128"/>
      <c r="D48" s="128"/>
      <c r="E48" s="128"/>
      <c r="F48" s="128"/>
      <c r="G48" s="128"/>
      <c r="H48" s="128"/>
      <c r="I48" s="128"/>
      <c r="J48" s="128"/>
      <c r="K48" s="128"/>
    </row>
    <row r="49" spans="1:11" ht="13.5" customHeight="1">
      <c r="A49" s="128"/>
      <c r="B49" s="128"/>
      <c r="C49" s="128"/>
      <c r="D49" s="128"/>
      <c r="E49" s="128"/>
      <c r="F49" s="128"/>
      <c r="G49" s="128"/>
      <c r="H49" s="128"/>
      <c r="I49" s="128"/>
      <c r="J49" s="128"/>
      <c r="K49" s="128"/>
    </row>
    <row r="50" spans="1:11" ht="13.5" customHeight="1">
      <c r="A50" s="128"/>
      <c r="B50" s="128"/>
      <c r="C50" s="128"/>
      <c r="D50" s="128"/>
      <c r="E50" s="128"/>
      <c r="F50" s="128"/>
      <c r="G50" s="128"/>
      <c r="H50" s="128"/>
      <c r="I50" s="128"/>
      <c r="J50" s="128"/>
      <c r="K50" s="128"/>
    </row>
    <row r="51" spans="1:11" ht="13.5" customHeight="1">
      <c r="A51" s="128"/>
      <c r="B51" s="128"/>
      <c r="C51" s="128"/>
      <c r="D51" s="128"/>
      <c r="E51" s="128"/>
      <c r="F51" s="128"/>
      <c r="G51" s="128"/>
      <c r="H51" s="128"/>
      <c r="I51" s="128"/>
      <c r="J51" s="128"/>
      <c r="K51" s="128"/>
    </row>
    <row r="52" spans="1:11" ht="13.5" customHeight="1">
      <c r="A52" s="128"/>
      <c r="B52" s="128"/>
      <c r="C52" s="128"/>
      <c r="D52" s="128"/>
      <c r="E52" s="128"/>
      <c r="F52" s="128"/>
      <c r="G52" s="128"/>
      <c r="H52" s="128"/>
      <c r="I52" s="128"/>
      <c r="J52" s="128"/>
      <c r="K52" s="128"/>
    </row>
    <row r="53" spans="1:11" ht="13.5" customHeight="1">
      <c r="A53" s="128"/>
      <c r="B53" s="128"/>
      <c r="C53" s="128"/>
      <c r="D53" s="128"/>
      <c r="E53" s="128"/>
      <c r="F53" s="128"/>
      <c r="G53" s="128"/>
      <c r="H53" s="128"/>
      <c r="I53" s="128"/>
      <c r="J53" s="128"/>
      <c r="K53" s="128"/>
    </row>
    <row r="54" spans="1:11" ht="13.5" customHeight="1">
      <c r="A54" s="128"/>
      <c r="B54" s="128"/>
      <c r="C54" s="128"/>
      <c r="D54" s="128"/>
      <c r="E54" s="128"/>
      <c r="F54" s="128"/>
      <c r="G54" s="128"/>
      <c r="H54" s="128"/>
      <c r="I54" s="128"/>
      <c r="J54" s="128"/>
      <c r="K54" s="128"/>
    </row>
    <row r="55" spans="1:11" ht="13.5" customHeight="1">
      <c r="A55" s="128"/>
      <c r="B55" s="128"/>
      <c r="C55" s="128"/>
      <c r="D55" s="128"/>
      <c r="E55" s="128"/>
      <c r="F55" s="128"/>
      <c r="G55" s="128"/>
      <c r="H55" s="128"/>
      <c r="I55" s="128"/>
      <c r="J55" s="128"/>
      <c r="K55" s="128"/>
    </row>
    <row r="56" spans="1:11" ht="13.5" customHeight="1">
      <c r="A56" s="128"/>
      <c r="B56" s="128"/>
      <c r="C56" s="128"/>
      <c r="D56" s="128"/>
      <c r="E56" s="128"/>
      <c r="F56" s="128"/>
      <c r="G56" s="128"/>
      <c r="H56" s="128"/>
      <c r="I56" s="128"/>
      <c r="J56" s="128"/>
      <c r="K56" s="128"/>
    </row>
    <row r="57" spans="1:11" ht="13.5" customHeight="1">
      <c r="A57" s="128"/>
      <c r="B57" s="128"/>
      <c r="C57" s="128"/>
      <c r="D57" s="128"/>
      <c r="E57" s="128"/>
      <c r="F57" s="128"/>
      <c r="G57" s="128"/>
      <c r="H57" s="128"/>
      <c r="I57" s="128"/>
      <c r="J57" s="128"/>
      <c r="K57" s="128"/>
    </row>
    <row r="58" spans="1:11" ht="13.5" customHeight="1">
      <c r="A58" s="128"/>
      <c r="B58" s="128"/>
      <c r="C58" s="128"/>
      <c r="D58" s="128"/>
      <c r="E58" s="128"/>
      <c r="F58" s="128"/>
      <c r="G58" s="128"/>
      <c r="H58" s="128"/>
      <c r="I58" s="128"/>
      <c r="J58" s="128"/>
      <c r="K58" s="128"/>
    </row>
    <row r="59" spans="1:11" ht="13.5" customHeight="1">
      <c r="A59" s="128"/>
      <c r="B59" s="128"/>
      <c r="C59" s="128"/>
      <c r="D59" s="128"/>
      <c r="E59" s="128"/>
      <c r="F59" s="128"/>
      <c r="G59" s="128"/>
      <c r="H59" s="128"/>
      <c r="I59" s="128"/>
      <c r="J59" s="128"/>
      <c r="K59" s="128"/>
    </row>
    <row r="60" spans="1:11" ht="13.5" customHeight="1">
      <c r="A60" s="128"/>
      <c r="B60" s="128"/>
      <c r="C60" s="128"/>
      <c r="D60" s="128"/>
      <c r="E60" s="128"/>
      <c r="F60" s="128"/>
      <c r="G60" s="128"/>
      <c r="H60" s="128"/>
      <c r="I60" s="128"/>
      <c r="J60" s="128"/>
      <c r="K60" s="128"/>
    </row>
    <row r="61" spans="1:11" ht="13.5" customHeight="1">
      <c r="A61" s="128"/>
      <c r="B61" s="128"/>
      <c r="C61" s="128"/>
      <c r="D61" s="128"/>
      <c r="E61" s="128"/>
      <c r="F61" s="128"/>
      <c r="G61" s="128"/>
      <c r="H61" s="128"/>
      <c r="I61" s="128"/>
      <c r="J61" s="128"/>
      <c r="K61" s="128"/>
    </row>
    <row r="62" spans="1:11" ht="13.5" customHeight="1">
      <c r="A62" s="128"/>
      <c r="B62" s="128"/>
      <c r="C62" s="128"/>
      <c r="D62" s="128"/>
      <c r="E62" s="128"/>
      <c r="F62" s="128"/>
      <c r="G62" s="128"/>
      <c r="H62" s="128"/>
      <c r="I62" s="128"/>
      <c r="J62" s="128"/>
      <c r="K62" s="128"/>
    </row>
    <row r="63" spans="1:11" ht="13.5" customHeight="1">
      <c r="A63" s="128"/>
      <c r="B63" s="128"/>
      <c r="C63" s="128"/>
      <c r="D63" s="128"/>
      <c r="E63" s="128"/>
      <c r="F63" s="128"/>
      <c r="G63" s="128"/>
      <c r="H63" s="128"/>
      <c r="I63" s="128"/>
      <c r="J63" s="128"/>
      <c r="K63" s="128"/>
    </row>
    <row r="64" spans="1:11" ht="13.5" customHeight="1">
      <c r="A64" s="128"/>
      <c r="B64" s="128"/>
      <c r="C64" s="128"/>
      <c r="D64" s="128"/>
      <c r="E64" s="128"/>
      <c r="F64" s="128"/>
      <c r="G64" s="128"/>
      <c r="H64" s="128"/>
      <c r="I64" s="128"/>
      <c r="J64" s="128"/>
      <c r="K64" s="128"/>
    </row>
    <row r="65" spans="1:11" ht="13.5" customHeight="1">
      <c r="A65" s="128"/>
      <c r="B65" s="128"/>
      <c r="C65" s="128"/>
      <c r="D65" s="128"/>
      <c r="E65" s="128"/>
      <c r="F65" s="128"/>
      <c r="G65" s="128"/>
      <c r="H65" s="128"/>
      <c r="I65" s="128"/>
      <c r="J65" s="128"/>
      <c r="K65" s="128"/>
    </row>
    <row r="66" spans="1:11" ht="13.5" customHeight="1">
      <c r="A66" s="59"/>
      <c r="B66" s="59"/>
      <c r="C66" s="59"/>
      <c r="D66" s="59"/>
      <c r="E66" s="59"/>
      <c r="F66" s="59"/>
      <c r="G66" s="59"/>
      <c r="H66" s="59"/>
      <c r="I66" s="59"/>
      <c r="J66" s="59"/>
      <c r="K66" s="59"/>
    </row>
    <row r="67" spans="1:11" ht="13.5" customHeight="1">
      <c r="A67" s="59"/>
      <c r="B67" s="59"/>
      <c r="C67" s="59"/>
      <c r="D67" s="59"/>
      <c r="E67" s="59"/>
      <c r="F67" s="59"/>
      <c r="G67" s="59"/>
      <c r="H67" s="59"/>
      <c r="I67" s="59"/>
      <c r="J67" s="59"/>
      <c r="K67" s="59"/>
    </row>
    <row r="68" spans="1:11" ht="13.5" customHeight="1">
      <c r="A68" s="59"/>
      <c r="B68" s="59"/>
      <c r="C68" s="59"/>
      <c r="D68" s="59"/>
      <c r="E68" s="59"/>
      <c r="F68" s="59"/>
      <c r="G68" s="59"/>
      <c r="H68" s="59"/>
      <c r="I68" s="59"/>
      <c r="J68" s="59"/>
      <c r="K68" s="59"/>
    </row>
    <row r="69" spans="1:11" ht="13.5" customHeight="1">
      <c r="A69" s="59"/>
      <c r="B69" s="59"/>
      <c r="C69" s="59"/>
      <c r="D69" s="59"/>
      <c r="E69" s="59"/>
      <c r="F69" s="59"/>
      <c r="G69" s="59"/>
      <c r="H69" s="59"/>
      <c r="I69" s="59"/>
      <c r="J69" s="59"/>
      <c r="K69" s="59"/>
    </row>
    <row r="70" spans="1:11" ht="13.5" customHeight="1">
      <c r="A70" s="59"/>
      <c r="B70" s="59"/>
      <c r="C70" s="59"/>
      <c r="D70" s="59"/>
      <c r="E70" s="59"/>
      <c r="F70" s="59"/>
      <c r="G70" s="59"/>
      <c r="H70" s="59"/>
      <c r="I70" s="59"/>
      <c r="J70" s="59"/>
      <c r="K70" s="59"/>
    </row>
  </sheetData>
  <mergeCells count="1">
    <mergeCell ref="A1:L1"/>
  </mergeCells>
  <printOptions horizontalCentered="1" verticalCentered="1"/>
  <pageMargins left="0.70866141732283472" right="0.70866141732283472" top="0.74803149606299213" bottom="0.74803149606299213" header="0.31496062992125984" footer="0.31496062992125984"/>
  <pageSetup scale="52" fitToWidth="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N60"/>
  <sheetViews>
    <sheetView showGridLines="0" view="pageBreakPreview" zoomScale="85" zoomScaleNormal="100" zoomScaleSheetLayoutView="85" workbookViewId="0">
      <selection activeCell="N12" sqref="N12"/>
    </sheetView>
  </sheetViews>
  <sheetFormatPr baseColWidth="10" defaultColWidth="11.5703125" defaultRowHeight="13.5" customHeight="1"/>
  <cols>
    <col min="1" max="1" width="23.5703125" customWidth="1"/>
    <col min="11" max="11" width="14.7109375" customWidth="1"/>
  </cols>
  <sheetData>
    <row r="1" spans="1:14" ht="58.5" customHeight="1">
      <c r="A1" s="2297" t="s">
        <v>1280</v>
      </c>
      <c r="B1" s="2297"/>
      <c r="C1" s="2297"/>
      <c r="D1" s="2297"/>
      <c r="E1" s="2297"/>
      <c r="F1" s="2297"/>
      <c r="G1" s="2297"/>
      <c r="H1" s="2297"/>
      <c r="I1" s="2297"/>
      <c r="J1" s="2297"/>
      <c r="K1" s="2297"/>
      <c r="L1" s="2297"/>
      <c r="M1" s="2297"/>
      <c r="N1" s="2297"/>
    </row>
    <row r="2" spans="1:14" s="128" customFormat="1" ht="5.25" customHeight="1">
      <c r="A2" s="619"/>
      <c r="B2" s="619"/>
      <c r="C2" s="619"/>
      <c r="D2" s="619"/>
      <c r="E2" s="619"/>
      <c r="F2" s="619"/>
      <c r="G2" s="619"/>
      <c r="H2" s="619"/>
      <c r="I2" s="619"/>
      <c r="J2" s="619"/>
      <c r="K2" s="619"/>
      <c r="L2" s="619"/>
      <c r="M2" s="619"/>
      <c r="N2" s="619"/>
    </row>
    <row r="3" spans="1:14" ht="34.5" customHeight="1">
      <c r="A3" s="605" t="s">
        <v>576</v>
      </c>
      <c r="B3" s="599" t="s">
        <v>900</v>
      </c>
      <c r="C3" s="600" t="s">
        <v>881</v>
      </c>
      <c r="D3" s="600" t="s">
        <v>882</v>
      </c>
      <c r="E3" s="600" t="s">
        <v>883</v>
      </c>
      <c r="F3" s="600" t="s">
        <v>884</v>
      </c>
      <c r="G3" s="600" t="s">
        <v>901</v>
      </c>
      <c r="H3" s="600" t="s">
        <v>886</v>
      </c>
      <c r="I3" s="600" t="s">
        <v>887</v>
      </c>
      <c r="J3" s="600" t="s">
        <v>888</v>
      </c>
      <c r="K3" s="600" t="s">
        <v>889</v>
      </c>
    </row>
    <row r="4" spans="1:14" ht="13.5" customHeight="1">
      <c r="A4" s="1621" t="s">
        <v>155</v>
      </c>
      <c r="B4" s="489">
        <v>7172</v>
      </c>
      <c r="C4" s="489">
        <v>19790</v>
      </c>
      <c r="D4" s="489">
        <v>11754</v>
      </c>
      <c r="E4" s="489">
        <v>10775</v>
      </c>
      <c r="F4" s="489">
        <v>14228</v>
      </c>
      <c r="G4" s="489">
        <v>15796</v>
      </c>
      <c r="H4" s="489">
        <v>10731</v>
      </c>
      <c r="I4" s="489">
        <v>7659</v>
      </c>
      <c r="J4" s="1619">
        <f t="shared" ref="J4:J36" si="0">SUM(B4:I4)</f>
        <v>97905</v>
      </c>
      <c r="K4" s="1620">
        <f>J4/$J$37</f>
        <v>0.39224445316944578</v>
      </c>
    </row>
    <row r="5" spans="1:14" ht="13.5" customHeight="1">
      <c r="A5" s="1621" t="s">
        <v>890</v>
      </c>
      <c r="B5" s="489">
        <v>93</v>
      </c>
      <c r="C5" s="489">
        <v>197</v>
      </c>
      <c r="D5" s="489">
        <v>99</v>
      </c>
      <c r="E5" s="489">
        <v>143</v>
      </c>
      <c r="F5" s="489">
        <v>135</v>
      </c>
      <c r="G5" s="489">
        <v>122</v>
      </c>
      <c r="H5" s="489">
        <v>76</v>
      </c>
      <c r="I5" s="489">
        <v>59</v>
      </c>
      <c r="J5" s="1619">
        <f t="shared" si="0"/>
        <v>924</v>
      </c>
      <c r="K5" s="1620">
        <f t="shared" ref="K5:K36" si="1">J5/$J$37</f>
        <v>3.7018934143155905E-3</v>
      </c>
    </row>
    <row r="6" spans="1:14" ht="13.5" customHeight="1">
      <c r="A6" s="1621" t="s">
        <v>573</v>
      </c>
      <c r="B6" s="489">
        <v>291</v>
      </c>
      <c r="C6" s="489">
        <v>941</v>
      </c>
      <c r="D6" s="489">
        <v>437</v>
      </c>
      <c r="E6" s="489">
        <v>394</v>
      </c>
      <c r="F6" s="489">
        <v>499</v>
      </c>
      <c r="G6" s="489">
        <v>392</v>
      </c>
      <c r="H6" s="489">
        <v>231</v>
      </c>
      <c r="I6" s="489">
        <v>157</v>
      </c>
      <c r="J6" s="1619">
        <f t="shared" si="0"/>
        <v>3342</v>
      </c>
      <c r="K6" s="1620">
        <f t="shared" si="1"/>
        <v>1.3389315790738857E-2</v>
      </c>
    </row>
    <row r="7" spans="1:14" ht="13.5" customHeight="1">
      <c r="A7" s="1621" t="s">
        <v>572</v>
      </c>
      <c r="B7" s="489">
        <v>72</v>
      </c>
      <c r="C7" s="489">
        <v>327</v>
      </c>
      <c r="D7" s="489">
        <v>167</v>
      </c>
      <c r="E7" s="489">
        <v>109</v>
      </c>
      <c r="F7" s="489">
        <v>144</v>
      </c>
      <c r="G7" s="489">
        <v>113</v>
      </c>
      <c r="H7" s="489">
        <v>54</v>
      </c>
      <c r="I7" s="489">
        <v>52</v>
      </c>
      <c r="J7" s="1619">
        <f t="shared" si="0"/>
        <v>1038</v>
      </c>
      <c r="K7" s="1620">
        <f t="shared" si="1"/>
        <v>4.1586205238740076E-3</v>
      </c>
    </row>
    <row r="8" spans="1:14" ht="13.5" customHeight="1">
      <c r="A8" s="1621" t="s">
        <v>571</v>
      </c>
      <c r="B8" s="489">
        <v>328</v>
      </c>
      <c r="C8" s="489">
        <v>981</v>
      </c>
      <c r="D8" s="489">
        <v>485</v>
      </c>
      <c r="E8" s="489">
        <v>313</v>
      </c>
      <c r="F8" s="489">
        <v>395</v>
      </c>
      <c r="G8" s="489">
        <v>351</v>
      </c>
      <c r="H8" s="489">
        <v>217</v>
      </c>
      <c r="I8" s="489">
        <v>158</v>
      </c>
      <c r="J8" s="1619">
        <f t="shared" si="0"/>
        <v>3228</v>
      </c>
      <c r="K8" s="1620">
        <f t="shared" si="1"/>
        <v>1.2932588681180439E-2</v>
      </c>
    </row>
    <row r="9" spans="1:14" ht="13.5" customHeight="1">
      <c r="A9" s="1621" t="s">
        <v>570</v>
      </c>
      <c r="B9" s="489">
        <v>112</v>
      </c>
      <c r="C9" s="489">
        <v>377</v>
      </c>
      <c r="D9" s="489">
        <v>203</v>
      </c>
      <c r="E9" s="489">
        <v>155</v>
      </c>
      <c r="F9" s="489">
        <v>227</v>
      </c>
      <c r="G9" s="489">
        <v>232</v>
      </c>
      <c r="H9" s="489">
        <v>128</v>
      </c>
      <c r="I9" s="489">
        <v>119</v>
      </c>
      <c r="J9" s="1619">
        <f t="shared" si="0"/>
        <v>1553</v>
      </c>
      <c r="K9" s="1620">
        <f t="shared" si="1"/>
        <v>6.2219052731949265E-3</v>
      </c>
    </row>
    <row r="10" spans="1:14" ht="13.5" customHeight="1">
      <c r="A10" s="1621" t="s">
        <v>891</v>
      </c>
      <c r="B10" s="489">
        <v>595</v>
      </c>
      <c r="C10" s="489">
        <v>1513</v>
      </c>
      <c r="D10" s="489">
        <v>926</v>
      </c>
      <c r="E10" s="489">
        <v>816</v>
      </c>
      <c r="F10" s="489">
        <v>906</v>
      </c>
      <c r="G10" s="489">
        <v>840</v>
      </c>
      <c r="H10" s="489">
        <v>612</v>
      </c>
      <c r="I10" s="489">
        <v>474</v>
      </c>
      <c r="J10" s="1619">
        <f t="shared" si="0"/>
        <v>6682</v>
      </c>
      <c r="K10" s="1620">
        <f t="shared" si="1"/>
        <v>2.6770618825169672E-2</v>
      </c>
    </row>
    <row r="11" spans="1:14" ht="13.5" customHeight="1">
      <c r="A11" s="1621" t="s">
        <v>568</v>
      </c>
      <c r="B11" s="489">
        <v>58</v>
      </c>
      <c r="C11" s="489">
        <v>183</v>
      </c>
      <c r="D11" s="489">
        <v>104</v>
      </c>
      <c r="E11" s="489">
        <v>99</v>
      </c>
      <c r="F11" s="489">
        <v>118</v>
      </c>
      <c r="G11" s="489">
        <v>122</v>
      </c>
      <c r="H11" s="489">
        <v>83</v>
      </c>
      <c r="I11" s="489">
        <v>55</v>
      </c>
      <c r="J11" s="1619">
        <f t="shared" si="0"/>
        <v>822</v>
      </c>
      <c r="K11" s="1620">
        <f t="shared" si="1"/>
        <v>3.2932428426054277E-3</v>
      </c>
    </row>
    <row r="12" spans="1:14" ht="13.5" customHeight="1">
      <c r="A12" s="1621" t="s">
        <v>892</v>
      </c>
      <c r="B12" s="489">
        <v>80</v>
      </c>
      <c r="C12" s="489">
        <v>270</v>
      </c>
      <c r="D12" s="489">
        <v>132</v>
      </c>
      <c r="E12" s="489">
        <v>125</v>
      </c>
      <c r="F12" s="489">
        <v>111</v>
      </c>
      <c r="G12" s="489">
        <v>82</v>
      </c>
      <c r="H12" s="489">
        <v>69</v>
      </c>
      <c r="I12" s="489">
        <v>50</v>
      </c>
      <c r="J12" s="1619">
        <f t="shared" si="0"/>
        <v>919</v>
      </c>
      <c r="K12" s="1620">
        <f t="shared" si="1"/>
        <v>3.6818615235454846E-3</v>
      </c>
    </row>
    <row r="13" spans="1:14" ht="13.5" customHeight="1">
      <c r="A13" s="1622" t="s">
        <v>567</v>
      </c>
      <c r="B13" s="489">
        <v>371</v>
      </c>
      <c r="C13" s="489">
        <v>955</v>
      </c>
      <c r="D13" s="489">
        <v>564</v>
      </c>
      <c r="E13" s="489">
        <v>634</v>
      </c>
      <c r="F13" s="489">
        <v>728</v>
      </c>
      <c r="G13" s="489">
        <v>703</v>
      </c>
      <c r="H13" s="489">
        <v>458</v>
      </c>
      <c r="I13" s="489">
        <v>354</v>
      </c>
      <c r="J13" s="1619">
        <f t="shared" si="0"/>
        <v>4767</v>
      </c>
      <c r="K13" s="1620">
        <f t="shared" si="1"/>
        <v>1.909840466021907E-2</v>
      </c>
    </row>
    <row r="14" spans="1:14" ht="13.5" customHeight="1">
      <c r="A14" s="1621" t="s">
        <v>893</v>
      </c>
      <c r="B14" s="489">
        <v>44</v>
      </c>
      <c r="C14" s="489">
        <v>184</v>
      </c>
      <c r="D14" s="489">
        <v>103</v>
      </c>
      <c r="E14" s="489">
        <v>111</v>
      </c>
      <c r="F14" s="489">
        <v>119</v>
      </c>
      <c r="G14" s="489">
        <v>144</v>
      </c>
      <c r="H14" s="489">
        <v>92</v>
      </c>
      <c r="I14" s="489">
        <v>86</v>
      </c>
      <c r="J14" s="1619">
        <f t="shared" si="0"/>
        <v>883</v>
      </c>
      <c r="K14" s="1620">
        <f t="shared" si="1"/>
        <v>3.5376319100007213E-3</v>
      </c>
    </row>
    <row r="15" spans="1:14" ht="13.5" customHeight="1">
      <c r="A15" s="1621" t="s">
        <v>565</v>
      </c>
      <c r="B15" s="489">
        <v>118</v>
      </c>
      <c r="C15" s="489">
        <v>409</v>
      </c>
      <c r="D15" s="489">
        <v>200</v>
      </c>
      <c r="E15" s="489">
        <v>144</v>
      </c>
      <c r="F15" s="489">
        <v>200</v>
      </c>
      <c r="G15" s="489">
        <v>198</v>
      </c>
      <c r="H15" s="489">
        <v>142</v>
      </c>
      <c r="I15" s="489">
        <v>87</v>
      </c>
      <c r="J15" s="1619">
        <f t="shared" si="0"/>
        <v>1498</v>
      </c>
      <c r="K15" s="1620">
        <f t="shared" si="1"/>
        <v>6.0015544747237604E-3</v>
      </c>
    </row>
    <row r="16" spans="1:14" ht="13.5" customHeight="1">
      <c r="A16" s="1621" t="s">
        <v>564</v>
      </c>
      <c r="B16" s="489">
        <v>221</v>
      </c>
      <c r="C16" s="489">
        <v>589</v>
      </c>
      <c r="D16" s="489">
        <v>349</v>
      </c>
      <c r="E16" s="489">
        <v>358</v>
      </c>
      <c r="F16" s="489">
        <v>387</v>
      </c>
      <c r="G16" s="489">
        <v>439</v>
      </c>
      <c r="H16" s="489">
        <v>260</v>
      </c>
      <c r="I16" s="489">
        <v>132</v>
      </c>
      <c r="J16" s="1619">
        <f t="shared" si="0"/>
        <v>2735</v>
      </c>
      <c r="K16" s="1620">
        <f t="shared" si="1"/>
        <v>1.0957444251247986E-2</v>
      </c>
    </row>
    <row r="17" spans="1:11" ht="13.5" customHeight="1">
      <c r="A17" s="1621" t="s">
        <v>894</v>
      </c>
      <c r="B17" s="489">
        <v>394</v>
      </c>
      <c r="C17" s="489">
        <v>944</v>
      </c>
      <c r="D17" s="489">
        <v>577</v>
      </c>
      <c r="E17" s="489">
        <v>526</v>
      </c>
      <c r="F17" s="489">
        <v>647</v>
      </c>
      <c r="G17" s="489">
        <v>560</v>
      </c>
      <c r="H17" s="489">
        <v>338</v>
      </c>
      <c r="I17" s="489">
        <v>291</v>
      </c>
      <c r="J17" s="1619">
        <f t="shared" si="0"/>
        <v>4277</v>
      </c>
      <c r="K17" s="1620">
        <f t="shared" si="1"/>
        <v>1.7135279364748679E-2</v>
      </c>
    </row>
    <row r="18" spans="1:11" ht="13.5" customHeight="1">
      <c r="A18" s="1622" t="s">
        <v>562</v>
      </c>
      <c r="B18" s="489">
        <v>159</v>
      </c>
      <c r="C18" s="489">
        <v>443</v>
      </c>
      <c r="D18" s="489">
        <v>260</v>
      </c>
      <c r="E18" s="489">
        <v>229</v>
      </c>
      <c r="F18" s="489">
        <v>242</v>
      </c>
      <c r="G18" s="489">
        <v>189</v>
      </c>
      <c r="H18" s="489">
        <v>162</v>
      </c>
      <c r="I18" s="489">
        <v>116</v>
      </c>
      <c r="J18" s="1619">
        <f t="shared" si="0"/>
        <v>1800</v>
      </c>
      <c r="K18" s="1620">
        <f t="shared" si="1"/>
        <v>7.2114806772381633E-3</v>
      </c>
    </row>
    <row r="19" spans="1:11" ht="13.5" customHeight="1">
      <c r="A19" s="1621" t="s">
        <v>561</v>
      </c>
      <c r="B19" s="489">
        <v>174</v>
      </c>
      <c r="C19" s="489">
        <v>631</v>
      </c>
      <c r="D19" s="489">
        <v>323</v>
      </c>
      <c r="E19" s="489">
        <v>241</v>
      </c>
      <c r="F19" s="489">
        <v>330</v>
      </c>
      <c r="G19" s="489">
        <v>297</v>
      </c>
      <c r="H19" s="489">
        <v>206</v>
      </c>
      <c r="I19" s="489">
        <v>120</v>
      </c>
      <c r="J19" s="1619">
        <f t="shared" si="0"/>
        <v>2322</v>
      </c>
      <c r="K19" s="1620">
        <f t="shared" si="1"/>
        <v>9.3028100736372299E-3</v>
      </c>
    </row>
    <row r="20" spans="1:11" ht="13.5" customHeight="1">
      <c r="A20" s="1622" t="s">
        <v>559</v>
      </c>
      <c r="B20" s="489">
        <v>104</v>
      </c>
      <c r="C20" s="489">
        <v>304</v>
      </c>
      <c r="D20" s="489">
        <v>212</v>
      </c>
      <c r="E20" s="489">
        <v>181</v>
      </c>
      <c r="F20" s="489">
        <v>222</v>
      </c>
      <c r="G20" s="489">
        <v>259</v>
      </c>
      <c r="H20" s="489">
        <v>146</v>
      </c>
      <c r="I20" s="489">
        <v>129</v>
      </c>
      <c r="J20" s="1619">
        <f t="shared" si="0"/>
        <v>1557</v>
      </c>
      <c r="K20" s="1620">
        <f t="shared" si="1"/>
        <v>6.2379307858110109E-3</v>
      </c>
    </row>
    <row r="21" spans="1:11" ht="13.5" customHeight="1">
      <c r="A21" s="1621" t="s">
        <v>560</v>
      </c>
      <c r="B21" s="489">
        <v>123</v>
      </c>
      <c r="C21" s="489">
        <v>386</v>
      </c>
      <c r="D21" s="489">
        <v>224</v>
      </c>
      <c r="E21" s="489">
        <v>197</v>
      </c>
      <c r="F21" s="489">
        <v>166</v>
      </c>
      <c r="G21" s="489">
        <v>234</v>
      </c>
      <c r="H21" s="489">
        <v>173</v>
      </c>
      <c r="I21" s="489">
        <v>113</v>
      </c>
      <c r="J21" s="1619">
        <f t="shared" si="0"/>
        <v>1616</v>
      </c>
      <c r="K21" s="1620">
        <f t="shared" si="1"/>
        <v>6.4743070968982623E-3</v>
      </c>
    </row>
    <row r="22" spans="1:11" ht="13.5" customHeight="1">
      <c r="A22" s="1621" t="s">
        <v>895</v>
      </c>
      <c r="B22" s="489">
        <v>37</v>
      </c>
      <c r="C22" s="489">
        <v>100</v>
      </c>
      <c r="D22" s="489">
        <v>41</v>
      </c>
      <c r="E22" s="489">
        <v>36</v>
      </c>
      <c r="F22" s="489">
        <v>54</v>
      </c>
      <c r="G22" s="489">
        <v>49</v>
      </c>
      <c r="H22" s="489">
        <v>33</v>
      </c>
      <c r="I22" s="489">
        <v>19</v>
      </c>
      <c r="J22" s="1619">
        <f t="shared" si="0"/>
        <v>369</v>
      </c>
      <c r="K22" s="1620">
        <f t="shared" si="1"/>
        <v>1.4783535388338234E-3</v>
      </c>
    </row>
    <row r="23" spans="1:11" ht="13.5" customHeight="1">
      <c r="A23" s="1621" t="s">
        <v>557</v>
      </c>
      <c r="B23" s="489">
        <v>257</v>
      </c>
      <c r="C23" s="489">
        <v>839</v>
      </c>
      <c r="D23" s="489">
        <v>518</v>
      </c>
      <c r="E23" s="489">
        <v>362</v>
      </c>
      <c r="F23" s="489">
        <v>510</v>
      </c>
      <c r="G23" s="489">
        <v>657</v>
      </c>
      <c r="H23" s="489">
        <v>491</v>
      </c>
      <c r="I23" s="489">
        <v>321</v>
      </c>
      <c r="J23" s="1619">
        <f t="shared" si="0"/>
        <v>3955</v>
      </c>
      <c r="K23" s="1620">
        <f t="shared" si="1"/>
        <v>1.5845225599153853E-2</v>
      </c>
    </row>
    <row r="24" spans="1:11" ht="13.5" customHeight="1">
      <c r="A24" s="1621" t="s">
        <v>556</v>
      </c>
      <c r="B24" s="489">
        <v>365</v>
      </c>
      <c r="C24" s="489">
        <v>909</v>
      </c>
      <c r="D24" s="489">
        <v>495</v>
      </c>
      <c r="E24" s="489">
        <v>550</v>
      </c>
      <c r="F24" s="489">
        <v>650</v>
      </c>
      <c r="G24" s="489">
        <v>696</v>
      </c>
      <c r="H24" s="489">
        <v>516</v>
      </c>
      <c r="I24" s="489">
        <v>421</v>
      </c>
      <c r="J24" s="1619">
        <f t="shared" si="0"/>
        <v>4602</v>
      </c>
      <c r="K24" s="1620">
        <f t="shared" si="1"/>
        <v>1.843735226480557E-2</v>
      </c>
    </row>
    <row r="25" spans="1:11" ht="13.5" customHeight="1">
      <c r="A25" s="1621" t="s">
        <v>896</v>
      </c>
      <c r="B25" s="489">
        <v>87</v>
      </c>
      <c r="C25" s="489">
        <v>323</v>
      </c>
      <c r="D25" s="489">
        <v>163</v>
      </c>
      <c r="E25" s="489">
        <v>150</v>
      </c>
      <c r="F25" s="489">
        <v>155</v>
      </c>
      <c r="G25" s="489">
        <v>118</v>
      </c>
      <c r="H25" s="489">
        <v>89</v>
      </c>
      <c r="I25" s="489">
        <v>87</v>
      </c>
      <c r="J25" s="1619">
        <f t="shared" si="0"/>
        <v>1172</v>
      </c>
      <c r="K25" s="1620">
        <f t="shared" si="1"/>
        <v>4.6954751965128487E-3</v>
      </c>
    </row>
    <row r="26" spans="1:11" ht="13.5" customHeight="1">
      <c r="A26" s="1621" t="s">
        <v>554</v>
      </c>
      <c r="B26" s="489">
        <v>67</v>
      </c>
      <c r="C26" s="489">
        <v>177</v>
      </c>
      <c r="D26" s="489">
        <v>101</v>
      </c>
      <c r="E26" s="489">
        <v>118</v>
      </c>
      <c r="F26" s="489">
        <v>110</v>
      </c>
      <c r="G26" s="489">
        <v>124</v>
      </c>
      <c r="H26" s="489">
        <v>69</v>
      </c>
      <c r="I26" s="489">
        <v>58</v>
      </c>
      <c r="J26" s="1619">
        <f t="shared" si="0"/>
        <v>824</v>
      </c>
      <c r="K26" s="1620">
        <f t="shared" si="1"/>
        <v>3.3012555989134704E-3</v>
      </c>
    </row>
    <row r="27" spans="1:11" ht="13.5" customHeight="1">
      <c r="A27" s="1621" t="s">
        <v>553</v>
      </c>
      <c r="B27" s="489">
        <v>614</v>
      </c>
      <c r="C27" s="489">
        <v>1696</v>
      </c>
      <c r="D27" s="489">
        <v>1020</v>
      </c>
      <c r="E27" s="489">
        <v>764</v>
      </c>
      <c r="F27" s="489">
        <v>989</v>
      </c>
      <c r="G27" s="489">
        <v>1015</v>
      </c>
      <c r="H27" s="489">
        <v>710</v>
      </c>
      <c r="I27" s="489">
        <v>542</v>
      </c>
      <c r="J27" s="1619">
        <f t="shared" si="0"/>
        <v>7350</v>
      </c>
      <c r="K27" s="1620">
        <f t="shared" si="1"/>
        <v>2.9446879432055834E-2</v>
      </c>
    </row>
    <row r="28" spans="1:11" ht="13.5" customHeight="1">
      <c r="A28" s="1621" t="s">
        <v>897</v>
      </c>
      <c r="B28" s="489">
        <v>266</v>
      </c>
      <c r="C28" s="489">
        <v>821</v>
      </c>
      <c r="D28" s="489">
        <v>527</v>
      </c>
      <c r="E28" s="489">
        <v>391</v>
      </c>
      <c r="F28" s="489">
        <v>387</v>
      </c>
      <c r="G28" s="489">
        <v>323</v>
      </c>
      <c r="H28" s="489">
        <v>222</v>
      </c>
      <c r="I28" s="489">
        <v>227</v>
      </c>
      <c r="J28" s="1619">
        <f t="shared" si="0"/>
        <v>3164</v>
      </c>
      <c r="K28" s="1620">
        <f t="shared" si="1"/>
        <v>1.2676180479323082E-2</v>
      </c>
    </row>
    <row r="29" spans="1:11" ht="13.5" customHeight="1">
      <c r="A29" s="1621" t="s">
        <v>550</v>
      </c>
      <c r="B29" s="489">
        <v>316</v>
      </c>
      <c r="C29" s="489">
        <v>846</v>
      </c>
      <c r="D29" s="489">
        <v>533</v>
      </c>
      <c r="E29" s="489">
        <v>374</v>
      </c>
      <c r="F29" s="489">
        <v>593</v>
      </c>
      <c r="G29" s="489">
        <v>734</v>
      </c>
      <c r="H29" s="489">
        <v>507</v>
      </c>
      <c r="I29" s="489">
        <v>352</v>
      </c>
      <c r="J29" s="1619">
        <f t="shared" si="0"/>
        <v>4255</v>
      </c>
      <c r="K29" s="1620">
        <f t="shared" si="1"/>
        <v>1.7047139045360215E-2</v>
      </c>
    </row>
    <row r="30" spans="1:11" ht="13.5" customHeight="1">
      <c r="A30" s="1621" t="s">
        <v>549</v>
      </c>
      <c r="B30" s="489">
        <v>152</v>
      </c>
      <c r="C30" s="489">
        <v>455</v>
      </c>
      <c r="D30" s="489">
        <v>239</v>
      </c>
      <c r="E30" s="489">
        <v>206</v>
      </c>
      <c r="F30" s="489">
        <v>250</v>
      </c>
      <c r="G30" s="489">
        <v>225</v>
      </c>
      <c r="H30" s="489">
        <v>125</v>
      </c>
      <c r="I30" s="489">
        <v>131</v>
      </c>
      <c r="J30" s="1619">
        <f t="shared" si="0"/>
        <v>1783</v>
      </c>
      <c r="K30" s="1620">
        <f t="shared" si="1"/>
        <v>7.143372248619803E-3</v>
      </c>
    </row>
    <row r="31" spans="1:11" ht="13.5" customHeight="1">
      <c r="A31" s="1621" t="s">
        <v>548</v>
      </c>
      <c r="B31" s="489">
        <v>1680</v>
      </c>
      <c r="C31" s="489">
        <v>4366</v>
      </c>
      <c r="D31" s="489">
        <v>2403</v>
      </c>
      <c r="E31" s="489">
        <v>2569</v>
      </c>
      <c r="F31" s="489">
        <v>3105</v>
      </c>
      <c r="G31" s="489">
        <v>3034</v>
      </c>
      <c r="H31" s="489">
        <v>1981</v>
      </c>
      <c r="I31" s="489">
        <v>1329</v>
      </c>
      <c r="J31" s="1619">
        <f t="shared" si="0"/>
        <v>20467</v>
      </c>
      <c r="K31" s="1620">
        <f t="shared" si="1"/>
        <v>8.1998541678351938E-2</v>
      </c>
    </row>
    <row r="32" spans="1:11" ht="13.5" customHeight="1">
      <c r="A32" s="1621" t="s">
        <v>547</v>
      </c>
      <c r="B32" s="489">
        <v>114</v>
      </c>
      <c r="C32" s="489">
        <v>302</v>
      </c>
      <c r="D32" s="489">
        <v>160</v>
      </c>
      <c r="E32" s="489">
        <v>131</v>
      </c>
      <c r="F32" s="489">
        <v>165</v>
      </c>
      <c r="G32" s="489">
        <v>165</v>
      </c>
      <c r="H32" s="489">
        <v>116</v>
      </c>
      <c r="I32" s="489">
        <v>92</v>
      </c>
      <c r="J32" s="1619">
        <f t="shared" si="0"/>
        <v>1245</v>
      </c>
      <c r="K32" s="1620">
        <f t="shared" si="1"/>
        <v>4.9879408017563963E-3</v>
      </c>
    </row>
    <row r="33" spans="1:11" ht="13.5" customHeight="1">
      <c r="A33" s="1621" t="s">
        <v>546</v>
      </c>
      <c r="B33" s="489">
        <v>296</v>
      </c>
      <c r="C33" s="489">
        <v>770</v>
      </c>
      <c r="D33" s="489">
        <v>459</v>
      </c>
      <c r="E33" s="489">
        <v>382</v>
      </c>
      <c r="F33" s="489">
        <v>461</v>
      </c>
      <c r="G33" s="489">
        <v>425</v>
      </c>
      <c r="H33" s="489">
        <v>304</v>
      </c>
      <c r="I33" s="489">
        <v>277</v>
      </c>
      <c r="J33" s="1619">
        <f t="shared" si="0"/>
        <v>3374</v>
      </c>
      <c r="K33" s="1620">
        <f t="shared" si="1"/>
        <v>1.3517519891667535E-2</v>
      </c>
    </row>
    <row r="34" spans="1:11" ht="13.5" customHeight="1">
      <c r="A34" s="1621" t="s">
        <v>552</v>
      </c>
      <c r="B34" s="489">
        <v>55</v>
      </c>
      <c r="C34" s="489">
        <v>169</v>
      </c>
      <c r="D34" s="489">
        <v>101</v>
      </c>
      <c r="E34" s="489">
        <v>86</v>
      </c>
      <c r="F34" s="872">
        <v>86</v>
      </c>
      <c r="G34" s="489">
        <v>71</v>
      </c>
      <c r="H34" s="489">
        <v>34</v>
      </c>
      <c r="I34" s="489">
        <v>41</v>
      </c>
      <c r="J34" s="1619">
        <f t="shared" si="0"/>
        <v>643</v>
      </c>
      <c r="K34" s="1620">
        <f t="shared" si="1"/>
        <v>2.5761011530356327E-3</v>
      </c>
    </row>
    <row r="35" spans="1:11" ht="13.5" customHeight="1">
      <c r="A35" s="1621" t="s">
        <v>156</v>
      </c>
      <c r="B35" s="489">
        <v>2032</v>
      </c>
      <c r="C35" s="489">
        <v>4479</v>
      </c>
      <c r="D35" s="489">
        <v>3133</v>
      </c>
      <c r="E35" s="489">
        <v>2843</v>
      </c>
      <c r="F35" s="489">
        <v>3377</v>
      </c>
      <c r="G35" s="489">
        <v>3539</v>
      </c>
      <c r="H35" s="489">
        <v>2370</v>
      </c>
      <c r="I35" s="489">
        <v>1459</v>
      </c>
      <c r="J35" s="1619">
        <f t="shared" si="0"/>
        <v>23232</v>
      </c>
      <c r="K35" s="1620">
        <f t="shared" si="1"/>
        <v>9.3076177274220559E-2</v>
      </c>
    </row>
    <row r="36" spans="1:11" ht="13.5" customHeight="1">
      <c r="A36" s="1621" t="s">
        <v>580</v>
      </c>
      <c r="B36" s="489">
        <v>347</v>
      </c>
      <c r="C36" s="489">
        <v>1119</v>
      </c>
      <c r="D36" s="489">
        <v>4027</v>
      </c>
      <c r="E36" s="489">
        <v>8411</v>
      </c>
      <c r="F36" s="489">
        <v>7886</v>
      </c>
      <c r="G36" s="489">
        <v>6377</v>
      </c>
      <c r="H36" s="489">
        <v>3983</v>
      </c>
      <c r="I36" s="489">
        <v>3149</v>
      </c>
      <c r="J36" s="1619">
        <f t="shared" si="0"/>
        <v>35299</v>
      </c>
      <c r="K36" s="1620">
        <f t="shared" si="1"/>
        <v>0.14142114245879439</v>
      </c>
    </row>
    <row r="37" spans="1:11" ht="13.5" customHeight="1">
      <c r="A37" s="601" t="s">
        <v>23</v>
      </c>
      <c r="B37" s="607">
        <f t="shared" ref="B37:I37" si="2">SUM(B4:B36)</f>
        <v>17194</v>
      </c>
      <c r="C37" s="607">
        <f t="shared" si="2"/>
        <v>46795</v>
      </c>
      <c r="D37" s="607">
        <f t="shared" si="2"/>
        <v>31039</v>
      </c>
      <c r="E37" s="607">
        <f t="shared" si="2"/>
        <v>32923</v>
      </c>
      <c r="F37" s="607">
        <f t="shared" si="2"/>
        <v>38582</v>
      </c>
      <c r="G37" s="607">
        <f t="shared" si="2"/>
        <v>38625</v>
      </c>
      <c r="H37" s="607">
        <f t="shared" si="2"/>
        <v>25728</v>
      </c>
      <c r="I37" s="607">
        <f t="shared" si="2"/>
        <v>18716</v>
      </c>
      <c r="J37" s="607">
        <f>SUM(B37:I37)</f>
        <v>249602</v>
      </c>
      <c r="K37" s="608">
        <f>SUM(K4:K36)</f>
        <v>1</v>
      </c>
    </row>
    <row r="38" spans="1:11" ht="13.5" customHeight="1">
      <c r="A38" s="601" t="s">
        <v>867</v>
      </c>
      <c r="B38" s="608">
        <f>B37/$J$37</f>
        <v>6.888566598024054E-2</v>
      </c>
      <c r="C38" s="608">
        <f t="shared" ref="C38:J38" si="3">C37/$J$37</f>
        <v>0.18747846571742213</v>
      </c>
      <c r="D38" s="608">
        <f t="shared" si="3"/>
        <v>0.12435397152266409</v>
      </c>
      <c r="E38" s="608">
        <f t="shared" si="3"/>
        <v>0.13190198796484001</v>
      </c>
      <c r="F38" s="608">
        <f t="shared" si="3"/>
        <v>0.15457408193844602</v>
      </c>
      <c r="G38" s="608">
        <f t="shared" si="3"/>
        <v>0.15474635619906893</v>
      </c>
      <c r="H38" s="608">
        <f t="shared" si="3"/>
        <v>0.10307609714665748</v>
      </c>
      <c r="I38" s="608">
        <f t="shared" si="3"/>
        <v>7.4983373530660813E-2</v>
      </c>
      <c r="J38" s="608">
        <f t="shared" si="3"/>
        <v>1</v>
      </c>
      <c r="K38" s="128"/>
    </row>
    <row r="39" spans="1:11" ht="13.5" customHeight="1">
      <c r="A39" s="128"/>
      <c r="B39" s="128"/>
      <c r="C39" s="128"/>
      <c r="D39" s="128"/>
      <c r="E39" s="128"/>
      <c r="F39" s="128"/>
      <c r="G39" s="128"/>
      <c r="H39" s="128"/>
      <c r="I39" s="128"/>
      <c r="J39" s="128"/>
      <c r="K39" s="128"/>
    </row>
    <row r="40" spans="1:11" ht="13.5" customHeight="1">
      <c r="A40" s="128"/>
      <c r="B40" s="128"/>
      <c r="C40" s="128"/>
      <c r="D40" s="128"/>
      <c r="E40" s="128"/>
      <c r="F40" s="128"/>
      <c r="G40" s="128"/>
      <c r="H40" s="128"/>
      <c r="I40" s="128"/>
      <c r="J40" s="128"/>
      <c r="K40" s="128"/>
    </row>
    <row r="41" spans="1:11" ht="13.5" customHeight="1">
      <c r="A41" s="128"/>
      <c r="B41" s="128"/>
      <c r="C41" s="128"/>
      <c r="D41" s="128"/>
      <c r="E41" s="128"/>
      <c r="F41" s="128"/>
      <c r="G41" s="128"/>
      <c r="H41" s="128"/>
      <c r="I41" s="128"/>
      <c r="J41" s="128"/>
      <c r="K41" s="128"/>
    </row>
    <row r="42" spans="1:11" ht="13.5" customHeight="1">
      <c r="A42" s="128"/>
      <c r="B42" s="128"/>
      <c r="C42" s="128"/>
      <c r="D42" s="128"/>
      <c r="E42" s="128"/>
      <c r="F42" s="128"/>
      <c r="G42" s="128"/>
      <c r="H42" s="128"/>
      <c r="I42" s="128"/>
      <c r="J42" s="128"/>
      <c r="K42" s="128"/>
    </row>
    <row r="43" spans="1:11" ht="13.5" customHeight="1">
      <c r="A43" s="128"/>
      <c r="B43" s="128"/>
      <c r="C43" s="128"/>
      <c r="D43" s="128"/>
      <c r="E43" s="128"/>
      <c r="F43" s="128"/>
      <c r="G43" s="128"/>
      <c r="H43" s="128"/>
      <c r="I43" s="128"/>
      <c r="J43" s="128"/>
      <c r="K43" s="128"/>
    </row>
    <row r="44" spans="1:11" ht="13.5" customHeight="1">
      <c r="A44" s="128"/>
      <c r="B44" s="128"/>
      <c r="C44" s="128"/>
      <c r="D44" s="128"/>
      <c r="E44" s="128"/>
      <c r="F44" s="128"/>
      <c r="G44" s="128"/>
      <c r="H44" s="128"/>
      <c r="I44" s="128"/>
      <c r="J44" s="128"/>
      <c r="K44" s="128"/>
    </row>
    <row r="45" spans="1:11" ht="13.5" customHeight="1">
      <c r="A45" s="128"/>
      <c r="B45" s="128"/>
      <c r="C45" s="128"/>
      <c r="D45" s="128"/>
      <c r="E45" s="128"/>
      <c r="F45" s="128"/>
      <c r="G45" s="128"/>
      <c r="H45" s="128"/>
      <c r="I45" s="128"/>
      <c r="J45" s="128"/>
      <c r="K45" s="128"/>
    </row>
    <row r="46" spans="1:11" ht="13.5" customHeight="1">
      <c r="A46" s="128"/>
      <c r="B46" s="128"/>
      <c r="C46" s="128"/>
      <c r="D46" s="128"/>
      <c r="E46" s="128"/>
      <c r="F46" s="128"/>
      <c r="G46" s="128"/>
      <c r="H46" s="128"/>
      <c r="I46" s="128"/>
      <c r="J46" s="128"/>
      <c r="K46" s="128"/>
    </row>
    <row r="47" spans="1:11" ht="13.5" customHeight="1">
      <c r="A47" s="128"/>
      <c r="B47" s="128"/>
      <c r="C47" s="128"/>
      <c r="D47" s="128"/>
      <c r="E47" s="128"/>
      <c r="F47" s="128"/>
      <c r="G47" s="128"/>
      <c r="H47" s="128"/>
      <c r="I47" s="128"/>
      <c r="J47" s="128"/>
      <c r="K47" s="128"/>
    </row>
    <row r="48" spans="1:11" ht="13.5" customHeight="1">
      <c r="A48" s="59"/>
      <c r="B48" s="59"/>
      <c r="C48" s="59"/>
      <c r="D48" s="59"/>
      <c r="E48" s="59"/>
      <c r="F48" s="59"/>
      <c r="G48" s="59"/>
      <c r="H48" s="59"/>
      <c r="I48" s="59"/>
      <c r="J48" s="59"/>
      <c r="K48" s="59"/>
    </row>
    <row r="49" spans="1:11" ht="13.5" customHeight="1">
      <c r="A49" s="59"/>
      <c r="B49" s="59"/>
      <c r="C49" s="59"/>
      <c r="D49" s="59"/>
      <c r="E49" s="59"/>
      <c r="F49" s="59"/>
      <c r="G49" s="59"/>
      <c r="H49" s="59"/>
      <c r="I49" s="59"/>
      <c r="J49" s="59"/>
      <c r="K49" s="59"/>
    </row>
    <row r="50" spans="1:11" ht="13.5" customHeight="1">
      <c r="A50" s="59"/>
      <c r="B50" s="59"/>
      <c r="C50" s="59"/>
      <c r="D50" s="59"/>
      <c r="E50" s="59"/>
      <c r="F50" s="59"/>
      <c r="G50" s="59"/>
      <c r="H50" s="59"/>
      <c r="I50" s="59"/>
      <c r="J50" s="59"/>
      <c r="K50" s="59"/>
    </row>
    <row r="51" spans="1:11" ht="13.5" customHeight="1">
      <c r="A51" s="59"/>
      <c r="B51" s="59"/>
      <c r="C51" s="59"/>
      <c r="D51" s="59"/>
      <c r="E51" s="59"/>
      <c r="F51" s="59"/>
      <c r="G51" s="59"/>
      <c r="H51" s="59"/>
      <c r="I51" s="59"/>
      <c r="J51" s="59"/>
      <c r="K51" s="59"/>
    </row>
    <row r="52" spans="1:11" ht="13.5" customHeight="1">
      <c r="A52" s="59"/>
      <c r="B52" s="59"/>
      <c r="C52" s="59"/>
      <c r="D52" s="59"/>
      <c r="E52" s="59"/>
      <c r="F52" s="59"/>
      <c r="G52" s="59"/>
      <c r="H52" s="59"/>
      <c r="I52" s="59"/>
      <c r="J52" s="59"/>
      <c r="K52" s="59"/>
    </row>
    <row r="53" spans="1:11" ht="13.5" customHeight="1">
      <c r="A53" s="59"/>
      <c r="B53" s="59"/>
      <c r="C53" s="59"/>
      <c r="D53" s="59"/>
      <c r="E53" s="59"/>
      <c r="F53" s="59"/>
      <c r="G53" s="59"/>
      <c r="H53" s="59"/>
      <c r="I53" s="59"/>
      <c r="J53" s="59"/>
      <c r="K53" s="59"/>
    </row>
    <row r="54" spans="1:11" ht="13.5" customHeight="1">
      <c r="A54" s="477"/>
      <c r="B54" s="477"/>
      <c r="C54" s="477"/>
      <c r="D54" s="477"/>
      <c r="E54" s="477"/>
      <c r="F54" s="477"/>
      <c r="G54" s="477"/>
      <c r="H54" s="477"/>
      <c r="I54" s="477"/>
      <c r="J54" s="477"/>
      <c r="K54" s="477"/>
    </row>
    <row r="55" spans="1:11" ht="13.5" customHeight="1">
      <c r="A55" s="59"/>
      <c r="B55" s="59"/>
      <c r="C55" s="59"/>
      <c r="D55" s="59"/>
      <c r="E55" s="59"/>
      <c r="F55" s="59"/>
      <c r="G55" s="59"/>
      <c r="H55" s="59"/>
      <c r="I55" s="59"/>
      <c r="J55" s="59"/>
      <c r="K55" s="59"/>
    </row>
    <row r="56" spans="1:11" ht="13.5" customHeight="1">
      <c r="A56" s="59"/>
      <c r="B56" s="59"/>
      <c r="C56" s="59"/>
      <c r="D56" s="59"/>
      <c r="E56" s="59"/>
      <c r="F56" s="59"/>
      <c r="G56" s="59"/>
      <c r="H56" s="59"/>
      <c r="I56" s="59"/>
      <c r="J56" s="59"/>
      <c r="K56" s="59"/>
    </row>
    <row r="57" spans="1:11" ht="13.5" customHeight="1">
      <c r="A57" s="59"/>
      <c r="B57" s="59"/>
      <c r="C57" s="59"/>
      <c r="D57" s="59"/>
      <c r="E57" s="59"/>
      <c r="F57" s="59"/>
      <c r="G57" s="59"/>
      <c r="H57" s="59"/>
      <c r="I57" s="59"/>
      <c r="J57" s="59"/>
      <c r="K57" s="59"/>
    </row>
    <row r="58" spans="1:11" ht="13.5" customHeight="1">
      <c r="A58" s="59"/>
      <c r="B58" s="59"/>
      <c r="C58" s="59"/>
      <c r="D58" s="59"/>
      <c r="E58" s="59"/>
      <c r="F58" s="59"/>
      <c r="G58" s="59"/>
      <c r="H58" s="59"/>
      <c r="I58" s="59"/>
      <c r="J58" s="59"/>
      <c r="K58" s="59"/>
    </row>
    <row r="59" spans="1:11" ht="13.5" customHeight="1">
      <c r="A59" s="59"/>
      <c r="B59" s="59"/>
      <c r="C59" s="59"/>
      <c r="D59" s="59"/>
      <c r="E59" s="59"/>
      <c r="F59" s="59"/>
      <c r="G59" s="59"/>
      <c r="H59" s="59"/>
      <c r="I59" s="59"/>
      <c r="J59" s="59"/>
      <c r="K59" s="59"/>
    </row>
    <row r="60" spans="1:11" ht="13.5" customHeight="1">
      <c r="A60" s="59"/>
      <c r="B60" s="59"/>
      <c r="C60" s="59"/>
      <c r="D60" s="59"/>
      <c r="E60" s="59"/>
      <c r="F60" s="59"/>
      <c r="G60" s="59"/>
      <c r="H60" s="59"/>
      <c r="I60" s="59"/>
      <c r="J60" s="59"/>
      <c r="K60" s="59"/>
    </row>
  </sheetData>
  <mergeCells count="1">
    <mergeCell ref="A1:N1"/>
  </mergeCells>
  <printOptions horizontalCentered="1" verticalCentered="1"/>
  <pageMargins left="0.19685039370078741" right="0.19685039370078741" top="0.74803149606299213" bottom="0.74803149606299213" header="0.31496062992125984" footer="0.31496062992125984"/>
  <pageSetup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C131"/>
  <sheetViews>
    <sheetView showGridLines="0" view="pageBreakPreview" zoomScale="115" zoomScaleNormal="100" zoomScaleSheetLayoutView="115" workbookViewId="0">
      <selection sqref="A1:B2"/>
    </sheetView>
  </sheetViews>
  <sheetFormatPr baseColWidth="10" defaultColWidth="11.42578125" defaultRowHeight="15"/>
  <cols>
    <col min="1" max="1" width="8.28515625" style="68" customWidth="1"/>
    <col min="2" max="2" width="115.42578125" style="128" customWidth="1"/>
    <col min="3" max="3" width="15.5703125" style="65" customWidth="1"/>
    <col min="4" max="16384" width="11.42578125" style="128"/>
  </cols>
  <sheetData>
    <row r="1" spans="1:3" ht="36.75" customHeight="1">
      <c r="A1" s="2192" t="s">
        <v>722</v>
      </c>
      <c r="B1" s="2193"/>
      <c r="C1" s="335"/>
    </row>
    <row r="2" spans="1:3" s="71" customFormat="1" ht="18.75" customHeight="1">
      <c r="A2" s="2194"/>
      <c r="B2" s="2195"/>
      <c r="C2" s="66"/>
    </row>
    <row r="3" spans="1:3" ht="21.75" customHeight="1">
      <c r="A3" s="2191" t="s">
        <v>185</v>
      </c>
      <c r="B3" s="2191"/>
      <c r="C3" s="176"/>
    </row>
    <row r="4" spans="1:3" ht="15.75" customHeight="1">
      <c r="B4" s="177" t="s">
        <v>265</v>
      </c>
      <c r="C4" s="121"/>
    </row>
    <row r="5" spans="1:3" ht="19.5" customHeight="1">
      <c r="B5" s="178" t="s">
        <v>266</v>
      </c>
      <c r="C5" s="121"/>
    </row>
    <row r="6" spans="1:3" ht="15.75" customHeight="1">
      <c r="B6" s="142" t="s">
        <v>267</v>
      </c>
      <c r="C6" s="121"/>
    </row>
    <row r="7" spans="1:3" ht="15.75" customHeight="1">
      <c r="B7" s="142" t="s">
        <v>268</v>
      </c>
      <c r="C7" s="121"/>
    </row>
    <row r="8" spans="1:3">
      <c r="B8" s="142" t="s">
        <v>269</v>
      </c>
      <c r="C8" s="121"/>
    </row>
    <row r="9" spans="1:3">
      <c r="B9" s="142" t="s">
        <v>270</v>
      </c>
      <c r="C9" s="121"/>
    </row>
    <row r="10" spans="1:3">
      <c r="B10" s="142" t="s">
        <v>271</v>
      </c>
      <c r="C10" s="121"/>
    </row>
    <row r="11" spans="1:3" ht="23.25" customHeight="1">
      <c r="B11" s="142" t="s">
        <v>419</v>
      </c>
      <c r="C11" s="121"/>
    </row>
    <row r="12" spans="1:3">
      <c r="B12" s="178" t="s">
        <v>272</v>
      </c>
      <c r="C12" s="121"/>
    </row>
    <row r="13" spans="1:3" ht="13.5" customHeight="1">
      <c r="B13" s="142" t="s">
        <v>273</v>
      </c>
      <c r="C13" s="121"/>
    </row>
    <row r="14" spans="1:3">
      <c r="B14" s="142" t="s">
        <v>274</v>
      </c>
      <c r="C14" s="121"/>
    </row>
    <row r="15" spans="1:3">
      <c r="B15" s="142" t="s">
        <v>275</v>
      </c>
      <c r="C15" s="121"/>
    </row>
    <row r="16" spans="1:3">
      <c r="B16" s="142" t="s">
        <v>276</v>
      </c>
      <c r="C16" s="121"/>
    </row>
    <row r="17" spans="1:3">
      <c r="B17" s="142" t="s">
        <v>420</v>
      </c>
      <c r="C17" s="121"/>
    </row>
    <row r="18" spans="1:3" ht="15" customHeight="1">
      <c r="B18" s="142" t="s">
        <v>277</v>
      </c>
      <c r="C18" s="121"/>
    </row>
    <row r="19" spans="1:3" ht="6.75" customHeight="1">
      <c r="B19" s="142"/>
      <c r="C19" s="121"/>
    </row>
    <row r="20" spans="1:3" ht="11.25" customHeight="1">
      <c r="A20" s="69"/>
      <c r="B20" s="177" t="s">
        <v>278</v>
      </c>
      <c r="C20" s="121"/>
    </row>
    <row r="21" spans="1:3" ht="15.75">
      <c r="A21" s="69"/>
      <c r="B21" s="142" t="s">
        <v>279</v>
      </c>
      <c r="C21" s="121"/>
    </row>
    <row r="22" spans="1:3" ht="15.75">
      <c r="A22" s="69"/>
      <c r="B22" s="142" t="s">
        <v>280</v>
      </c>
      <c r="C22" s="121"/>
    </row>
    <row r="23" spans="1:3" ht="15.75">
      <c r="A23" s="69"/>
      <c r="B23" s="177" t="s">
        <v>281</v>
      </c>
      <c r="C23" s="122"/>
    </row>
    <row r="24" spans="1:3" ht="15.75">
      <c r="A24" s="69"/>
      <c r="B24" s="258" t="s">
        <v>282</v>
      </c>
      <c r="C24" s="122"/>
    </row>
    <row r="25" spans="1:3" ht="15.75">
      <c r="A25" s="69"/>
      <c r="B25" s="258" t="s">
        <v>283</v>
      </c>
      <c r="C25" s="122"/>
    </row>
    <row r="26" spans="1:3" ht="15" customHeight="1">
      <c r="A26" s="69"/>
      <c r="B26" s="258" t="s">
        <v>284</v>
      </c>
      <c r="C26" s="122"/>
    </row>
    <row r="27" spans="1:3" ht="23.25" customHeight="1">
      <c r="B27" s="177" t="s">
        <v>285</v>
      </c>
    </row>
    <row r="28" spans="1:3">
      <c r="B28" s="123" t="s">
        <v>286</v>
      </c>
    </row>
    <row r="29" spans="1:3">
      <c r="B29" s="178" t="s">
        <v>287</v>
      </c>
      <c r="C29" s="121"/>
    </row>
    <row r="30" spans="1:3">
      <c r="A30" s="124"/>
      <c r="B30" s="142" t="s">
        <v>288</v>
      </c>
      <c r="C30" s="121"/>
    </row>
    <row r="31" spans="1:3">
      <c r="A31" s="124"/>
      <c r="B31" s="142" t="s">
        <v>289</v>
      </c>
      <c r="C31" s="121"/>
    </row>
    <row r="32" spans="1:3">
      <c r="A32" s="124"/>
      <c r="B32" s="142" t="s">
        <v>290</v>
      </c>
      <c r="C32" s="121"/>
    </row>
    <row r="33" spans="1:3">
      <c r="A33" s="124"/>
      <c r="B33" s="142" t="s">
        <v>291</v>
      </c>
      <c r="C33" s="121"/>
    </row>
    <row r="34" spans="1:3">
      <c r="A34" s="124"/>
      <c r="B34" s="142" t="s">
        <v>292</v>
      </c>
      <c r="C34" s="121"/>
    </row>
    <row r="35" spans="1:3">
      <c r="A35" s="124"/>
      <c r="B35" s="178" t="s">
        <v>293</v>
      </c>
      <c r="C35" s="121"/>
    </row>
    <row r="36" spans="1:3">
      <c r="A36" s="124"/>
      <c r="B36" s="142" t="s">
        <v>294</v>
      </c>
      <c r="C36" s="121"/>
    </row>
    <row r="37" spans="1:3">
      <c r="A37" s="124"/>
      <c r="B37" s="142" t="s">
        <v>295</v>
      </c>
      <c r="C37" s="121"/>
    </row>
    <row r="38" spans="1:3">
      <c r="A38" s="124"/>
      <c r="B38" s="142" t="s">
        <v>296</v>
      </c>
      <c r="C38" s="121"/>
    </row>
    <row r="39" spans="1:3">
      <c r="A39" s="124"/>
      <c r="B39" s="142" t="s">
        <v>297</v>
      </c>
      <c r="C39" s="121"/>
    </row>
    <row r="40" spans="1:3">
      <c r="A40" s="124"/>
      <c r="B40" s="142" t="s">
        <v>421</v>
      </c>
      <c r="C40" s="121"/>
    </row>
    <row r="41" spans="1:3">
      <c r="A41" s="124"/>
      <c r="B41" s="142" t="s">
        <v>458</v>
      </c>
      <c r="C41" s="121"/>
    </row>
    <row r="42" spans="1:3" ht="16.5" customHeight="1">
      <c r="B42" s="179" t="s">
        <v>298</v>
      </c>
      <c r="C42" s="121"/>
    </row>
    <row r="43" spans="1:3" ht="16.5" customHeight="1">
      <c r="B43" s="142" t="s">
        <v>299</v>
      </c>
      <c r="C43" s="121"/>
    </row>
    <row r="44" spans="1:3" ht="16.5" customHeight="1">
      <c r="B44" s="142" t="s">
        <v>410</v>
      </c>
      <c r="C44" s="121"/>
    </row>
    <row r="45" spans="1:3" ht="16.5" customHeight="1">
      <c r="B45" s="142" t="s">
        <v>409</v>
      </c>
      <c r="C45" s="121"/>
    </row>
    <row r="46" spans="1:3" ht="16.5" customHeight="1">
      <c r="B46" s="177" t="s">
        <v>300</v>
      </c>
      <c r="C46" s="121"/>
    </row>
    <row r="47" spans="1:3" ht="16.5" customHeight="1">
      <c r="B47" s="178" t="s">
        <v>301</v>
      </c>
      <c r="C47" s="121"/>
    </row>
    <row r="48" spans="1:3" ht="16.5" customHeight="1">
      <c r="B48" s="142" t="s">
        <v>302</v>
      </c>
      <c r="C48" s="121"/>
    </row>
    <row r="49" spans="2:3" ht="16.5" customHeight="1">
      <c r="B49" s="142" t="s">
        <v>303</v>
      </c>
      <c r="C49" s="121"/>
    </row>
    <row r="50" spans="2:3" ht="16.5" customHeight="1">
      <c r="B50" s="142" t="s">
        <v>304</v>
      </c>
      <c r="C50" s="121"/>
    </row>
    <row r="51" spans="2:3" ht="16.5" customHeight="1">
      <c r="B51" s="142" t="s">
        <v>305</v>
      </c>
      <c r="C51" s="121"/>
    </row>
    <row r="52" spans="2:3" ht="16.5" customHeight="1">
      <c r="B52" s="142" t="s">
        <v>350</v>
      </c>
      <c r="C52" s="121"/>
    </row>
    <row r="53" spans="2:3" ht="16.5" customHeight="1">
      <c r="B53" s="142" t="s">
        <v>36</v>
      </c>
      <c r="C53" s="121"/>
    </row>
    <row r="54" spans="2:3" ht="16.5" customHeight="1">
      <c r="B54" s="142" t="s">
        <v>411</v>
      </c>
      <c r="C54" s="121"/>
    </row>
    <row r="55" spans="2:3" ht="16.5" customHeight="1">
      <c r="B55" s="142" t="s">
        <v>412</v>
      </c>
      <c r="C55" s="121"/>
    </row>
    <row r="56" spans="2:3" ht="16.5" customHeight="1">
      <c r="B56" s="177" t="s">
        <v>432</v>
      </c>
      <c r="C56" s="121"/>
    </row>
    <row r="57" spans="2:3" ht="16.5" customHeight="1">
      <c r="B57" s="142" t="s">
        <v>306</v>
      </c>
      <c r="C57" s="121"/>
    </row>
    <row r="58" spans="2:3" ht="16.5" customHeight="1">
      <c r="B58" s="142" t="s">
        <v>307</v>
      </c>
      <c r="C58" s="121"/>
    </row>
    <row r="59" spans="2:3" ht="16.5" customHeight="1">
      <c r="B59" s="177" t="s">
        <v>308</v>
      </c>
      <c r="C59" s="121"/>
    </row>
    <row r="60" spans="2:3" ht="16.5" customHeight="1">
      <c r="B60" s="142" t="s">
        <v>309</v>
      </c>
      <c r="C60" s="121"/>
    </row>
    <row r="61" spans="2:3" ht="16.5" customHeight="1">
      <c r="B61" s="142" t="s">
        <v>310</v>
      </c>
      <c r="C61" s="121"/>
    </row>
    <row r="62" spans="2:3" ht="16.5" customHeight="1">
      <c r="B62" s="142" t="s">
        <v>311</v>
      </c>
      <c r="C62" s="121"/>
    </row>
    <row r="63" spans="2:3" ht="16.5" customHeight="1">
      <c r="B63" s="177" t="s">
        <v>312</v>
      </c>
      <c r="C63" s="121"/>
    </row>
    <row r="64" spans="2:3" ht="16.5" customHeight="1">
      <c r="B64" s="142" t="s">
        <v>313</v>
      </c>
      <c r="C64" s="121"/>
    </row>
    <row r="65" spans="1:3" ht="16.5" customHeight="1">
      <c r="B65" s="142" t="s">
        <v>314</v>
      </c>
      <c r="C65" s="121"/>
    </row>
    <row r="66" spans="1:3" ht="16.5" customHeight="1">
      <c r="A66" s="151"/>
      <c r="B66" s="142"/>
      <c r="C66" s="121"/>
    </row>
    <row r="67" spans="1:3" ht="24" customHeight="1">
      <c r="B67" s="177" t="s">
        <v>315</v>
      </c>
      <c r="C67" s="121"/>
    </row>
    <row r="68" spans="1:3" ht="16.5" customHeight="1">
      <c r="B68" s="178" t="s">
        <v>316</v>
      </c>
      <c r="C68" s="121"/>
    </row>
    <row r="69" spans="1:3" ht="16.5" customHeight="1">
      <c r="B69" s="142" t="s">
        <v>317</v>
      </c>
      <c r="C69" s="121"/>
    </row>
    <row r="70" spans="1:3" ht="16.5" customHeight="1">
      <c r="B70" s="142" t="s">
        <v>427</v>
      </c>
      <c r="C70" s="121"/>
    </row>
    <row r="71" spans="1:3" ht="16.5" customHeight="1">
      <c r="B71" s="142" t="s">
        <v>426</v>
      </c>
      <c r="C71" s="121"/>
    </row>
    <row r="72" spans="1:3" ht="16.5" customHeight="1">
      <c r="B72" s="142" t="s">
        <v>428</v>
      </c>
      <c r="C72" s="121"/>
    </row>
    <row r="73" spans="1:3" s="181" customFormat="1" ht="16.5" customHeight="1">
      <c r="A73" s="180"/>
      <c r="B73" s="142" t="s">
        <v>318</v>
      </c>
      <c r="C73" s="67"/>
    </row>
    <row r="74" spans="1:3" ht="16.5" customHeight="1">
      <c r="B74" s="142" t="s">
        <v>319</v>
      </c>
      <c r="C74" s="121"/>
    </row>
    <row r="75" spans="1:3" ht="16.5" customHeight="1">
      <c r="B75" s="142" t="s">
        <v>413</v>
      </c>
      <c r="C75" s="121"/>
    </row>
    <row r="76" spans="1:3" ht="16.5" customHeight="1">
      <c r="B76" s="142" t="s">
        <v>414</v>
      </c>
      <c r="C76" s="121"/>
    </row>
    <row r="77" spans="1:3" ht="16.5" customHeight="1">
      <c r="B77" s="142" t="s">
        <v>415</v>
      </c>
      <c r="C77" s="121"/>
    </row>
    <row r="78" spans="1:3" ht="16.5" customHeight="1">
      <c r="B78" s="178" t="s">
        <v>320</v>
      </c>
      <c r="C78" s="121"/>
    </row>
    <row r="79" spans="1:3" ht="16.5" customHeight="1">
      <c r="B79" s="142" t="s">
        <v>321</v>
      </c>
      <c r="C79" s="121"/>
    </row>
    <row r="80" spans="1:3" ht="16.5" customHeight="1">
      <c r="B80" s="142" t="s">
        <v>322</v>
      </c>
      <c r="C80" s="121"/>
    </row>
    <row r="81" spans="1:3" ht="16.5" customHeight="1">
      <c r="B81" s="142" t="s">
        <v>459</v>
      </c>
      <c r="C81" s="121"/>
    </row>
    <row r="82" spans="1:3" ht="16.5" customHeight="1">
      <c r="B82" s="178" t="s">
        <v>323</v>
      </c>
      <c r="C82" s="121"/>
    </row>
    <row r="83" spans="1:3" ht="16.5" customHeight="1">
      <c r="B83" s="142" t="s">
        <v>422</v>
      </c>
      <c r="C83" s="121"/>
    </row>
    <row r="84" spans="1:3" ht="16.5" customHeight="1">
      <c r="B84" s="142" t="s">
        <v>423</v>
      </c>
      <c r="C84" s="121"/>
    </row>
    <row r="85" spans="1:3" ht="16.5" customHeight="1">
      <c r="B85" s="142" t="s">
        <v>424</v>
      </c>
      <c r="C85" s="121"/>
    </row>
    <row r="86" spans="1:3" ht="16.5" customHeight="1">
      <c r="B86" s="142" t="s">
        <v>425</v>
      </c>
      <c r="C86" s="121"/>
    </row>
    <row r="87" spans="1:3" ht="16.5" customHeight="1">
      <c r="B87" s="178" t="s">
        <v>324</v>
      </c>
      <c r="C87" s="121"/>
    </row>
    <row r="88" spans="1:3" ht="16.5" customHeight="1">
      <c r="B88" s="142" t="s">
        <v>416</v>
      </c>
      <c r="C88" s="121"/>
    </row>
    <row r="89" spans="1:3" ht="16.5" customHeight="1">
      <c r="A89" s="113"/>
      <c r="B89" s="256" t="s">
        <v>325</v>
      </c>
      <c r="C89" s="121"/>
    </row>
    <row r="90" spans="1:3" ht="16.5" customHeight="1">
      <c r="A90" s="113"/>
      <c r="B90" s="257" t="s">
        <v>417</v>
      </c>
      <c r="C90" s="121"/>
    </row>
    <row r="91" spans="1:3" ht="16.5" customHeight="1">
      <c r="B91" s="257" t="s">
        <v>429</v>
      </c>
      <c r="C91" s="121"/>
    </row>
    <row r="92" spans="1:3" ht="16.5" customHeight="1">
      <c r="A92" s="113"/>
      <c r="B92" s="257" t="s">
        <v>430</v>
      </c>
      <c r="C92" s="121"/>
    </row>
    <row r="93" spans="1:3" ht="16.5" customHeight="1">
      <c r="A93" s="113"/>
      <c r="B93" s="257" t="s">
        <v>431</v>
      </c>
      <c r="C93" s="121"/>
    </row>
    <row r="94" spans="1:3" ht="16.5" customHeight="1">
      <c r="B94" s="177" t="s">
        <v>326</v>
      </c>
      <c r="C94" s="121"/>
    </row>
    <row r="95" spans="1:3" ht="16.5" customHeight="1">
      <c r="B95" s="178" t="s">
        <v>327</v>
      </c>
      <c r="C95" s="121"/>
    </row>
    <row r="96" spans="1:3" ht="16.5" customHeight="1">
      <c r="B96" s="142" t="s">
        <v>328</v>
      </c>
      <c r="C96" s="121"/>
    </row>
    <row r="97" spans="2:3" ht="16.5" customHeight="1">
      <c r="B97" s="142" t="s">
        <v>329</v>
      </c>
      <c r="C97" s="121"/>
    </row>
    <row r="98" spans="2:3" ht="16.5" customHeight="1">
      <c r="B98" s="142" t="s">
        <v>330</v>
      </c>
      <c r="C98" s="121"/>
    </row>
    <row r="99" spans="2:3" ht="16.5" customHeight="1">
      <c r="B99" s="178" t="s">
        <v>331</v>
      </c>
      <c r="C99" s="121"/>
    </row>
    <row r="100" spans="2:3" ht="16.5" customHeight="1">
      <c r="B100" s="142" t="s">
        <v>332</v>
      </c>
      <c r="C100" s="121"/>
    </row>
    <row r="101" spans="2:3" ht="16.5" customHeight="1">
      <c r="B101" s="142" t="s">
        <v>333</v>
      </c>
      <c r="C101" s="121"/>
    </row>
    <row r="102" spans="2:3" ht="16.5" customHeight="1">
      <c r="B102" s="142" t="s">
        <v>334</v>
      </c>
      <c r="C102" s="121"/>
    </row>
    <row r="103" spans="2:3" ht="16.5" customHeight="1">
      <c r="B103" s="178" t="s">
        <v>335</v>
      </c>
      <c r="C103" s="121"/>
    </row>
    <row r="104" spans="2:3" ht="16.5" customHeight="1">
      <c r="B104" s="142" t="s">
        <v>336</v>
      </c>
      <c r="C104" s="121"/>
    </row>
    <row r="105" spans="2:3" ht="16.5" customHeight="1">
      <c r="B105" s="142" t="s">
        <v>337</v>
      </c>
      <c r="C105" s="121"/>
    </row>
    <row r="106" spans="2:3" ht="16.5" customHeight="1">
      <c r="B106" s="142" t="s">
        <v>338</v>
      </c>
      <c r="C106" s="121"/>
    </row>
    <row r="107" spans="2:3" ht="16.5" customHeight="1">
      <c r="B107" s="142" t="s">
        <v>339</v>
      </c>
      <c r="C107" s="121"/>
    </row>
    <row r="108" spans="2:3" ht="24" customHeight="1">
      <c r="B108" s="178" t="s">
        <v>340</v>
      </c>
      <c r="C108" s="121"/>
    </row>
    <row r="109" spans="2:3" ht="16.5" customHeight="1">
      <c r="B109" s="142" t="s">
        <v>341</v>
      </c>
      <c r="C109" s="121"/>
    </row>
    <row r="110" spans="2:3" ht="16.5" customHeight="1">
      <c r="B110" s="142" t="s">
        <v>342</v>
      </c>
      <c r="C110" s="121"/>
    </row>
    <row r="111" spans="2:3" ht="16.5" customHeight="1">
      <c r="B111" s="142" t="s">
        <v>343</v>
      </c>
      <c r="C111" s="121"/>
    </row>
    <row r="112" spans="2:3" ht="16.5" customHeight="1">
      <c r="B112" s="142" t="s">
        <v>344</v>
      </c>
      <c r="C112" s="121"/>
    </row>
    <row r="113" spans="1:3" ht="16.5" customHeight="1">
      <c r="B113" s="142" t="s">
        <v>345</v>
      </c>
      <c r="C113" s="121"/>
    </row>
    <row r="114" spans="1:3" ht="16.5" customHeight="1">
      <c r="B114" s="142" t="s">
        <v>346</v>
      </c>
      <c r="C114" s="121"/>
    </row>
    <row r="115" spans="1:3" ht="16.5" customHeight="1">
      <c r="B115" s="142" t="s">
        <v>347</v>
      </c>
      <c r="C115" s="121"/>
    </row>
    <row r="116" spans="1:3" ht="16.5" customHeight="1">
      <c r="B116" s="142" t="s">
        <v>382</v>
      </c>
      <c r="C116" s="121"/>
    </row>
    <row r="117" spans="1:3" ht="16.5" customHeight="1">
      <c r="B117" s="142" t="s">
        <v>418</v>
      </c>
      <c r="C117" s="121"/>
    </row>
    <row r="118" spans="1:3" ht="16.5" customHeight="1">
      <c r="A118" s="151"/>
      <c r="B118" s="142" t="s">
        <v>724</v>
      </c>
      <c r="C118" s="121"/>
    </row>
    <row r="119" spans="1:3" ht="16.5" customHeight="1">
      <c r="A119" s="151"/>
      <c r="B119" s="142" t="s">
        <v>725</v>
      </c>
      <c r="C119" s="121"/>
    </row>
    <row r="120" spans="1:3" ht="21" customHeight="1">
      <c r="A120" s="123"/>
      <c r="B120" s="177" t="s">
        <v>348</v>
      </c>
      <c r="C120" s="121"/>
    </row>
    <row r="121" spans="1:3">
      <c r="B121" s="142" t="s">
        <v>349</v>
      </c>
      <c r="C121" s="121"/>
    </row>
    <row r="122" spans="1:3" ht="10.5" customHeight="1">
      <c r="B122" s="143"/>
      <c r="C122" s="121"/>
    </row>
    <row r="123" spans="1:3">
      <c r="B123" s="57"/>
      <c r="C123" s="67"/>
    </row>
    <row r="124" spans="1:3">
      <c r="B124" s="57"/>
      <c r="C124" s="67"/>
    </row>
    <row r="125" spans="1:3">
      <c r="B125" s="57"/>
      <c r="C125" s="67"/>
    </row>
    <row r="126" spans="1:3" ht="15.75">
      <c r="A126" s="69"/>
      <c r="B126" s="64"/>
      <c r="C126" s="69"/>
    </row>
    <row r="127" spans="1:3">
      <c r="B127" s="57"/>
      <c r="C127" s="67"/>
    </row>
    <row r="128" spans="1:3">
      <c r="B128" s="57"/>
      <c r="C128" s="67"/>
    </row>
    <row r="129" spans="2:3">
      <c r="B129" s="57"/>
      <c r="C129" s="67"/>
    </row>
    <row r="130" spans="2:3">
      <c r="B130" s="57"/>
      <c r="C130" s="67"/>
    </row>
    <row r="131" spans="2:3">
      <c r="B131" s="57"/>
      <c r="C131" s="67"/>
    </row>
  </sheetData>
  <mergeCells count="2">
    <mergeCell ref="A3:B3"/>
    <mergeCell ref="A1:B2"/>
  </mergeCells>
  <hyperlinks>
    <hyperlink ref="B6" location="'Cobertura SDSS'!A1" display="I.1.1 . Cobertura del SDSS"/>
    <hyperlink ref="B7" location="'Afil. SDSS'!A1" display="I.1.2. Distribución Anual  de Afiliados al SDSS"/>
    <hyperlink ref="B8" location="Afil.Trim.!A1" display="I.1.3. Distribución Trimestral  de Afiliados al SDSS"/>
    <hyperlink ref="B9" location="'Afil. mensual'!A1" display="I.1.4. Distribución Mensual de Afiliados al SDSS"/>
    <hyperlink ref="B10" location="'Afil. x Reg.'!A1" display="I.1.5. Distribución  de Afiliados al SDSS por Regímenes"/>
    <hyperlink ref="B11" location="'Proy. afil.Vs pob.'!A1" display="I.1.6. Comparación Proyección de la Afiliación del SDSS vs. Población Nacional"/>
    <hyperlink ref="B13" location="'Empr. afil.'!A1" display="I.2.1. Cantidad de Empresas y Empleados Afiliados Activos al SDSS"/>
    <hyperlink ref="B14" location="'Empr. empl. afil.'!A1" display="I.2.2. Comportamiento de la Afiliación  Activa del las Empresas al SDSS"/>
    <hyperlink ref="B15" location="'Empr. x sector'!A1" display="I.2.3. Empresas Afiliadas Activas al SDSS, por sector"/>
    <hyperlink ref="B16" location="'Empl x sector'!A1" display="1.2.4. Empleados Afiliados Activos al SDSS , por sector"/>
    <hyperlink ref="B17" location="'Empr x No. de empl'!A1" display="I.2.5. Empresas Afiliadas Activas al SDSS, por Cantidad de Empleados Registrados en TSS"/>
    <hyperlink ref="B18" location="'Salario prom.'!A1" display="I.2.6. Salario Promedio Mensual de los Empleados, por Sector"/>
    <hyperlink ref="B21" location="'Pob. econ.'!A1" display="II.1. Población República Dominicana"/>
    <hyperlink ref="B22" location="'Ocup. formal'!A1" display="II.2. Distribución de la Población Ocupada Formal por Rama de Actividad"/>
    <hyperlink ref="B24" location="'Ingr y egr SDSS'!A1" display="III.1.  Ingresos y Egresos Anuales del SDSS "/>
    <hyperlink ref="B25" location="'Ingr SDSS'!A1" display="III.2.  Ingresos del SDSS"/>
    <hyperlink ref="B26" location="'Egr SDSS'!A1" display="III.3.  Egresos del SDSS"/>
    <hyperlink ref="B30" location="'Afil. anual SFS'!A1" display="IV.1.1.1.  Afiliación Anual al SFS del RC"/>
    <hyperlink ref="B31" location="'Afil. SFS trim.'!A1" display="IV.1.1.2. Afiliación Trimestral al SFS del RC"/>
    <hyperlink ref="B32" location="'Afil.SFS mensual'!A1" display="IV.1.1.3. Afiliación Mensual al SFS del RC"/>
    <hyperlink ref="B33" location="'Tit. Vs pob ocup.'!A1" display="IV.1.1.4. Comparativo Afiliados Titulares con Población Ocupada Asalariada"/>
    <hyperlink ref="B34" location="'Ind. dep'!A1" display="IV.1.1.5. Indice de Dependencia del SFS del RC"/>
    <hyperlink ref="B36" location="'Rec. disp. salud'!A1" display="IV.1.2.1.  Recaudo y Dispersión de la Cuenta Cuidado de la Salud del SFS del RC"/>
    <hyperlink ref="B37" location="'Disp. SFS'!A1" display="IV.1.2.2. Fondos Dispersados Anualmente  al SFS del RC por Cuentas"/>
    <hyperlink ref="B38" location="'Afil. SFS trim.'!A1" display="IV.1.2.3. Fondos Dispersados Trimestralmente al  SFS del RC por Cuentas "/>
    <hyperlink ref="B39" location="'Dip. SFS mensual'!A1" display="IV.1.2.4. Fondos Dispersados Mensualmente  al SFS del RC por Cuentas"/>
    <hyperlink ref="B40" location="'Disp. x ARS 2'!A1" display="IV.1.2.5. Fondos Dispersados Anualmente   al SFS del RC por ARS"/>
    <hyperlink ref="B41" location="'Disp. x ARS'!A1" display="IV.1.2.6. Fondos Dispersados  al SFS del RC por ARS"/>
    <hyperlink ref="B43" location="Disp.C.F.!A1" display="IV.1.3.1. Disponibilidad de Certificados Financieros del SFS del RC"/>
    <hyperlink ref="B44" location="'Por cuentas'!A1" display="IV.1.3.2.  Distribución de Fondos del SFS del RC en Certificados Financieros por Cuentas"/>
    <hyperlink ref="B48" location="'Afil. anual SFS RS'!A1" display="IV.2.1.1. Afiliación Anual al SFS del RS"/>
    <hyperlink ref="B49" location="'Afil. RS trim'!A1" display="IV.2.1.2. Afiliación Trimestral al SFS del RS"/>
    <hyperlink ref="B50" location="'Afil. RS mensual'!A1" display="IV.2.1.3. Afiliación Mensual al SFS del RS"/>
    <hyperlink ref="B51" location="'Afil. SFS RS Vs pob.'!A1" display="IV.2.1.4. Comportamiento de la Afiliación al SFS del RS con relación  a la Población Pobre del País "/>
    <hyperlink ref="B55" location="'Ind. depend.'!A1" display="IV.2.1.7. Indice de Dependencia del RS"/>
    <hyperlink ref="B57" location="'Aport. Disp. RS'!A1" display="IV.2.2.1. Aporte  y Dispersión Anual  al SFS del RS"/>
    <hyperlink ref="B58" location="'Saldos RS mensual'!A1" display="IV.2.2.2. Aporte  y Dispersión Mensual al SFS del RS"/>
    <hyperlink ref="B60" location="'Afil. SFS Pens.'!A1" display="IV.3.1. Afiliación Mensual  de Pensionados"/>
    <hyperlink ref="B61" location="'Afil. SFS Pens.x ARS'!A1" display="IV.3.2. Afiliación Pensionados por ARS"/>
    <hyperlink ref="B62" location="'Disp.SFS Pens.x ARS'!A1" display="IV.3.3. Dispersión Mensual por las ARS"/>
    <hyperlink ref="B64" location="'Afil. a EI'!A1" display="IV.4.1. Afiliación de Niños a las Estancias Infantiles"/>
    <hyperlink ref="B65" location="'Evol. afil. EI'!A1" display="IV.4.2. Evolución en el Resultado del Proceso de Afiliación"/>
    <hyperlink ref="B69" location="'Afil. SVDS'!A1" display="V.1.1. Cantidad  de Afiliados  y Cotizantes  Anual al SVDS del RC"/>
    <hyperlink ref="B72" location="'Dens.cotiz. SVDS'!A1" display=" V.1.4. Densidad Afiliados y Cotizantes Anual al SVDS del RC"/>
    <hyperlink ref="B70" location="'Afil. SVDS trim.'!A1" display="V.1.2. Cantidad  de Afiliados  y Cotizantes  Trimestral al SVDS del RC"/>
    <hyperlink ref="B71" location="'Afil. SVDS mensual'!A1" display="V.1.3. Cantidad  de Afiliados  y Cotizantes  Mensual al SVDS del RC"/>
    <hyperlink ref="A73:IV73" location="'Afil. SVDS x sexo'!A1" display="'Afil. SVDS x sexo'!A1"/>
    <hyperlink ref="B74" location="'Cotiz. x rango de edad'!A1" display="V.1.6. Cantidad de Cotizantes del SVDS por Rango de Edad "/>
    <hyperlink ref="B75" location="'Cotiz x sal. min. cotiz.'!A1" display="V.1.7. Cotizantes del SVDS por Salario Mínimo Cotizable "/>
    <hyperlink ref="B76" location="'Cotiz.x AFP y fondos'!A1" display="V.1.8. Distribución de los Afiliados Cotizantes por AFP's y Fondos de Reparto"/>
    <hyperlink ref="B77" location="'Cotiz. x sexo'!A1" display="V.1.9. Distribución de los Afiliados Cotizantes  al SVDS por sexo"/>
    <hyperlink ref="B79" location="'Disp. SVDS'!A1" display="V.2.1. Dispersión Histórica al SVDS"/>
    <hyperlink ref="B80" location="'Disp. anual  x cuentas'!A1" display="V.2.2. Dispersión Anual por Cuentas del SVDS "/>
    <hyperlink ref="B81" location="'Disp.  por cuentas'!A1" display="V.2.3. Dispersión por Cuentas del SVDS"/>
    <hyperlink ref="B84" location="'Trasp. recibidos.'!A1" display="V.3.2. Traspasos Recibidos en Entidades de CCI/ Reparto"/>
    <hyperlink ref="B85" location="'Trasp. cedidos'!A1" display="V.3.3. Traspasos Cedidos en  Entidades de  CCI / Reparto"/>
    <hyperlink ref="B86" location="'Trasp. netos'!A1" display="V.3.4. Traspasos Netos en  Entidades de CCI (Reparto)"/>
    <hyperlink ref="B92" location="'Cartera de inv fp'!A1" display="V.5.3. Composición de la Cartera de inversión de los Fondos de Pensiones por tipo de Emisor"/>
    <hyperlink ref="B93" location="'Rent. nom. de los FP'!A1" display="V.5.4. Rentabilidad Nominal Promedio  de los Fondos de Pensiones por trimestre"/>
    <hyperlink ref="B96" location="'Afil. SRL'!A1" display="VI.1.1. Comparativo Afiliación al SRL en relación a la Población Asalariada  "/>
    <hyperlink ref="B97" location="'Afil. SRL x sexoy edad'!A1" display="VI.1.2. Afiliación al SRL por Grupo de Edad y sexo "/>
    <hyperlink ref="B98" location="'Afil. ARL x tipo de riesgo'!A1" display="VI.1.3. Empleados Afiliados Activos al SDSS por Tipo de Riesgos Laborales de sus Empresas"/>
    <hyperlink ref="B100" location="'Disp. anual ARL'!A1" display="VI.2.1 Dispersión Anual al SRL por Cuentas"/>
    <hyperlink ref="B101" location="'Disp. mensual a ARL'!A1" display="VI.2.2 Dispersión mensual por cuentas al Seguro de Riesgos laborales"/>
    <hyperlink ref="B102" location="'Pagos de ARLSS'!A1" display="VI.2.2 Histórico de los pagos realizados por la ARLSS a las Subcuentas"/>
    <hyperlink ref="B104" location="'Accidentes lab. 1'!A1" display="VI.3.1. Comportamiento de los Accidentes Laborales Reportados  a la ARL, según Rama de Actividad Económica"/>
    <hyperlink ref="B105" location="'Accidentes lab. 2'!A1" display="VI.3.2. Comportamiento de los Accidentes Laborales Reportados a la ARL, según  los Puestos de Trabajo"/>
    <hyperlink ref="B106" location="'Accidentes lab. 3'!A1" display="VI.3.3. Comportamiento de los Accidentes Laborales Reportados a la ARL, por Categoría de Riesgo"/>
    <hyperlink ref="B107" location="'Accidentes lab. 4'!A1" display="VI.3.4. Accidentes Laborales Reportados a la ARL , por Ubicación Geográfica"/>
    <hyperlink ref="B109" location="'Prest. econ. SRL'!A1" display="VI.4.1. Prestaciones Económicas Otorgadas por el SRL, por Tipo de Prestación"/>
    <hyperlink ref="B110" location="'Gastos med. ARL'!A1" display="VI.4.2. Prestaciones en  Gastos Médicos al Seguro de Riesgos Laborales (SRL)"/>
    <hyperlink ref="B111" location="'Gastos prevenc. riesgos'!A1" display="VI.4.3. Gastos del SRL en el Programa de Prevención de Riesgos"/>
    <hyperlink ref="B112" location="'Pensión sobrev. ARL'!A1" display="VI.4.4. Pensiones por Sobrevivencia del SRL"/>
    <hyperlink ref="B113" location="'Pensión discap ARL'!A1" display="VI.4.5. Pago Pensión por Discapacidad  Permanente del SRL"/>
    <hyperlink ref="B114" location="'Discap. temporal ARL'!A1" display="VI.4.6. Subsidio por Discapacidad Temporal del SRL"/>
    <hyperlink ref="B115" location="Indemniz.ARL!A1" display="VI.4.7. Indemnizaciones por Pérdida de Miembro del SRL"/>
    <hyperlink ref="B121" location="CMR!A1" display="VII.1. Solicitudes de Evaluación de Discapacidad Permanente y Dictámenes de las CMRN"/>
    <hyperlink ref="B52" location="'Afil. SFS RS Vs pob. (2)'!A1" display="IV.2.1.4.a. Comportamiento de la Afiliación al SFS del RS con relación  a la Población Pobre del País  (SIUBEN)"/>
    <hyperlink ref="B90" location="'Patrim. fp anual'!A1" display="V.5.1. Patrimonio de los Fondos de Pensiones por año"/>
    <hyperlink ref="B88" location="'Pensiones por año'!A1" display="V.4.1. Pensiones Totales Otorgadas por Año"/>
    <hyperlink ref="B83" location="'Traspasos anual'!A1" display="V.3.1. Traspasos Totales por año"/>
    <hyperlink ref="B116" location="'Remuneración SRL'!A1" display="'Remuneración SRL'!A1"/>
    <hyperlink ref="B117" location="'Beneficios SRL'!A1" display="VI.4.9. Pagos de Prestaciones y Gastos en Salud de la ARL"/>
    <hyperlink ref="B45" location="'Por entidad'!A1" display="IV.1.3.3. Distribución de Fondos del SFS del RC en Certificados Financieros  por Entidad  "/>
    <hyperlink ref="B53" location="'Afil. SFS Rs Vs pob 3'!A1" display="IV.2.1.5.  Porcentaje de cobertura del Régimen Subsidiado con relación a la población pobre"/>
    <hyperlink ref="B54" location="'Afil. SFS RS Vs pob 4'!A1" display="IV.2.1.6. Porcentaje de Cobertura del Régimen Subsidiado con Relación a la Población pobre según Indice Calidad de Vida"/>
    <hyperlink ref="B91" location="'Patrim. fp.'!A1" display="V.5.2. Patrimonio de los Fondos de Pensiones por Trimestre"/>
  </hyperlinks>
  <pageMargins left="0.70866141732283505" right="0.70866141732283505" top="0.74803149606299202" bottom="0.74803149606299202" header="0.31496062992126" footer="0.31496062992126"/>
  <pageSetup scale="6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K54"/>
  <sheetViews>
    <sheetView showGridLines="0" view="pageBreakPreview" zoomScale="70" zoomScaleNormal="100" zoomScaleSheetLayoutView="70" workbookViewId="0">
      <selection activeCell="M19" sqref="M19"/>
    </sheetView>
  </sheetViews>
  <sheetFormatPr baseColWidth="10" defaultColWidth="11.5703125" defaultRowHeight="15"/>
  <cols>
    <col min="1" max="1" width="28.140625" customWidth="1"/>
    <col min="2" max="2" width="17.140625" customWidth="1"/>
    <col min="3" max="3" width="15.7109375" customWidth="1"/>
    <col min="4" max="4" width="16.42578125" customWidth="1"/>
    <col min="5" max="5" width="15" customWidth="1"/>
    <col min="6" max="6" width="15.42578125" customWidth="1"/>
    <col min="7" max="7" width="16.85546875" customWidth="1"/>
    <col min="8" max="8" width="16.7109375" customWidth="1"/>
    <col min="9" max="9" width="14.7109375" customWidth="1"/>
    <col min="10" max="10" width="15.28515625" customWidth="1"/>
    <col min="11" max="11" width="17.5703125" customWidth="1"/>
  </cols>
  <sheetData>
    <row r="1" spans="1:11" ht="66" customHeight="1">
      <c r="A1" s="2298" t="s">
        <v>1281</v>
      </c>
      <c r="B1" s="2298"/>
      <c r="C1" s="2298"/>
      <c r="D1" s="2298"/>
      <c r="E1" s="2298"/>
      <c r="F1" s="2298"/>
      <c r="G1" s="2298"/>
      <c r="H1" s="2298"/>
      <c r="I1" s="2298"/>
      <c r="J1" s="2298"/>
      <c r="K1" s="2298"/>
    </row>
    <row r="2" spans="1:11" s="128" customFormat="1" ht="6" customHeight="1">
      <c r="A2" s="619"/>
      <c r="B2" s="619"/>
      <c r="C2" s="619"/>
      <c r="D2" s="619"/>
      <c r="E2" s="619"/>
      <c r="F2" s="619"/>
      <c r="G2" s="619"/>
      <c r="H2" s="619"/>
      <c r="I2" s="619"/>
      <c r="J2" s="619"/>
      <c r="K2" s="619"/>
    </row>
    <row r="3" spans="1:11" ht="31.5">
      <c r="A3" s="605" t="s">
        <v>576</v>
      </c>
      <c r="B3" s="599" t="s">
        <v>880</v>
      </c>
      <c r="C3" s="600" t="s">
        <v>881</v>
      </c>
      <c r="D3" s="600" t="s">
        <v>882</v>
      </c>
      <c r="E3" s="600" t="s">
        <v>883</v>
      </c>
      <c r="F3" s="600" t="s">
        <v>884</v>
      </c>
      <c r="G3" s="600" t="s">
        <v>901</v>
      </c>
      <c r="H3" s="600" t="s">
        <v>886</v>
      </c>
      <c r="I3" s="600" t="s">
        <v>887</v>
      </c>
      <c r="J3" s="600" t="s">
        <v>888</v>
      </c>
      <c r="K3" s="600" t="s">
        <v>889</v>
      </c>
    </row>
    <row r="4" spans="1:11" ht="15.75">
      <c r="A4" s="474" t="s">
        <v>155</v>
      </c>
      <c r="B4" s="371">
        <v>8059</v>
      </c>
      <c r="C4" s="371">
        <v>25702</v>
      </c>
      <c r="D4" s="371">
        <v>16597</v>
      </c>
      <c r="E4" s="371">
        <v>15679</v>
      </c>
      <c r="F4" s="371">
        <v>24071</v>
      </c>
      <c r="G4" s="371">
        <v>28128</v>
      </c>
      <c r="H4" s="371">
        <v>18352</v>
      </c>
      <c r="I4" s="371">
        <v>10779</v>
      </c>
      <c r="J4" s="371">
        <f>SUM(B4:I4)</f>
        <v>147367</v>
      </c>
      <c r="K4" s="475">
        <f>J4/$J$37</f>
        <v>0.32704035436565709</v>
      </c>
    </row>
    <row r="5" spans="1:11" ht="15.75">
      <c r="A5" s="474" t="s">
        <v>890</v>
      </c>
      <c r="B5" s="371">
        <v>209</v>
      </c>
      <c r="C5" s="371">
        <v>747</v>
      </c>
      <c r="D5" s="371">
        <v>432</v>
      </c>
      <c r="E5" s="371">
        <v>318</v>
      </c>
      <c r="F5" s="371">
        <v>569</v>
      </c>
      <c r="G5" s="371">
        <v>769</v>
      </c>
      <c r="H5" s="371">
        <v>388</v>
      </c>
      <c r="I5" s="371">
        <v>249</v>
      </c>
      <c r="J5" s="371">
        <f t="shared" ref="J5:J36" si="0">SUM(B5:I5)</f>
        <v>3681</v>
      </c>
      <c r="K5" s="475">
        <f t="shared" ref="K5:K36" si="1">J5/$J$37</f>
        <v>8.1689628235628309E-3</v>
      </c>
    </row>
    <row r="6" spans="1:11" ht="15.75">
      <c r="A6" s="474" t="s">
        <v>573</v>
      </c>
      <c r="B6" s="371">
        <v>456</v>
      </c>
      <c r="C6" s="371">
        <v>2325</v>
      </c>
      <c r="D6" s="371">
        <v>1293</v>
      </c>
      <c r="E6" s="371">
        <v>593</v>
      </c>
      <c r="F6" s="371">
        <v>1436</v>
      </c>
      <c r="G6" s="371">
        <v>1638</v>
      </c>
      <c r="H6" s="371">
        <v>836</v>
      </c>
      <c r="I6" s="371">
        <v>438</v>
      </c>
      <c r="J6" s="371">
        <f t="shared" si="0"/>
        <v>9015</v>
      </c>
      <c r="K6" s="475">
        <f t="shared" si="1"/>
        <v>2.000630259560416E-2</v>
      </c>
    </row>
    <row r="7" spans="1:11" ht="15.75">
      <c r="A7" s="474" t="s">
        <v>572</v>
      </c>
      <c r="B7" s="371">
        <v>278</v>
      </c>
      <c r="C7" s="371">
        <v>1447</v>
      </c>
      <c r="D7" s="371">
        <v>766</v>
      </c>
      <c r="E7" s="371">
        <v>335</v>
      </c>
      <c r="F7" s="371">
        <v>812</v>
      </c>
      <c r="G7" s="371">
        <v>979</v>
      </c>
      <c r="H7" s="371">
        <v>546</v>
      </c>
      <c r="I7" s="371">
        <v>246</v>
      </c>
      <c r="J7" s="371">
        <f t="shared" si="0"/>
        <v>5409</v>
      </c>
      <c r="K7" s="475">
        <f t="shared" si="1"/>
        <v>1.2003781557362496E-2</v>
      </c>
    </row>
    <row r="8" spans="1:11" ht="15.75">
      <c r="A8" s="474" t="s">
        <v>571</v>
      </c>
      <c r="B8" s="371">
        <v>804</v>
      </c>
      <c r="C8" s="371">
        <v>3222</v>
      </c>
      <c r="D8" s="371">
        <v>1846</v>
      </c>
      <c r="E8" s="371">
        <v>865</v>
      </c>
      <c r="F8" s="371">
        <v>1661</v>
      </c>
      <c r="G8" s="371">
        <v>1959</v>
      </c>
      <c r="H8" s="371">
        <v>1023</v>
      </c>
      <c r="I8" s="371">
        <v>553</v>
      </c>
      <c r="J8" s="371">
        <f t="shared" si="0"/>
        <v>11933</v>
      </c>
      <c r="K8" s="475">
        <f t="shared" si="1"/>
        <v>2.6481997656499664E-2</v>
      </c>
    </row>
    <row r="9" spans="1:11" ht="15.75">
      <c r="A9" s="474" t="s">
        <v>570</v>
      </c>
      <c r="B9" s="371">
        <v>166</v>
      </c>
      <c r="C9" s="371">
        <v>758</v>
      </c>
      <c r="D9" s="371">
        <v>430</v>
      </c>
      <c r="E9" s="371">
        <v>292</v>
      </c>
      <c r="F9" s="371">
        <v>571</v>
      </c>
      <c r="G9" s="371">
        <v>726</v>
      </c>
      <c r="H9" s="371">
        <v>433</v>
      </c>
      <c r="I9" s="371">
        <v>242</v>
      </c>
      <c r="J9" s="371">
        <f t="shared" si="0"/>
        <v>3618</v>
      </c>
      <c r="K9" s="475">
        <f t="shared" si="1"/>
        <v>8.0291517238930514E-3</v>
      </c>
    </row>
    <row r="10" spans="1:11" ht="15.75">
      <c r="A10" s="474" t="s">
        <v>891</v>
      </c>
      <c r="B10" s="371">
        <v>898</v>
      </c>
      <c r="C10" s="371">
        <v>3362</v>
      </c>
      <c r="D10" s="371">
        <v>2378</v>
      </c>
      <c r="E10" s="371">
        <v>1146</v>
      </c>
      <c r="F10" s="371">
        <v>2277</v>
      </c>
      <c r="G10" s="371">
        <v>3005</v>
      </c>
      <c r="H10" s="371">
        <v>1760</v>
      </c>
      <c r="I10" s="371">
        <v>1022</v>
      </c>
      <c r="J10" s="371">
        <f t="shared" si="0"/>
        <v>15848</v>
      </c>
      <c r="K10" s="475">
        <f t="shared" si="1"/>
        <v>3.5170258850264528E-2</v>
      </c>
    </row>
    <row r="11" spans="1:11" ht="15.75">
      <c r="A11" s="474" t="s">
        <v>568</v>
      </c>
      <c r="B11" s="371">
        <v>120</v>
      </c>
      <c r="C11" s="371">
        <v>503</v>
      </c>
      <c r="D11" s="371">
        <v>303</v>
      </c>
      <c r="E11" s="371">
        <v>212</v>
      </c>
      <c r="F11" s="371">
        <v>402</v>
      </c>
      <c r="G11" s="371">
        <v>471</v>
      </c>
      <c r="H11" s="371">
        <v>262</v>
      </c>
      <c r="I11" s="371">
        <v>159</v>
      </c>
      <c r="J11" s="371">
        <f t="shared" si="0"/>
        <v>2432</v>
      </c>
      <c r="K11" s="475">
        <f t="shared" si="1"/>
        <v>5.3971522920143447E-3</v>
      </c>
    </row>
    <row r="12" spans="1:11" ht="15.75">
      <c r="A12" s="474" t="s">
        <v>892</v>
      </c>
      <c r="B12" s="371">
        <v>155</v>
      </c>
      <c r="C12" s="371">
        <v>736</v>
      </c>
      <c r="D12" s="371">
        <v>363</v>
      </c>
      <c r="E12" s="371">
        <v>262</v>
      </c>
      <c r="F12" s="371">
        <v>457</v>
      </c>
      <c r="G12" s="371">
        <v>596</v>
      </c>
      <c r="H12" s="371">
        <v>394</v>
      </c>
      <c r="I12" s="371">
        <v>214</v>
      </c>
      <c r="J12" s="371">
        <f t="shared" si="0"/>
        <v>3177</v>
      </c>
      <c r="K12" s="475">
        <f t="shared" si="1"/>
        <v>7.0504740262045951E-3</v>
      </c>
    </row>
    <row r="13" spans="1:11" ht="15.75">
      <c r="A13" s="478" t="s">
        <v>567</v>
      </c>
      <c r="B13" s="371">
        <v>383</v>
      </c>
      <c r="C13" s="371">
        <v>1557</v>
      </c>
      <c r="D13" s="371">
        <v>956</v>
      </c>
      <c r="E13" s="371">
        <v>669</v>
      </c>
      <c r="F13" s="371">
        <v>1147</v>
      </c>
      <c r="G13" s="371">
        <v>1461</v>
      </c>
      <c r="H13" s="371">
        <v>630</v>
      </c>
      <c r="I13" s="371">
        <v>427</v>
      </c>
      <c r="J13" s="371">
        <f t="shared" si="0"/>
        <v>7230</v>
      </c>
      <c r="K13" s="475">
        <f t="shared" si="1"/>
        <v>1.6044988104960408E-2</v>
      </c>
    </row>
    <row r="14" spans="1:11" ht="15.75">
      <c r="A14" s="474" t="s">
        <v>893</v>
      </c>
      <c r="B14" s="371">
        <v>175</v>
      </c>
      <c r="C14" s="371">
        <v>715</v>
      </c>
      <c r="D14" s="371">
        <v>407</v>
      </c>
      <c r="E14" s="371">
        <v>255</v>
      </c>
      <c r="F14" s="371">
        <v>520</v>
      </c>
      <c r="G14" s="371">
        <v>690</v>
      </c>
      <c r="H14" s="371">
        <v>377</v>
      </c>
      <c r="I14" s="371">
        <v>196</v>
      </c>
      <c r="J14" s="371">
        <f t="shared" si="0"/>
        <v>3335</v>
      </c>
      <c r="K14" s="475">
        <f t="shared" si="1"/>
        <v>7.4011113872811847E-3</v>
      </c>
    </row>
    <row r="15" spans="1:11" ht="15.75">
      <c r="A15" s="474" t="s">
        <v>565</v>
      </c>
      <c r="B15" s="371">
        <v>233</v>
      </c>
      <c r="C15" s="371">
        <v>1074</v>
      </c>
      <c r="D15" s="371">
        <v>518</v>
      </c>
      <c r="E15" s="371">
        <v>275</v>
      </c>
      <c r="F15" s="371">
        <v>647</v>
      </c>
      <c r="G15" s="371">
        <v>660</v>
      </c>
      <c r="H15" s="371">
        <v>375</v>
      </c>
      <c r="I15" s="371">
        <v>218</v>
      </c>
      <c r="J15" s="371">
        <f t="shared" si="0"/>
        <v>4000</v>
      </c>
      <c r="K15" s="475">
        <f t="shared" si="1"/>
        <v>8.8768952171288575E-3</v>
      </c>
    </row>
    <row r="16" spans="1:11" ht="15.75">
      <c r="A16" s="474" t="s">
        <v>564</v>
      </c>
      <c r="B16" s="371">
        <v>207</v>
      </c>
      <c r="C16" s="371">
        <v>674</v>
      </c>
      <c r="D16" s="371">
        <v>381</v>
      </c>
      <c r="E16" s="371">
        <v>366</v>
      </c>
      <c r="F16" s="371">
        <v>544</v>
      </c>
      <c r="G16" s="371">
        <v>660</v>
      </c>
      <c r="H16" s="371">
        <v>417</v>
      </c>
      <c r="I16" s="371">
        <v>182</v>
      </c>
      <c r="J16" s="371">
        <f t="shared" si="0"/>
        <v>3431</v>
      </c>
      <c r="K16" s="475">
        <f t="shared" si="1"/>
        <v>7.6141568724922767E-3</v>
      </c>
    </row>
    <row r="17" spans="1:11" ht="15.75">
      <c r="A17" s="474" t="s">
        <v>894</v>
      </c>
      <c r="B17" s="371">
        <v>856</v>
      </c>
      <c r="C17" s="371">
        <v>3280</v>
      </c>
      <c r="D17" s="371">
        <v>2036</v>
      </c>
      <c r="E17" s="371">
        <v>1282</v>
      </c>
      <c r="F17" s="371">
        <v>2432</v>
      </c>
      <c r="G17" s="371">
        <v>2889</v>
      </c>
      <c r="H17" s="371">
        <v>1404</v>
      </c>
      <c r="I17" s="371">
        <v>1026</v>
      </c>
      <c r="J17" s="371">
        <f t="shared" si="0"/>
        <v>15205</v>
      </c>
      <c r="K17" s="475">
        <f t="shared" si="1"/>
        <v>3.3743297944111066E-2</v>
      </c>
    </row>
    <row r="18" spans="1:11" ht="15.75">
      <c r="A18" s="478" t="s">
        <v>562</v>
      </c>
      <c r="B18" s="371">
        <v>344</v>
      </c>
      <c r="C18" s="371">
        <v>1318</v>
      </c>
      <c r="D18" s="371">
        <v>767</v>
      </c>
      <c r="E18" s="371">
        <v>526</v>
      </c>
      <c r="F18" s="371">
        <v>963</v>
      </c>
      <c r="G18" s="371">
        <v>1190</v>
      </c>
      <c r="H18" s="371">
        <v>634</v>
      </c>
      <c r="I18" s="371">
        <v>308</v>
      </c>
      <c r="J18" s="371">
        <f t="shared" si="0"/>
        <v>6050</v>
      </c>
      <c r="K18" s="475">
        <f t="shared" si="1"/>
        <v>1.3426304015907397E-2</v>
      </c>
    </row>
    <row r="19" spans="1:11" ht="15.75">
      <c r="A19" s="474" t="s">
        <v>561</v>
      </c>
      <c r="B19" s="371">
        <v>384</v>
      </c>
      <c r="C19" s="371">
        <v>1570</v>
      </c>
      <c r="D19" s="371">
        <v>910</v>
      </c>
      <c r="E19" s="371">
        <v>507</v>
      </c>
      <c r="F19" s="371">
        <v>1085</v>
      </c>
      <c r="G19" s="371">
        <v>1228</v>
      </c>
      <c r="H19" s="371">
        <v>642</v>
      </c>
      <c r="I19" s="371">
        <v>394</v>
      </c>
      <c r="J19" s="371">
        <f t="shared" si="0"/>
        <v>6720</v>
      </c>
      <c r="K19" s="475">
        <f t="shared" si="1"/>
        <v>1.4913183964776479E-2</v>
      </c>
    </row>
    <row r="20" spans="1:11" ht="15.75">
      <c r="A20" s="478" t="s">
        <v>559</v>
      </c>
      <c r="B20" s="371">
        <v>179</v>
      </c>
      <c r="C20" s="371">
        <v>919</v>
      </c>
      <c r="D20" s="371">
        <v>520</v>
      </c>
      <c r="E20" s="371">
        <v>382</v>
      </c>
      <c r="F20" s="371">
        <v>762</v>
      </c>
      <c r="G20" s="371">
        <v>998</v>
      </c>
      <c r="H20" s="371">
        <v>580</v>
      </c>
      <c r="I20" s="371">
        <v>309</v>
      </c>
      <c r="J20" s="371">
        <f t="shared" si="0"/>
        <v>4649</v>
      </c>
      <c r="K20" s="475">
        <f t="shared" si="1"/>
        <v>1.0317171466108013E-2</v>
      </c>
    </row>
    <row r="21" spans="1:11" ht="15.75">
      <c r="A21" s="474" t="s">
        <v>560</v>
      </c>
      <c r="B21" s="371">
        <v>554</v>
      </c>
      <c r="C21" s="371">
        <v>2310</v>
      </c>
      <c r="D21" s="371">
        <v>1307</v>
      </c>
      <c r="E21" s="371">
        <v>740</v>
      </c>
      <c r="F21" s="371">
        <v>1615</v>
      </c>
      <c r="G21" s="371">
        <v>1549</v>
      </c>
      <c r="H21" s="371">
        <v>798</v>
      </c>
      <c r="I21" s="371">
        <v>389</v>
      </c>
      <c r="J21" s="371">
        <f t="shared" si="0"/>
        <v>9262</v>
      </c>
      <c r="K21" s="475">
        <f t="shared" si="1"/>
        <v>2.0554450875261868E-2</v>
      </c>
    </row>
    <row r="22" spans="1:11" ht="15.75">
      <c r="A22" s="474" t="s">
        <v>895</v>
      </c>
      <c r="B22" s="371">
        <v>66</v>
      </c>
      <c r="C22" s="371">
        <v>309</v>
      </c>
      <c r="D22" s="371">
        <v>155</v>
      </c>
      <c r="E22" s="371">
        <v>82</v>
      </c>
      <c r="F22" s="371">
        <v>198</v>
      </c>
      <c r="G22" s="371">
        <v>219</v>
      </c>
      <c r="H22" s="371">
        <v>107</v>
      </c>
      <c r="I22" s="371">
        <v>82</v>
      </c>
      <c r="J22" s="371">
        <f t="shared" si="0"/>
        <v>1218</v>
      </c>
      <c r="K22" s="475">
        <f t="shared" si="1"/>
        <v>2.703014593615737E-3</v>
      </c>
    </row>
    <row r="23" spans="1:11" ht="15.75">
      <c r="A23" s="474" t="s">
        <v>557</v>
      </c>
      <c r="B23" s="371">
        <v>330</v>
      </c>
      <c r="C23" s="371">
        <v>1304</v>
      </c>
      <c r="D23" s="371">
        <v>754</v>
      </c>
      <c r="E23" s="371">
        <v>348</v>
      </c>
      <c r="F23" s="371">
        <v>837</v>
      </c>
      <c r="G23" s="371">
        <v>1048</v>
      </c>
      <c r="H23" s="371">
        <v>523</v>
      </c>
      <c r="I23" s="371">
        <v>380</v>
      </c>
      <c r="J23" s="371">
        <f t="shared" si="0"/>
        <v>5524</v>
      </c>
      <c r="K23" s="475">
        <f t="shared" si="1"/>
        <v>1.2258992294854951E-2</v>
      </c>
    </row>
    <row r="24" spans="1:11" ht="15.75">
      <c r="A24" s="474" t="s">
        <v>556</v>
      </c>
      <c r="B24" s="371">
        <v>404</v>
      </c>
      <c r="C24" s="371">
        <v>1592</v>
      </c>
      <c r="D24" s="371">
        <v>1000</v>
      </c>
      <c r="E24" s="371">
        <v>766</v>
      </c>
      <c r="F24" s="371">
        <v>1513</v>
      </c>
      <c r="G24" s="371">
        <v>1816</v>
      </c>
      <c r="H24" s="371">
        <v>918</v>
      </c>
      <c r="I24" s="371">
        <v>481</v>
      </c>
      <c r="J24" s="371">
        <f t="shared" si="0"/>
        <v>8490</v>
      </c>
      <c r="K24" s="475">
        <f t="shared" si="1"/>
        <v>1.8841210098355998E-2</v>
      </c>
    </row>
    <row r="25" spans="1:11" ht="15.75">
      <c r="A25" s="474" t="s">
        <v>896</v>
      </c>
      <c r="B25" s="371">
        <v>433</v>
      </c>
      <c r="C25" s="371">
        <v>1633</v>
      </c>
      <c r="D25" s="371">
        <v>1016</v>
      </c>
      <c r="E25" s="371">
        <v>670</v>
      </c>
      <c r="F25" s="371">
        <v>1249</v>
      </c>
      <c r="G25" s="371">
        <v>1443</v>
      </c>
      <c r="H25" s="371">
        <v>677</v>
      </c>
      <c r="I25" s="371">
        <v>399</v>
      </c>
      <c r="J25" s="371">
        <f t="shared" si="0"/>
        <v>7520</v>
      </c>
      <c r="K25" s="475">
        <f t="shared" si="1"/>
        <v>1.6688563008202251E-2</v>
      </c>
    </row>
    <row r="26" spans="1:11" ht="15.75">
      <c r="A26" s="474" t="s">
        <v>554</v>
      </c>
      <c r="B26" s="371">
        <v>176</v>
      </c>
      <c r="C26" s="371">
        <v>745</v>
      </c>
      <c r="D26" s="371">
        <v>445</v>
      </c>
      <c r="E26" s="371">
        <v>248</v>
      </c>
      <c r="F26" s="371">
        <v>637</v>
      </c>
      <c r="G26" s="371">
        <v>777</v>
      </c>
      <c r="H26" s="371">
        <v>340</v>
      </c>
      <c r="I26" s="371">
        <v>191</v>
      </c>
      <c r="J26" s="371">
        <f t="shared" si="0"/>
        <v>3559</v>
      </c>
      <c r="K26" s="475">
        <f t="shared" si="1"/>
        <v>7.8982175194404012E-3</v>
      </c>
    </row>
    <row r="27" spans="1:11" ht="15.75">
      <c r="A27" s="474" t="s">
        <v>553</v>
      </c>
      <c r="B27" s="371">
        <v>1016</v>
      </c>
      <c r="C27" s="371">
        <v>4040</v>
      </c>
      <c r="D27" s="371">
        <v>2461</v>
      </c>
      <c r="E27" s="371">
        <v>1405</v>
      </c>
      <c r="F27" s="371">
        <v>2708</v>
      </c>
      <c r="G27" s="371">
        <v>3536</v>
      </c>
      <c r="H27" s="371">
        <v>1848</v>
      </c>
      <c r="I27" s="371">
        <v>977</v>
      </c>
      <c r="J27" s="371">
        <f t="shared" si="0"/>
        <v>17991</v>
      </c>
      <c r="K27" s="475">
        <f t="shared" si="1"/>
        <v>3.9926055462841316E-2</v>
      </c>
    </row>
    <row r="28" spans="1:11" ht="15.75">
      <c r="A28" s="474" t="s">
        <v>897</v>
      </c>
      <c r="B28" s="371">
        <v>849</v>
      </c>
      <c r="C28" s="371">
        <v>3258</v>
      </c>
      <c r="D28" s="371">
        <v>2133</v>
      </c>
      <c r="E28" s="371">
        <v>962</v>
      </c>
      <c r="F28" s="371">
        <v>1994</v>
      </c>
      <c r="G28" s="371">
        <v>2555</v>
      </c>
      <c r="H28" s="371">
        <v>1569</v>
      </c>
      <c r="I28" s="371">
        <v>895</v>
      </c>
      <c r="J28" s="371">
        <f t="shared" si="0"/>
        <v>14215</v>
      </c>
      <c r="K28" s="475">
        <f t="shared" si="1"/>
        <v>3.1546266377871675E-2</v>
      </c>
    </row>
    <row r="29" spans="1:11" ht="15.75">
      <c r="A29" s="474" t="s">
        <v>550</v>
      </c>
      <c r="B29" s="371">
        <v>563</v>
      </c>
      <c r="C29" s="371">
        <v>1734</v>
      </c>
      <c r="D29" s="371">
        <v>1056</v>
      </c>
      <c r="E29" s="371">
        <v>816</v>
      </c>
      <c r="F29" s="371">
        <v>1209</v>
      </c>
      <c r="G29" s="371">
        <v>1659</v>
      </c>
      <c r="H29" s="371">
        <v>963</v>
      </c>
      <c r="I29" s="371">
        <v>568</v>
      </c>
      <c r="J29" s="371">
        <f t="shared" si="0"/>
        <v>8568</v>
      </c>
      <c r="K29" s="475">
        <f t="shared" si="1"/>
        <v>1.9014309555090012E-2</v>
      </c>
    </row>
    <row r="30" spans="1:11" ht="15.75">
      <c r="A30" s="474" t="s">
        <v>549</v>
      </c>
      <c r="B30" s="371">
        <v>448</v>
      </c>
      <c r="C30" s="371">
        <v>2124</v>
      </c>
      <c r="D30" s="371">
        <v>1250</v>
      </c>
      <c r="E30" s="371">
        <v>725</v>
      </c>
      <c r="F30" s="371">
        <v>1569</v>
      </c>
      <c r="G30" s="371">
        <v>1683</v>
      </c>
      <c r="H30" s="371">
        <v>942</v>
      </c>
      <c r="I30" s="371">
        <v>518</v>
      </c>
      <c r="J30" s="371">
        <f t="shared" si="0"/>
        <v>9259</v>
      </c>
      <c r="K30" s="475">
        <f t="shared" si="1"/>
        <v>2.0547793203849023E-2</v>
      </c>
    </row>
    <row r="31" spans="1:11" ht="15.75">
      <c r="A31" s="474" t="s">
        <v>548</v>
      </c>
      <c r="B31" s="371">
        <v>1610</v>
      </c>
      <c r="C31" s="371">
        <v>5697</v>
      </c>
      <c r="D31" s="371">
        <v>3198</v>
      </c>
      <c r="E31" s="371">
        <v>2498</v>
      </c>
      <c r="F31" s="371">
        <v>4112</v>
      </c>
      <c r="G31" s="371">
        <v>4679</v>
      </c>
      <c r="H31" s="371">
        <v>2466</v>
      </c>
      <c r="I31" s="371">
        <v>1425</v>
      </c>
      <c r="J31" s="371">
        <f t="shared" si="0"/>
        <v>25685</v>
      </c>
      <c r="K31" s="475">
        <f t="shared" si="1"/>
        <v>5.7000763412988674E-2</v>
      </c>
    </row>
    <row r="32" spans="1:11" ht="15.75">
      <c r="A32" s="474" t="s">
        <v>547</v>
      </c>
      <c r="B32" s="371">
        <v>215</v>
      </c>
      <c r="C32" s="371">
        <v>670</v>
      </c>
      <c r="D32" s="371">
        <v>419</v>
      </c>
      <c r="E32" s="371">
        <v>282</v>
      </c>
      <c r="F32" s="371">
        <v>532</v>
      </c>
      <c r="G32" s="371">
        <v>637</v>
      </c>
      <c r="H32" s="371">
        <v>331</v>
      </c>
      <c r="I32" s="371">
        <v>200</v>
      </c>
      <c r="J32" s="371">
        <f t="shared" si="0"/>
        <v>3286</v>
      </c>
      <c r="K32" s="475">
        <f t="shared" si="1"/>
        <v>7.2923694208713559E-3</v>
      </c>
    </row>
    <row r="33" spans="1:11" ht="15.75">
      <c r="A33" s="474" t="s">
        <v>546</v>
      </c>
      <c r="B33" s="371">
        <v>383</v>
      </c>
      <c r="C33" s="371">
        <v>1500</v>
      </c>
      <c r="D33" s="371">
        <v>920</v>
      </c>
      <c r="E33" s="371">
        <v>550</v>
      </c>
      <c r="F33" s="371">
        <v>1054</v>
      </c>
      <c r="G33" s="371">
        <v>1232</v>
      </c>
      <c r="H33" s="371">
        <v>614</v>
      </c>
      <c r="I33" s="371">
        <v>408</v>
      </c>
      <c r="J33" s="371">
        <f t="shared" si="0"/>
        <v>6661</v>
      </c>
      <c r="K33" s="475">
        <f t="shared" si="1"/>
        <v>1.4782249760323829E-2</v>
      </c>
    </row>
    <row r="34" spans="1:11" ht="15.75">
      <c r="A34" s="474" t="s">
        <v>552</v>
      </c>
      <c r="B34" s="371">
        <v>178</v>
      </c>
      <c r="C34" s="371">
        <v>778</v>
      </c>
      <c r="D34" s="371">
        <v>475</v>
      </c>
      <c r="E34" s="371">
        <v>230</v>
      </c>
      <c r="F34" s="479">
        <v>604</v>
      </c>
      <c r="G34" s="371">
        <v>638</v>
      </c>
      <c r="H34" s="371">
        <v>303</v>
      </c>
      <c r="I34" s="371">
        <v>131</v>
      </c>
      <c r="J34" s="371">
        <f t="shared" si="0"/>
        <v>3337</v>
      </c>
      <c r="K34" s="475">
        <f t="shared" si="1"/>
        <v>7.4055498348897493E-3</v>
      </c>
    </row>
    <row r="35" spans="1:11" ht="15.75">
      <c r="A35" s="474" t="s">
        <v>156</v>
      </c>
      <c r="B35" s="371">
        <v>2627</v>
      </c>
      <c r="C35" s="371">
        <v>8096</v>
      </c>
      <c r="D35" s="371">
        <v>5453</v>
      </c>
      <c r="E35" s="371">
        <v>3308</v>
      </c>
      <c r="F35" s="371">
        <v>4034</v>
      </c>
      <c r="G35" s="371">
        <v>4459</v>
      </c>
      <c r="H35" s="371">
        <v>2965</v>
      </c>
      <c r="I35" s="371">
        <v>1907</v>
      </c>
      <c r="J35" s="371">
        <f t="shared" si="0"/>
        <v>32849</v>
      </c>
      <c r="K35" s="475">
        <f t="shared" si="1"/>
        <v>7.2899282746866453E-2</v>
      </c>
    </row>
    <row r="36" spans="1:11" ht="15.75">
      <c r="A36" s="474" t="s">
        <v>580</v>
      </c>
      <c r="B36" s="371">
        <v>400</v>
      </c>
      <c r="C36" s="371">
        <v>1139</v>
      </c>
      <c r="D36" s="371">
        <v>3679</v>
      </c>
      <c r="E36" s="371">
        <v>10678</v>
      </c>
      <c r="F36" s="371">
        <v>9169</v>
      </c>
      <c r="G36" s="371">
        <v>7640</v>
      </c>
      <c r="H36" s="371">
        <v>4367</v>
      </c>
      <c r="I36" s="371">
        <v>3012</v>
      </c>
      <c r="J36" s="371">
        <f t="shared" si="0"/>
        <v>40084</v>
      </c>
      <c r="K36" s="475">
        <f t="shared" si="1"/>
        <v>8.8955366970848271E-2</v>
      </c>
    </row>
    <row r="37" spans="1:11" ht="15.75">
      <c r="A37" s="601" t="s">
        <v>23</v>
      </c>
      <c r="B37" s="607">
        <f t="shared" ref="B37:I37" si="2">SUM(B4:B36)</f>
        <v>24158</v>
      </c>
      <c r="C37" s="607">
        <f t="shared" si="2"/>
        <v>86838</v>
      </c>
      <c r="D37" s="607">
        <f t="shared" si="2"/>
        <v>56624</v>
      </c>
      <c r="E37" s="607">
        <f t="shared" si="2"/>
        <v>48272</v>
      </c>
      <c r="F37" s="607">
        <f t="shared" si="2"/>
        <v>73390</v>
      </c>
      <c r="G37" s="607">
        <f t="shared" si="2"/>
        <v>83617</v>
      </c>
      <c r="H37" s="607">
        <f t="shared" si="2"/>
        <v>48784</v>
      </c>
      <c r="I37" s="607">
        <f t="shared" si="2"/>
        <v>28925</v>
      </c>
      <c r="J37" s="607">
        <f>SUM(B37:I37)</f>
        <v>450608</v>
      </c>
      <c r="K37" s="476">
        <f>SUM(K4:K36)</f>
        <v>0.99999999999999989</v>
      </c>
    </row>
    <row r="38" spans="1:11" ht="15.75">
      <c r="A38" s="601" t="s">
        <v>867</v>
      </c>
      <c r="B38" s="608">
        <f>B37/$J$37</f>
        <v>5.3612008663849735E-2</v>
      </c>
      <c r="C38" s="608">
        <f t="shared" ref="C38:J38" si="3">C37/$J$37</f>
        <v>0.19271295671625893</v>
      </c>
      <c r="D38" s="608">
        <f t="shared" si="3"/>
        <v>0.12566132869367611</v>
      </c>
      <c r="E38" s="608">
        <f t="shared" si="3"/>
        <v>0.10712637148031105</v>
      </c>
      <c r="F38" s="608">
        <f t="shared" si="3"/>
        <v>0.16286883499627169</v>
      </c>
      <c r="G38" s="608">
        <f t="shared" si="3"/>
        <v>0.18556483684266592</v>
      </c>
      <c r="H38" s="608">
        <f t="shared" si="3"/>
        <v>0.10826261406810354</v>
      </c>
      <c r="I38" s="608">
        <f t="shared" si="3"/>
        <v>6.4191048538863052E-2</v>
      </c>
      <c r="J38" s="608">
        <f t="shared" si="3"/>
        <v>1</v>
      </c>
      <c r="K38" s="128"/>
    </row>
    <row r="39" spans="1:11">
      <c r="A39" s="128"/>
      <c r="B39" s="128"/>
      <c r="C39" s="128"/>
      <c r="D39" s="128"/>
      <c r="E39" s="128"/>
      <c r="F39" s="128"/>
      <c r="G39" s="128"/>
      <c r="H39" s="128"/>
      <c r="I39" s="128"/>
      <c r="J39" s="128"/>
      <c r="K39" s="128"/>
    </row>
    <row r="40" spans="1:11">
      <c r="A40" s="128"/>
      <c r="B40" s="128"/>
      <c r="C40" s="128"/>
      <c r="D40" s="128"/>
      <c r="E40" s="128"/>
      <c r="F40" s="128"/>
      <c r="G40" s="128"/>
      <c r="H40" s="128"/>
      <c r="I40" s="128"/>
      <c r="J40" s="128"/>
      <c r="K40" s="128"/>
    </row>
    <row r="41" spans="1:11">
      <c r="A41" s="128"/>
      <c r="B41" s="128"/>
      <c r="C41" s="128"/>
      <c r="D41" s="128"/>
      <c r="E41" s="128"/>
      <c r="F41" s="128"/>
      <c r="G41" s="128"/>
      <c r="H41" s="128"/>
      <c r="I41" s="128"/>
      <c r="J41" s="128"/>
      <c r="K41" s="128"/>
    </row>
    <row r="42" spans="1:11">
      <c r="A42" s="128"/>
      <c r="B42" s="128"/>
      <c r="C42" s="128"/>
      <c r="D42" s="128"/>
      <c r="E42" s="128"/>
      <c r="F42" s="128"/>
      <c r="G42" s="128"/>
      <c r="H42" s="128"/>
      <c r="I42" s="128"/>
      <c r="J42" s="128"/>
      <c r="K42" s="128"/>
    </row>
    <row r="43" spans="1:11">
      <c r="A43" s="128"/>
      <c r="B43" s="128"/>
      <c r="C43" s="128"/>
      <c r="D43" s="128"/>
      <c r="E43" s="128"/>
      <c r="F43" s="128"/>
      <c r="G43" s="128"/>
      <c r="H43" s="128"/>
      <c r="I43" s="128"/>
      <c r="J43" s="128"/>
      <c r="K43" s="128"/>
    </row>
    <row r="44" spans="1:11">
      <c r="A44" s="128"/>
      <c r="B44" s="128"/>
      <c r="C44" s="128"/>
      <c r="D44" s="128"/>
      <c r="E44" s="128"/>
      <c r="F44" s="128"/>
      <c r="G44" s="128"/>
      <c r="H44" s="128"/>
      <c r="I44" s="128"/>
      <c r="J44" s="128"/>
      <c r="K44" s="128"/>
    </row>
    <row r="45" spans="1:11">
      <c r="A45" s="128"/>
      <c r="B45" s="128"/>
      <c r="C45" s="128"/>
      <c r="D45" s="128"/>
      <c r="E45" s="128"/>
      <c r="F45" s="128"/>
      <c r="G45" s="128"/>
      <c r="H45" s="128"/>
      <c r="I45" s="128"/>
      <c r="J45" s="128"/>
      <c r="K45" s="128"/>
    </row>
    <row r="46" spans="1:11">
      <c r="A46" s="128"/>
      <c r="B46" s="128"/>
      <c r="C46" s="128"/>
      <c r="D46" s="128"/>
      <c r="E46" s="128"/>
      <c r="F46" s="128"/>
      <c r="G46" s="128"/>
      <c r="H46" s="128"/>
      <c r="I46" s="128"/>
      <c r="J46" s="128"/>
      <c r="K46" s="128"/>
    </row>
    <row r="47" spans="1:11">
      <c r="A47" s="128"/>
      <c r="B47" s="128"/>
      <c r="C47" s="128"/>
      <c r="D47" s="128"/>
      <c r="E47" s="128"/>
      <c r="F47" s="128"/>
      <c r="G47" s="128"/>
      <c r="H47" s="128"/>
      <c r="I47" s="128"/>
      <c r="J47" s="128"/>
      <c r="K47" s="128"/>
    </row>
    <row r="48" spans="1:11">
      <c r="A48" s="59"/>
      <c r="B48" s="59"/>
      <c r="C48" s="59"/>
      <c r="D48" s="59"/>
      <c r="E48" s="59"/>
      <c r="F48" s="59"/>
      <c r="G48" s="59"/>
      <c r="H48" s="59"/>
      <c r="I48" s="59"/>
      <c r="J48" s="59"/>
      <c r="K48" s="59"/>
    </row>
    <row r="49" spans="1:11">
      <c r="A49" s="59"/>
      <c r="B49" s="59"/>
      <c r="C49" s="59"/>
      <c r="D49" s="59"/>
      <c r="E49" s="59"/>
      <c r="F49" s="59"/>
      <c r="G49" s="59"/>
      <c r="H49" s="59"/>
      <c r="I49" s="59"/>
      <c r="J49" s="59"/>
      <c r="K49" s="59"/>
    </row>
    <row r="50" spans="1:11">
      <c r="A50" s="59"/>
      <c r="B50" s="59"/>
      <c r="C50" s="59"/>
      <c r="D50" s="59"/>
      <c r="E50" s="59"/>
      <c r="F50" s="59"/>
      <c r="G50" s="59"/>
      <c r="H50" s="59"/>
      <c r="I50" s="59"/>
      <c r="J50" s="59"/>
      <c r="K50" s="59"/>
    </row>
    <row r="51" spans="1:11">
      <c r="A51" s="59"/>
      <c r="B51" s="59"/>
      <c r="C51" s="59"/>
      <c r="D51" s="59"/>
      <c r="E51" s="59"/>
      <c r="F51" s="59"/>
      <c r="G51" s="59"/>
      <c r="H51" s="59"/>
      <c r="I51" s="59"/>
      <c r="J51" s="59"/>
      <c r="K51" s="59"/>
    </row>
    <row r="52" spans="1:11">
      <c r="A52" s="59"/>
      <c r="B52" s="59"/>
      <c r="C52" s="59"/>
      <c r="D52" s="59"/>
      <c r="E52" s="59"/>
      <c r="F52" s="59"/>
      <c r="G52" s="59"/>
      <c r="H52" s="59"/>
      <c r="I52" s="59"/>
      <c r="J52" s="59"/>
      <c r="K52" s="59"/>
    </row>
    <row r="53" spans="1:11">
      <c r="A53" s="59"/>
      <c r="B53" s="59"/>
      <c r="C53" s="59"/>
      <c r="D53" s="59"/>
      <c r="E53" s="59"/>
      <c r="F53" s="59"/>
      <c r="G53" s="59"/>
      <c r="H53" s="59"/>
      <c r="I53" s="59"/>
      <c r="J53" s="59"/>
      <c r="K53" s="59"/>
    </row>
    <row r="54" spans="1:11">
      <c r="A54" s="2285"/>
      <c r="B54" s="2285"/>
      <c r="C54" s="2285"/>
      <c r="D54" s="2285"/>
      <c r="E54" s="2285"/>
      <c r="F54" s="2285"/>
      <c r="G54" s="2285"/>
      <c r="H54" s="2285"/>
      <c r="I54" s="2285"/>
      <c r="J54" s="2285"/>
      <c r="K54" s="2285"/>
    </row>
  </sheetData>
  <mergeCells count="2">
    <mergeCell ref="A1:K1"/>
    <mergeCell ref="A54:K54"/>
  </mergeCells>
  <pageMargins left="0.7" right="0.7" top="0.75" bottom="0.75" header="0.3" footer="0.3"/>
  <pageSetup scale="4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M63"/>
  <sheetViews>
    <sheetView showGridLines="0" view="pageBreakPreview" zoomScale="70" zoomScaleNormal="100" zoomScaleSheetLayoutView="70" workbookViewId="0">
      <selection sqref="A1:M1"/>
    </sheetView>
  </sheetViews>
  <sheetFormatPr baseColWidth="10" defaultColWidth="11.5703125" defaultRowHeight="15"/>
  <cols>
    <col min="1" max="1" width="32.42578125" customWidth="1"/>
    <col min="9" max="9" width="15.28515625" customWidth="1"/>
    <col min="10" max="10" width="15" customWidth="1"/>
    <col min="11" max="11" width="15.7109375" customWidth="1"/>
  </cols>
  <sheetData>
    <row r="1" spans="1:13" ht="88.5" customHeight="1">
      <c r="A1" s="2301" t="s">
        <v>1312</v>
      </c>
      <c r="B1" s="2301"/>
      <c r="C1" s="2301"/>
      <c r="D1" s="2301"/>
      <c r="E1" s="2301"/>
      <c r="F1" s="2301"/>
      <c r="G1" s="2301"/>
      <c r="H1" s="2301"/>
      <c r="I1" s="2301"/>
      <c r="J1" s="2301"/>
      <c r="K1" s="2301"/>
      <c r="L1" s="2301"/>
      <c r="M1" s="2301"/>
    </row>
    <row r="2" spans="1:13" s="128" customFormat="1" ht="5.25" customHeight="1">
      <c r="A2" s="694"/>
      <c r="B2" s="694"/>
      <c r="C2" s="694"/>
      <c r="D2" s="694"/>
      <c r="E2" s="694"/>
      <c r="F2" s="694"/>
      <c r="G2" s="694"/>
      <c r="H2" s="694"/>
      <c r="I2" s="694"/>
      <c r="J2" s="694"/>
      <c r="K2" s="694"/>
      <c r="L2" s="694"/>
      <c r="M2" s="694"/>
    </row>
    <row r="3" spans="1:13" ht="31.5">
      <c r="A3" s="605" t="s">
        <v>576</v>
      </c>
      <c r="B3" s="599" t="s">
        <v>880</v>
      </c>
      <c r="C3" s="600" t="s">
        <v>881</v>
      </c>
      <c r="D3" s="600" t="s">
        <v>882</v>
      </c>
      <c r="E3" s="600" t="s">
        <v>883</v>
      </c>
      <c r="F3" s="600" t="s">
        <v>884</v>
      </c>
      <c r="G3" s="600" t="s">
        <v>901</v>
      </c>
      <c r="H3" s="600" t="s">
        <v>886</v>
      </c>
      <c r="I3" s="600" t="s">
        <v>887</v>
      </c>
      <c r="J3" s="600" t="s">
        <v>888</v>
      </c>
      <c r="K3" s="600" t="s">
        <v>889</v>
      </c>
    </row>
    <row r="4" spans="1:13" ht="15" customHeight="1">
      <c r="A4" s="474" t="s">
        <v>155</v>
      </c>
      <c r="B4" s="371">
        <v>691</v>
      </c>
      <c r="C4" s="371">
        <v>1267</v>
      </c>
      <c r="D4" s="371">
        <v>963</v>
      </c>
      <c r="E4" s="371">
        <v>1416</v>
      </c>
      <c r="F4" s="371">
        <v>932</v>
      </c>
      <c r="G4" s="371">
        <v>529</v>
      </c>
      <c r="H4" s="371">
        <v>279</v>
      </c>
      <c r="I4" s="480">
        <v>149</v>
      </c>
      <c r="J4" s="371">
        <f t="shared" ref="J4:J36" si="0">SUM(B4:I4)</f>
        <v>6226</v>
      </c>
      <c r="K4" s="475">
        <f>J4/$J$37</f>
        <v>0.24820602774677086</v>
      </c>
    </row>
    <row r="5" spans="1:13" ht="15.75">
      <c r="A5" s="474" t="s">
        <v>890</v>
      </c>
      <c r="B5" s="371">
        <v>76</v>
      </c>
      <c r="C5" s="371">
        <v>127</v>
      </c>
      <c r="D5" s="371">
        <v>73</v>
      </c>
      <c r="E5" s="371">
        <v>146</v>
      </c>
      <c r="F5" s="371">
        <v>106</v>
      </c>
      <c r="G5" s="371">
        <v>32</v>
      </c>
      <c r="H5" s="371">
        <v>7</v>
      </c>
      <c r="I5" s="480">
        <v>2</v>
      </c>
      <c r="J5" s="371">
        <f t="shared" si="0"/>
        <v>569</v>
      </c>
      <c r="K5" s="475">
        <f t="shared" ref="K5:K36" si="1">J5/$J$37</f>
        <v>2.268378249083081E-2</v>
      </c>
    </row>
    <row r="6" spans="1:13" ht="15.75">
      <c r="A6" s="474" t="s">
        <v>573</v>
      </c>
      <c r="B6" s="371">
        <v>20</v>
      </c>
      <c r="C6" s="371">
        <v>33</v>
      </c>
      <c r="D6" s="371">
        <v>20</v>
      </c>
      <c r="E6" s="371">
        <v>30</v>
      </c>
      <c r="F6" s="371">
        <v>18</v>
      </c>
      <c r="G6" s="371">
        <v>7</v>
      </c>
      <c r="H6" s="371">
        <v>3</v>
      </c>
      <c r="I6" s="481">
        <v>0</v>
      </c>
      <c r="J6" s="371">
        <f t="shared" si="0"/>
        <v>131</v>
      </c>
      <c r="K6" s="475">
        <f t="shared" si="1"/>
        <v>5.2224525594004147E-3</v>
      </c>
    </row>
    <row r="7" spans="1:13" ht="15.75">
      <c r="A7" s="474" t="s">
        <v>572</v>
      </c>
      <c r="B7" s="371">
        <v>9</v>
      </c>
      <c r="C7" s="371">
        <v>9</v>
      </c>
      <c r="D7" s="371">
        <v>8</v>
      </c>
      <c r="E7" s="371">
        <v>11</v>
      </c>
      <c r="F7" s="371">
        <v>11</v>
      </c>
      <c r="G7" s="371">
        <v>2</v>
      </c>
      <c r="H7" s="480">
        <v>11</v>
      </c>
      <c r="I7" s="480">
        <v>2</v>
      </c>
      <c r="J7" s="371">
        <f t="shared" si="0"/>
        <v>63</v>
      </c>
      <c r="K7" s="475">
        <f t="shared" si="1"/>
        <v>2.51156115452081E-3</v>
      </c>
    </row>
    <row r="8" spans="1:13" ht="15.75">
      <c r="A8" s="474" t="s">
        <v>571</v>
      </c>
      <c r="B8" s="371">
        <v>28</v>
      </c>
      <c r="C8" s="371">
        <v>50</v>
      </c>
      <c r="D8" s="371">
        <v>19</v>
      </c>
      <c r="E8" s="371">
        <v>34</v>
      </c>
      <c r="F8" s="371">
        <v>25</v>
      </c>
      <c r="G8" s="371">
        <v>7</v>
      </c>
      <c r="H8" s="371">
        <v>6</v>
      </c>
      <c r="I8" s="480">
        <v>5</v>
      </c>
      <c r="J8" s="371">
        <f t="shared" si="0"/>
        <v>174</v>
      </c>
      <c r="K8" s="475">
        <f t="shared" si="1"/>
        <v>6.9366927124860471E-3</v>
      </c>
    </row>
    <row r="9" spans="1:13" ht="15.75">
      <c r="A9" s="474" t="s">
        <v>570</v>
      </c>
      <c r="B9" s="371">
        <v>9</v>
      </c>
      <c r="C9" s="371">
        <v>28</v>
      </c>
      <c r="D9" s="371">
        <v>12</v>
      </c>
      <c r="E9" s="371">
        <v>20</v>
      </c>
      <c r="F9" s="371">
        <v>12</v>
      </c>
      <c r="G9" s="371">
        <v>3</v>
      </c>
      <c r="H9" s="371">
        <v>3</v>
      </c>
      <c r="I9" s="480">
        <v>2</v>
      </c>
      <c r="J9" s="371">
        <f t="shared" si="0"/>
        <v>89</v>
      </c>
      <c r="K9" s="475">
        <f t="shared" si="1"/>
        <v>3.5480784563865411E-3</v>
      </c>
    </row>
    <row r="10" spans="1:13" ht="15.75">
      <c r="A10" s="474" t="s">
        <v>891</v>
      </c>
      <c r="B10" s="371">
        <v>62</v>
      </c>
      <c r="C10" s="371">
        <v>100</v>
      </c>
      <c r="D10" s="371">
        <v>58</v>
      </c>
      <c r="E10" s="371">
        <v>89</v>
      </c>
      <c r="F10" s="371">
        <v>61</v>
      </c>
      <c r="G10" s="371">
        <v>37</v>
      </c>
      <c r="H10" s="371">
        <v>29</v>
      </c>
      <c r="I10" s="480">
        <v>20</v>
      </c>
      <c r="J10" s="371">
        <f t="shared" si="0"/>
        <v>456</v>
      </c>
      <c r="K10" s="475">
        <f t="shared" si="1"/>
        <v>1.8178918832722053E-2</v>
      </c>
    </row>
    <row r="11" spans="1:13" ht="15.75">
      <c r="A11" s="474" t="s">
        <v>568</v>
      </c>
      <c r="B11" s="371">
        <v>10</v>
      </c>
      <c r="C11" s="371">
        <v>18</v>
      </c>
      <c r="D11" s="371">
        <v>18</v>
      </c>
      <c r="E11" s="371">
        <v>21</v>
      </c>
      <c r="F11" s="371">
        <v>15</v>
      </c>
      <c r="G11" s="371">
        <v>6</v>
      </c>
      <c r="H11" s="479">
        <v>7</v>
      </c>
      <c r="I11" s="480">
        <v>5</v>
      </c>
      <c r="J11" s="371">
        <f t="shared" si="0"/>
        <v>100</v>
      </c>
      <c r="K11" s="475">
        <f t="shared" si="1"/>
        <v>3.9866050071758891E-3</v>
      </c>
    </row>
    <row r="12" spans="1:13" ht="15.75">
      <c r="A12" s="474" t="s">
        <v>892</v>
      </c>
      <c r="B12" s="371">
        <v>3</v>
      </c>
      <c r="C12" s="371">
        <v>8</v>
      </c>
      <c r="D12" s="371">
        <v>12</v>
      </c>
      <c r="E12" s="371">
        <v>10</v>
      </c>
      <c r="F12" s="371">
        <v>4</v>
      </c>
      <c r="G12" s="371">
        <v>4</v>
      </c>
      <c r="H12" s="371">
        <v>1</v>
      </c>
      <c r="I12" s="480">
        <v>1</v>
      </c>
      <c r="J12" s="371">
        <f t="shared" si="0"/>
        <v>43</v>
      </c>
      <c r="K12" s="475">
        <f t="shared" si="1"/>
        <v>1.7142401530856322E-3</v>
      </c>
    </row>
    <row r="13" spans="1:13" ht="15.75">
      <c r="A13" s="478" t="s">
        <v>567</v>
      </c>
      <c r="B13" s="371">
        <v>51</v>
      </c>
      <c r="C13" s="371">
        <v>136</v>
      </c>
      <c r="D13" s="371">
        <v>65</v>
      </c>
      <c r="E13" s="371">
        <v>137</v>
      </c>
      <c r="F13" s="371">
        <v>103</v>
      </c>
      <c r="G13" s="371">
        <v>50</v>
      </c>
      <c r="H13" s="371">
        <v>22</v>
      </c>
      <c r="I13" s="480">
        <v>12</v>
      </c>
      <c r="J13" s="371">
        <f t="shared" si="0"/>
        <v>576</v>
      </c>
      <c r="K13" s="475">
        <f t="shared" si="1"/>
        <v>2.2962844841333121E-2</v>
      </c>
    </row>
    <row r="14" spans="1:13" ht="15.75">
      <c r="A14" s="474" t="s">
        <v>893</v>
      </c>
      <c r="B14" s="371">
        <v>7</v>
      </c>
      <c r="C14" s="371">
        <v>20</v>
      </c>
      <c r="D14" s="371">
        <v>15</v>
      </c>
      <c r="E14" s="371">
        <v>14</v>
      </c>
      <c r="F14" s="371">
        <v>7</v>
      </c>
      <c r="G14" s="371">
        <v>8</v>
      </c>
      <c r="H14" s="482">
        <v>0</v>
      </c>
      <c r="I14" s="481">
        <v>0</v>
      </c>
      <c r="J14" s="371">
        <f t="shared" si="0"/>
        <v>71</v>
      </c>
      <c r="K14" s="475">
        <f t="shared" si="1"/>
        <v>2.8304895550948814E-3</v>
      </c>
    </row>
    <row r="15" spans="1:13" ht="15.75">
      <c r="A15" s="474" t="s">
        <v>565</v>
      </c>
      <c r="B15" s="371">
        <v>3</v>
      </c>
      <c r="C15" s="371">
        <v>4</v>
      </c>
      <c r="D15" s="371">
        <v>3</v>
      </c>
      <c r="E15" s="371">
        <v>9</v>
      </c>
      <c r="F15" s="371">
        <v>3</v>
      </c>
      <c r="G15" s="371">
        <v>3</v>
      </c>
      <c r="H15" s="371">
        <v>1</v>
      </c>
      <c r="I15" s="480">
        <v>2</v>
      </c>
      <c r="J15" s="371">
        <f t="shared" si="0"/>
        <v>28</v>
      </c>
      <c r="K15" s="475">
        <f t="shared" si="1"/>
        <v>1.116249402009249E-3</v>
      </c>
    </row>
    <row r="16" spans="1:13" ht="15.75">
      <c r="A16" s="474" t="s">
        <v>564</v>
      </c>
      <c r="B16" s="371">
        <v>88</v>
      </c>
      <c r="C16" s="371">
        <v>155</v>
      </c>
      <c r="D16" s="371">
        <v>111</v>
      </c>
      <c r="E16" s="371">
        <v>134</v>
      </c>
      <c r="F16" s="371">
        <v>103</v>
      </c>
      <c r="G16" s="371">
        <v>58</v>
      </c>
      <c r="H16" s="371">
        <v>30</v>
      </c>
      <c r="I16" s="480">
        <v>12</v>
      </c>
      <c r="J16" s="371">
        <f t="shared" si="0"/>
        <v>691</v>
      </c>
      <c r="K16" s="475">
        <f t="shared" si="1"/>
        <v>2.7547440599585395E-2</v>
      </c>
    </row>
    <row r="17" spans="1:11" ht="15.75">
      <c r="A17" s="474" t="s">
        <v>894</v>
      </c>
      <c r="B17" s="371">
        <v>67</v>
      </c>
      <c r="C17" s="371">
        <v>119</v>
      </c>
      <c r="D17" s="371">
        <v>116</v>
      </c>
      <c r="E17" s="371">
        <v>102</v>
      </c>
      <c r="F17" s="371">
        <v>71</v>
      </c>
      <c r="G17" s="371">
        <v>31</v>
      </c>
      <c r="H17" s="371">
        <v>9</v>
      </c>
      <c r="I17" s="480">
        <v>8</v>
      </c>
      <c r="J17" s="371">
        <f t="shared" si="0"/>
        <v>523</v>
      </c>
      <c r="K17" s="475">
        <f t="shared" si="1"/>
        <v>2.08499441875299E-2</v>
      </c>
    </row>
    <row r="18" spans="1:11" ht="15.75">
      <c r="A18" s="478" t="s">
        <v>562</v>
      </c>
      <c r="B18" s="371">
        <v>36</v>
      </c>
      <c r="C18" s="371">
        <v>73</v>
      </c>
      <c r="D18" s="371">
        <v>36</v>
      </c>
      <c r="E18" s="371">
        <v>54</v>
      </c>
      <c r="F18" s="371">
        <v>42</v>
      </c>
      <c r="G18" s="371">
        <v>21</v>
      </c>
      <c r="H18" s="371">
        <v>10</v>
      </c>
      <c r="I18" s="480">
        <v>2</v>
      </c>
      <c r="J18" s="371">
        <f t="shared" si="0"/>
        <v>274</v>
      </c>
      <c r="K18" s="475">
        <f t="shared" si="1"/>
        <v>1.0923297719661936E-2</v>
      </c>
    </row>
    <row r="19" spans="1:11" ht="15.75">
      <c r="A19" s="474" t="s">
        <v>561</v>
      </c>
      <c r="B19" s="371">
        <v>39</v>
      </c>
      <c r="C19" s="371">
        <v>101</v>
      </c>
      <c r="D19" s="371">
        <v>58</v>
      </c>
      <c r="E19" s="371">
        <v>77</v>
      </c>
      <c r="F19" s="371">
        <v>49</v>
      </c>
      <c r="G19" s="371">
        <v>9</v>
      </c>
      <c r="H19" s="371">
        <v>8</v>
      </c>
      <c r="I19" s="480">
        <v>2</v>
      </c>
      <c r="J19" s="371">
        <f t="shared" si="0"/>
        <v>343</v>
      </c>
      <c r="K19" s="475">
        <f t="shared" si="1"/>
        <v>1.3674055174613299E-2</v>
      </c>
    </row>
    <row r="20" spans="1:11" ht="15.75">
      <c r="A20" s="478" t="s">
        <v>559</v>
      </c>
      <c r="B20" s="371">
        <v>14</v>
      </c>
      <c r="C20" s="371">
        <v>27</v>
      </c>
      <c r="D20" s="371">
        <v>31</v>
      </c>
      <c r="E20" s="371">
        <v>22</v>
      </c>
      <c r="F20" s="371">
        <v>11</v>
      </c>
      <c r="G20" s="371">
        <v>7</v>
      </c>
      <c r="H20" s="371">
        <v>4</v>
      </c>
      <c r="I20" s="480">
        <v>3</v>
      </c>
      <c r="J20" s="371">
        <f t="shared" si="0"/>
        <v>119</v>
      </c>
      <c r="K20" s="475">
        <f t="shared" si="1"/>
        <v>4.7440599585393079E-3</v>
      </c>
    </row>
    <row r="21" spans="1:11" ht="15.75">
      <c r="A21" s="474" t="s">
        <v>560</v>
      </c>
      <c r="B21" s="371">
        <v>17</v>
      </c>
      <c r="C21" s="371">
        <v>26</v>
      </c>
      <c r="D21" s="371">
        <v>31</v>
      </c>
      <c r="E21" s="371">
        <v>38</v>
      </c>
      <c r="F21" s="371">
        <v>23</v>
      </c>
      <c r="G21" s="371">
        <v>15</v>
      </c>
      <c r="H21" s="371">
        <v>5</v>
      </c>
      <c r="I21" s="481">
        <v>0</v>
      </c>
      <c r="J21" s="371">
        <f t="shared" si="0"/>
        <v>155</v>
      </c>
      <c r="K21" s="475">
        <f t="shared" si="1"/>
        <v>6.1792377611226282E-3</v>
      </c>
    </row>
    <row r="22" spans="1:11" ht="15.75">
      <c r="A22" s="474" t="s">
        <v>895</v>
      </c>
      <c r="B22" s="371">
        <v>3</v>
      </c>
      <c r="C22" s="371">
        <v>8</v>
      </c>
      <c r="D22" s="371">
        <v>3</v>
      </c>
      <c r="E22" s="371">
        <v>8</v>
      </c>
      <c r="F22" s="371">
        <v>4</v>
      </c>
      <c r="G22" s="371">
        <v>2</v>
      </c>
      <c r="H22" s="482">
        <v>0</v>
      </c>
      <c r="I22" s="481">
        <v>0</v>
      </c>
      <c r="J22" s="371">
        <f t="shared" si="0"/>
        <v>28</v>
      </c>
      <c r="K22" s="475">
        <f t="shared" si="1"/>
        <v>1.116249402009249E-3</v>
      </c>
    </row>
    <row r="23" spans="1:11" ht="15.75">
      <c r="A23" s="474" t="s">
        <v>557</v>
      </c>
      <c r="B23" s="371">
        <v>20</v>
      </c>
      <c r="C23" s="371">
        <v>43</v>
      </c>
      <c r="D23" s="371">
        <v>25</v>
      </c>
      <c r="E23" s="371">
        <v>42</v>
      </c>
      <c r="F23" s="371">
        <v>30</v>
      </c>
      <c r="G23" s="371">
        <v>11</v>
      </c>
      <c r="H23" s="479">
        <v>2</v>
      </c>
      <c r="I23" s="480">
        <v>4</v>
      </c>
      <c r="J23" s="371">
        <f t="shared" si="0"/>
        <v>177</v>
      </c>
      <c r="K23" s="475">
        <f t="shared" si="1"/>
        <v>7.0562908627013234E-3</v>
      </c>
    </row>
    <row r="24" spans="1:11" ht="15.75">
      <c r="A24" s="474" t="s">
        <v>556</v>
      </c>
      <c r="B24" s="371">
        <v>86</v>
      </c>
      <c r="C24" s="371">
        <v>213</v>
      </c>
      <c r="D24" s="371">
        <v>135</v>
      </c>
      <c r="E24" s="371">
        <v>179</v>
      </c>
      <c r="F24" s="371">
        <v>169</v>
      </c>
      <c r="G24" s="371">
        <v>101</v>
      </c>
      <c r="H24" s="371">
        <v>48</v>
      </c>
      <c r="I24" s="480">
        <v>51</v>
      </c>
      <c r="J24" s="371">
        <f t="shared" si="0"/>
        <v>982</v>
      </c>
      <c r="K24" s="475">
        <f t="shared" si="1"/>
        <v>3.9148461170467233E-2</v>
      </c>
    </row>
    <row r="25" spans="1:11" ht="15.75">
      <c r="A25" s="474" t="s">
        <v>896</v>
      </c>
      <c r="B25" s="371">
        <v>23</v>
      </c>
      <c r="C25" s="371">
        <v>35</v>
      </c>
      <c r="D25" s="371">
        <v>20</v>
      </c>
      <c r="E25" s="371">
        <v>28</v>
      </c>
      <c r="F25" s="371">
        <v>20</v>
      </c>
      <c r="G25" s="371">
        <v>10</v>
      </c>
      <c r="H25" s="371">
        <v>7</v>
      </c>
      <c r="I25" s="480">
        <v>4</v>
      </c>
      <c r="J25" s="371">
        <f t="shared" si="0"/>
        <v>147</v>
      </c>
      <c r="K25" s="475">
        <f t="shared" si="1"/>
        <v>5.8603093605485565E-3</v>
      </c>
    </row>
    <row r="26" spans="1:11" ht="15.75">
      <c r="A26" s="474" t="s">
        <v>554</v>
      </c>
      <c r="B26" s="371">
        <v>14</v>
      </c>
      <c r="C26" s="371">
        <v>22</v>
      </c>
      <c r="D26" s="371">
        <v>8</v>
      </c>
      <c r="E26" s="371">
        <v>18</v>
      </c>
      <c r="F26" s="371">
        <v>14</v>
      </c>
      <c r="G26" s="371">
        <v>9</v>
      </c>
      <c r="H26" s="371">
        <v>1</v>
      </c>
      <c r="I26" s="480">
        <v>1</v>
      </c>
      <c r="J26" s="371">
        <f t="shared" si="0"/>
        <v>87</v>
      </c>
      <c r="K26" s="475">
        <f t="shared" si="1"/>
        <v>3.4683463562430236E-3</v>
      </c>
    </row>
    <row r="27" spans="1:11" ht="15.75">
      <c r="A27" s="474" t="s">
        <v>553</v>
      </c>
      <c r="B27" s="371">
        <v>108</v>
      </c>
      <c r="C27" s="371">
        <v>206</v>
      </c>
      <c r="D27" s="371">
        <v>144</v>
      </c>
      <c r="E27" s="371">
        <v>187</v>
      </c>
      <c r="F27" s="371">
        <v>119</v>
      </c>
      <c r="G27" s="371">
        <v>54</v>
      </c>
      <c r="H27" s="371">
        <v>24</v>
      </c>
      <c r="I27" s="480">
        <v>15</v>
      </c>
      <c r="J27" s="371">
        <f t="shared" si="0"/>
        <v>857</v>
      </c>
      <c r="K27" s="475">
        <f t="shared" si="1"/>
        <v>3.4165204911497368E-2</v>
      </c>
    </row>
    <row r="28" spans="1:11" ht="15.75">
      <c r="A28" s="474" t="s">
        <v>897</v>
      </c>
      <c r="B28" s="371">
        <v>34</v>
      </c>
      <c r="C28" s="371">
        <v>61</v>
      </c>
      <c r="D28" s="371">
        <v>41</v>
      </c>
      <c r="E28" s="371">
        <v>55</v>
      </c>
      <c r="F28" s="371">
        <v>37</v>
      </c>
      <c r="G28" s="371">
        <v>20</v>
      </c>
      <c r="H28" s="371">
        <v>13</v>
      </c>
      <c r="I28" s="480">
        <v>17</v>
      </c>
      <c r="J28" s="371">
        <f t="shared" si="0"/>
        <v>278</v>
      </c>
      <c r="K28" s="475">
        <f t="shared" si="1"/>
        <v>1.1082761919948971E-2</v>
      </c>
    </row>
    <row r="29" spans="1:11" ht="15.75">
      <c r="A29" s="474" t="s">
        <v>550</v>
      </c>
      <c r="B29" s="371">
        <v>65</v>
      </c>
      <c r="C29" s="371">
        <v>118</v>
      </c>
      <c r="D29" s="371">
        <v>73</v>
      </c>
      <c r="E29" s="371">
        <v>105</v>
      </c>
      <c r="F29" s="371">
        <v>94</v>
      </c>
      <c r="G29" s="371">
        <v>56</v>
      </c>
      <c r="H29" s="371">
        <v>16</v>
      </c>
      <c r="I29" s="480">
        <v>9</v>
      </c>
      <c r="J29" s="371">
        <f t="shared" si="0"/>
        <v>536</v>
      </c>
      <c r="K29" s="475">
        <f t="shared" si="1"/>
        <v>2.1368202838462764E-2</v>
      </c>
    </row>
    <row r="30" spans="1:11" ht="15.75">
      <c r="A30" s="474" t="s">
        <v>549</v>
      </c>
      <c r="B30" s="371">
        <v>25</v>
      </c>
      <c r="C30" s="371">
        <v>37</v>
      </c>
      <c r="D30" s="371">
        <v>19</v>
      </c>
      <c r="E30" s="371">
        <v>32</v>
      </c>
      <c r="F30" s="371">
        <v>13</v>
      </c>
      <c r="G30" s="371">
        <v>5</v>
      </c>
      <c r="H30" s="371">
        <v>3</v>
      </c>
      <c r="I30" s="480">
        <v>4</v>
      </c>
      <c r="J30" s="371">
        <f t="shared" si="0"/>
        <v>138</v>
      </c>
      <c r="K30" s="475">
        <f t="shared" si="1"/>
        <v>5.5015149099027268E-3</v>
      </c>
    </row>
    <row r="31" spans="1:11" ht="15.75">
      <c r="A31" s="474" t="s">
        <v>548</v>
      </c>
      <c r="B31" s="371">
        <v>476</v>
      </c>
      <c r="C31" s="371">
        <v>932</v>
      </c>
      <c r="D31" s="371">
        <v>564</v>
      </c>
      <c r="E31" s="371">
        <v>784</v>
      </c>
      <c r="F31" s="371">
        <v>565</v>
      </c>
      <c r="G31" s="371">
        <v>227</v>
      </c>
      <c r="H31" s="371">
        <v>79</v>
      </c>
      <c r="I31" s="480">
        <v>45</v>
      </c>
      <c r="J31" s="371">
        <f t="shared" si="0"/>
        <v>3672</v>
      </c>
      <c r="K31" s="475">
        <f t="shared" si="1"/>
        <v>0.14638813586349864</v>
      </c>
    </row>
    <row r="32" spans="1:11" ht="15.75">
      <c r="A32" s="474" t="s">
        <v>547</v>
      </c>
      <c r="B32" s="371">
        <v>9</v>
      </c>
      <c r="C32" s="371">
        <v>16</v>
      </c>
      <c r="D32" s="371">
        <v>14</v>
      </c>
      <c r="E32" s="371">
        <v>17</v>
      </c>
      <c r="F32" s="371">
        <v>7</v>
      </c>
      <c r="G32" s="371">
        <v>4</v>
      </c>
      <c r="H32" s="371">
        <v>2</v>
      </c>
      <c r="I32" s="480">
        <v>3</v>
      </c>
      <c r="J32" s="371">
        <f t="shared" si="0"/>
        <v>72</v>
      </c>
      <c r="K32" s="475">
        <f t="shared" si="1"/>
        <v>2.8703556051666401E-3</v>
      </c>
    </row>
    <row r="33" spans="1:11" ht="15.75">
      <c r="A33" s="474" t="s">
        <v>546</v>
      </c>
      <c r="B33" s="371">
        <v>48</v>
      </c>
      <c r="C33" s="371">
        <v>108</v>
      </c>
      <c r="D33" s="371">
        <v>54</v>
      </c>
      <c r="E33" s="371">
        <v>62</v>
      </c>
      <c r="F33" s="371">
        <v>47</v>
      </c>
      <c r="G33" s="371">
        <v>36</v>
      </c>
      <c r="H33" s="371">
        <v>17</v>
      </c>
      <c r="I33" s="480">
        <v>13</v>
      </c>
      <c r="J33" s="371">
        <f t="shared" si="0"/>
        <v>385</v>
      </c>
      <c r="K33" s="475">
        <f t="shared" si="1"/>
        <v>1.5348429277627173E-2</v>
      </c>
    </row>
    <row r="34" spans="1:11" ht="15.75">
      <c r="A34" s="474" t="s">
        <v>552</v>
      </c>
      <c r="B34" s="371">
        <v>6</v>
      </c>
      <c r="C34" s="371">
        <v>7</v>
      </c>
      <c r="D34" s="371">
        <v>8</v>
      </c>
      <c r="E34" s="371">
        <v>13</v>
      </c>
      <c r="F34" s="479">
        <v>8</v>
      </c>
      <c r="G34" s="371">
        <v>5</v>
      </c>
      <c r="H34" s="371">
        <v>1</v>
      </c>
      <c r="I34" s="480">
        <v>2</v>
      </c>
      <c r="J34" s="371">
        <f t="shared" si="0"/>
        <v>50</v>
      </c>
      <c r="K34" s="475">
        <f t="shared" si="1"/>
        <v>1.9933025035879445E-3</v>
      </c>
    </row>
    <row r="35" spans="1:11" ht="15.75">
      <c r="A35" s="474" t="s">
        <v>156</v>
      </c>
      <c r="B35" s="371">
        <v>274</v>
      </c>
      <c r="C35" s="371">
        <v>295</v>
      </c>
      <c r="D35" s="371">
        <v>399</v>
      </c>
      <c r="E35" s="371">
        <v>399</v>
      </c>
      <c r="F35" s="371">
        <v>178</v>
      </c>
      <c r="G35" s="371">
        <v>101</v>
      </c>
      <c r="H35" s="371">
        <v>72</v>
      </c>
      <c r="I35" s="480">
        <v>76</v>
      </c>
      <c r="J35" s="371">
        <f t="shared" si="0"/>
        <v>1794</v>
      </c>
      <c r="K35" s="475">
        <f t="shared" si="1"/>
        <v>7.1519693828735451E-2</v>
      </c>
    </row>
    <row r="36" spans="1:11" ht="15.75">
      <c r="A36" s="474" t="s">
        <v>580</v>
      </c>
      <c r="B36" s="371">
        <v>109</v>
      </c>
      <c r="C36" s="371">
        <v>215</v>
      </c>
      <c r="D36" s="371">
        <v>1419</v>
      </c>
      <c r="E36" s="371">
        <v>1844</v>
      </c>
      <c r="F36" s="371">
        <v>915</v>
      </c>
      <c r="G36" s="371">
        <v>424</v>
      </c>
      <c r="H36" s="371">
        <v>208</v>
      </c>
      <c r="I36" s="480">
        <v>116</v>
      </c>
      <c r="J36" s="371">
        <f t="shared" si="0"/>
        <v>5250</v>
      </c>
      <c r="K36" s="475">
        <f t="shared" si="1"/>
        <v>0.20929676287673418</v>
      </c>
    </row>
    <row r="37" spans="1:11" ht="15.75">
      <c r="A37" s="601" t="s">
        <v>23</v>
      </c>
      <c r="B37" s="607">
        <f t="shared" ref="B37:I37" si="2">SUM(B4:B36)</f>
        <v>2530</v>
      </c>
      <c r="C37" s="607">
        <f t="shared" si="2"/>
        <v>4617</v>
      </c>
      <c r="D37" s="607">
        <f t="shared" si="2"/>
        <v>4575</v>
      </c>
      <c r="E37" s="607">
        <f t="shared" si="2"/>
        <v>6137</v>
      </c>
      <c r="F37" s="607">
        <f t="shared" si="2"/>
        <v>3816</v>
      </c>
      <c r="G37" s="607">
        <f t="shared" si="2"/>
        <v>1894</v>
      </c>
      <c r="H37" s="607">
        <f t="shared" si="2"/>
        <v>928</v>
      </c>
      <c r="I37" s="607">
        <f t="shared" si="2"/>
        <v>587</v>
      </c>
      <c r="J37" s="607">
        <f>SUM(B37:I37)</f>
        <v>25084</v>
      </c>
      <c r="K37" s="608">
        <f>SUM(K4:K36)</f>
        <v>1</v>
      </c>
    </row>
    <row r="38" spans="1:11" ht="15.75">
      <c r="A38" s="597" t="s">
        <v>867</v>
      </c>
      <c r="B38" s="610">
        <f>B37/$J$37</f>
        <v>0.10086110668154999</v>
      </c>
      <c r="C38" s="610">
        <f t="shared" ref="C38:J38" si="3">C37/$J$37</f>
        <v>0.18406155318131079</v>
      </c>
      <c r="D38" s="610">
        <f t="shared" si="3"/>
        <v>0.18238717907829693</v>
      </c>
      <c r="E38" s="610">
        <f t="shared" si="3"/>
        <v>0.24465794929038431</v>
      </c>
      <c r="F38" s="610">
        <f t="shared" si="3"/>
        <v>0.15212884707383192</v>
      </c>
      <c r="G38" s="610">
        <f t="shared" si="3"/>
        <v>7.550629883591134E-2</v>
      </c>
      <c r="H38" s="610">
        <f t="shared" si="3"/>
        <v>3.6995694466592247E-2</v>
      </c>
      <c r="I38" s="610">
        <f t="shared" si="3"/>
        <v>2.3401371392122467E-2</v>
      </c>
      <c r="J38" s="610">
        <f t="shared" si="3"/>
        <v>1</v>
      </c>
      <c r="K38" s="128"/>
    </row>
    <row r="39" spans="1:11" ht="52.5" customHeight="1">
      <c r="A39" s="2299" t="s">
        <v>902</v>
      </c>
      <c r="B39" s="2300"/>
      <c r="C39" s="2300"/>
      <c r="D39" s="2300"/>
      <c r="E39" s="2300"/>
      <c r="F39" s="2300"/>
      <c r="G39" s="2300"/>
      <c r="H39" s="2300"/>
      <c r="I39" s="2300"/>
      <c r="J39" s="2300"/>
      <c r="K39" s="2300"/>
    </row>
    <row r="40" spans="1:11">
      <c r="A40" s="128"/>
      <c r="B40" s="128"/>
      <c r="C40" s="128"/>
      <c r="D40" s="128"/>
      <c r="E40" s="128"/>
      <c r="F40" s="128"/>
      <c r="G40" s="128"/>
      <c r="H40" s="128"/>
      <c r="I40" s="128"/>
      <c r="J40" s="128"/>
      <c r="K40" s="128"/>
    </row>
    <row r="41" spans="1:11">
      <c r="A41" s="128"/>
      <c r="B41" s="128"/>
      <c r="C41" s="128"/>
      <c r="D41" s="128"/>
      <c r="E41" s="128"/>
      <c r="F41" s="128"/>
      <c r="G41" s="128"/>
      <c r="H41" s="128"/>
      <c r="I41" s="128"/>
      <c r="J41" s="128"/>
      <c r="K41" s="128"/>
    </row>
    <row r="42" spans="1:11">
      <c r="A42" s="128"/>
      <c r="B42" s="128"/>
      <c r="C42" s="128"/>
      <c r="D42" s="128"/>
      <c r="E42" s="128"/>
      <c r="F42" s="128"/>
      <c r="G42" s="128"/>
      <c r="H42" s="128"/>
      <c r="I42" s="128"/>
      <c r="J42" s="128"/>
      <c r="K42" s="128"/>
    </row>
    <row r="43" spans="1:11">
      <c r="A43" s="128"/>
      <c r="B43" s="128"/>
      <c r="C43" s="128"/>
      <c r="D43" s="128"/>
      <c r="E43" s="128"/>
      <c r="F43" s="128"/>
      <c r="G43" s="128"/>
      <c r="H43" s="128"/>
      <c r="I43" s="128"/>
      <c r="J43" s="128"/>
      <c r="K43" s="128"/>
    </row>
    <row r="44" spans="1:11">
      <c r="A44" s="128"/>
      <c r="B44" s="128"/>
      <c r="C44" s="128"/>
      <c r="D44" s="128"/>
      <c r="E44" s="128"/>
      <c r="F44" s="128"/>
      <c r="G44" s="128"/>
      <c r="H44" s="128"/>
      <c r="I44" s="128"/>
      <c r="J44" s="128"/>
      <c r="K44" s="128"/>
    </row>
    <row r="45" spans="1:11">
      <c r="A45" s="128"/>
      <c r="B45" s="128"/>
      <c r="C45" s="128"/>
      <c r="D45" s="128"/>
      <c r="E45" s="128"/>
      <c r="F45" s="128"/>
      <c r="G45" s="128"/>
      <c r="H45" s="128"/>
      <c r="I45" s="128"/>
      <c r="J45" s="128"/>
      <c r="K45" s="128"/>
    </row>
    <row r="46" spans="1:11">
      <c r="A46" s="128"/>
      <c r="B46" s="128"/>
      <c r="C46" s="128"/>
      <c r="D46" s="128"/>
      <c r="E46" s="128"/>
      <c r="F46" s="128"/>
      <c r="G46" s="128"/>
      <c r="H46" s="128"/>
      <c r="I46" s="128"/>
      <c r="J46" s="128"/>
      <c r="K46" s="128"/>
    </row>
    <row r="47" spans="1:11">
      <c r="A47" s="128"/>
      <c r="B47" s="128"/>
      <c r="C47" s="128"/>
      <c r="D47" s="128"/>
      <c r="E47" s="128"/>
      <c r="F47" s="128"/>
      <c r="G47" s="128"/>
      <c r="H47" s="128"/>
      <c r="I47" s="128"/>
      <c r="J47" s="128"/>
      <c r="K47" s="128"/>
    </row>
    <row r="48" spans="1:11">
      <c r="A48" s="128"/>
      <c r="B48" s="128"/>
      <c r="C48" s="128"/>
      <c r="D48" s="128"/>
      <c r="E48" s="128"/>
      <c r="F48" s="128"/>
      <c r="G48" s="128"/>
      <c r="H48" s="128"/>
      <c r="I48" s="128"/>
      <c r="J48" s="128"/>
      <c r="K48" s="128"/>
    </row>
    <row r="49" spans="1:11">
      <c r="A49" s="128"/>
      <c r="B49" s="128"/>
      <c r="C49" s="128"/>
      <c r="D49" s="128"/>
      <c r="E49" s="128"/>
      <c r="F49" s="128"/>
      <c r="G49" s="128"/>
      <c r="H49" s="128"/>
      <c r="I49" s="128"/>
      <c r="J49" s="128"/>
      <c r="K49" s="128"/>
    </row>
    <row r="50" spans="1:11">
      <c r="A50" s="128"/>
      <c r="B50" s="128"/>
      <c r="C50" s="128"/>
      <c r="D50" s="128"/>
      <c r="E50" s="128"/>
      <c r="F50" s="128"/>
      <c r="G50" s="128"/>
      <c r="H50" s="128"/>
      <c r="I50" s="128"/>
      <c r="J50" s="128"/>
      <c r="K50" s="128"/>
    </row>
    <row r="51" spans="1:11">
      <c r="A51" s="128"/>
      <c r="B51" s="128"/>
      <c r="C51" s="128"/>
      <c r="D51" s="128"/>
      <c r="E51" s="128"/>
      <c r="F51" s="128"/>
      <c r="G51" s="128"/>
      <c r="H51" s="128"/>
      <c r="I51" s="128"/>
      <c r="J51" s="128"/>
      <c r="K51" s="128"/>
    </row>
    <row r="52" spans="1:11">
      <c r="A52" s="128"/>
      <c r="B52" s="128"/>
      <c r="C52" s="128"/>
      <c r="D52" s="128"/>
      <c r="E52" s="128"/>
      <c r="F52" s="128"/>
      <c r="G52" s="128"/>
      <c r="H52" s="128"/>
      <c r="I52" s="128"/>
      <c r="J52" s="128"/>
      <c r="K52" s="128"/>
    </row>
    <row r="53" spans="1:11">
      <c r="A53" s="128"/>
      <c r="B53" s="128"/>
      <c r="C53" s="128"/>
      <c r="D53" s="128"/>
      <c r="E53" s="128"/>
      <c r="F53" s="128"/>
      <c r="G53" s="128"/>
      <c r="H53" s="128"/>
      <c r="I53" s="128"/>
      <c r="J53" s="128"/>
      <c r="K53" s="128"/>
    </row>
    <row r="54" spans="1:11">
      <c r="A54" s="128"/>
      <c r="B54" s="128"/>
      <c r="C54" s="128"/>
      <c r="D54" s="128"/>
      <c r="E54" s="128"/>
      <c r="F54" s="128"/>
      <c r="G54" s="128"/>
      <c r="H54" s="128"/>
      <c r="I54" s="128"/>
      <c r="J54" s="128"/>
      <c r="K54" s="128"/>
    </row>
    <row r="55" spans="1:11">
      <c r="A55" s="128"/>
      <c r="B55" s="128"/>
      <c r="C55" s="128"/>
      <c r="D55" s="128"/>
      <c r="E55" s="128"/>
      <c r="F55" s="128"/>
      <c r="G55" s="128"/>
      <c r="H55" s="128"/>
      <c r="I55" s="128"/>
      <c r="J55" s="128"/>
      <c r="K55" s="128"/>
    </row>
    <row r="56" spans="1:11">
      <c r="A56" s="128"/>
      <c r="B56" s="128"/>
      <c r="C56" s="128"/>
      <c r="D56" s="128"/>
      <c r="E56" s="128"/>
      <c r="F56" s="128"/>
      <c r="G56" s="128"/>
      <c r="H56" s="128"/>
      <c r="I56" s="128"/>
      <c r="J56" s="128"/>
      <c r="K56" s="128"/>
    </row>
    <row r="57" spans="1:11">
      <c r="A57" s="128"/>
      <c r="B57" s="128"/>
      <c r="C57" s="128"/>
      <c r="D57" s="128"/>
      <c r="E57" s="128"/>
      <c r="F57" s="128"/>
      <c r="G57" s="128"/>
      <c r="H57" s="128"/>
      <c r="I57" s="128"/>
      <c r="J57" s="128"/>
      <c r="K57" s="128"/>
    </row>
    <row r="58" spans="1:11">
      <c r="A58" s="59"/>
      <c r="B58" s="59"/>
      <c r="C58" s="59"/>
      <c r="D58" s="59"/>
      <c r="E58" s="59"/>
      <c r="F58" s="59"/>
      <c r="G58" s="59"/>
      <c r="H58" s="59"/>
      <c r="I58" s="59"/>
      <c r="J58" s="59"/>
      <c r="K58" s="59"/>
    </row>
    <row r="59" spans="1:11">
      <c r="A59" s="59"/>
      <c r="B59" s="59"/>
      <c r="C59" s="59"/>
      <c r="D59" s="59"/>
      <c r="E59" s="59"/>
      <c r="F59" s="59"/>
      <c r="G59" s="59"/>
      <c r="H59" s="59"/>
      <c r="I59" s="59"/>
      <c r="J59" s="59"/>
      <c r="K59" s="59"/>
    </row>
    <row r="60" spans="1:11">
      <c r="A60" s="59"/>
      <c r="B60" s="59"/>
      <c r="C60" s="59"/>
      <c r="D60" s="59"/>
      <c r="E60" s="59"/>
      <c r="F60" s="59"/>
      <c r="G60" s="59"/>
      <c r="H60" s="59"/>
      <c r="I60" s="59"/>
      <c r="J60" s="59"/>
      <c r="K60" s="59"/>
    </row>
    <row r="61" spans="1:11">
      <c r="A61" s="59"/>
      <c r="B61" s="59"/>
      <c r="C61" s="59"/>
      <c r="D61" s="59"/>
      <c r="E61" s="59"/>
      <c r="F61" s="59"/>
      <c r="G61" s="59"/>
      <c r="H61" s="59"/>
      <c r="I61" s="59"/>
      <c r="J61" s="59"/>
      <c r="K61" s="59"/>
    </row>
    <row r="62" spans="1:11">
      <c r="A62" s="59"/>
      <c r="B62" s="59"/>
      <c r="C62" s="59"/>
      <c r="D62" s="59"/>
      <c r="E62" s="59"/>
      <c r="F62" s="59"/>
      <c r="G62" s="59"/>
      <c r="H62" s="59"/>
      <c r="I62" s="59"/>
      <c r="J62" s="59"/>
      <c r="K62" s="59"/>
    </row>
    <row r="63" spans="1:11">
      <c r="A63" s="59"/>
      <c r="B63" s="59"/>
      <c r="C63" s="59"/>
      <c r="D63" s="59"/>
      <c r="E63" s="59"/>
      <c r="F63" s="59"/>
      <c r="G63" s="59"/>
      <c r="H63" s="59"/>
      <c r="I63" s="59"/>
      <c r="J63" s="59"/>
      <c r="K63" s="59"/>
    </row>
  </sheetData>
  <mergeCells count="2">
    <mergeCell ref="A39:K39"/>
    <mergeCell ref="A1:M1"/>
  </mergeCells>
  <pageMargins left="0.7" right="0.7" top="0.75" bottom="0.75" header="0.3" footer="0.3"/>
  <pageSetup scale="5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L40"/>
  <sheetViews>
    <sheetView showGridLines="0" view="pageBreakPreview" zoomScaleNormal="100" zoomScaleSheetLayoutView="100" workbookViewId="0">
      <selection activeCell="J9" sqref="J9"/>
    </sheetView>
  </sheetViews>
  <sheetFormatPr baseColWidth="10" defaultColWidth="11.5703125" defaultRowHeight="15"/>
  <cols>
    <col min="2" max="2" width="14.140625" customWidth="1"/>
    <col min="3" max="3" width="16.140625" customWidth="1"/>
    <col min="4" max="4" width="14.85546875" customWidth="1"/>
  </cols>
  <sheetData>
    <row r="1" spans="1:12" ht="56.25" customHeight="1">
      <c r="A1" s="2302" t="s">
        <v>1007</v>
      </c>
      <c r="B1" s="2302"/>
      <c r="C1" s="2302"/>
      <c r="D1" s="2302"/>
      <c r="E1" s="2302"/>
      <c r="F1" s="2302"/>
      <c r="G1" s="2302"/>
      <c r="H1" s="2302"/>
      <c r="I1" s="2302"/>
      <c r="J1" s="2302"/>
      <c r="K1" s="2302"/>
      <c r="L1" s="2302"/>
    </row>
    <row r="2" spans="1:12" s="128" customFormat="1" ht="5.25" customHeight="1">
      <c r="A2" s="694"/>
      <c r="B2" s="694"/>
      <c r="C2" s="694"/>
      <c r="D2" s="694"/>
      <c r="E2" s="694"/>
      <c r="F2" s="694"/>
      <c r="G2" s="694"/>
      <c r="H2" s="694"/>
      <c r="I2" s="694"/>
      <c r="J2" s="694"/>
      <c r="K2" s="694"/>
      <c r="L2" s="694"/>
    </row>
    <row r="3" spans="1:12" ht="31.5">
      <c r="A3" s="693" t="s">
        <v>903</v>
      </c>
      <c r="B3" s="693" t="s">
        <v>904</v>
      </c>
      <c r="C3" s="693" t="s">
        <v>905</v>
      </c>
      <c r="D3" s="693" t="s">
        <v>906</v>
      </c>
      <c r="E3" s="128"/>
      <c r="F3" s="128"/>
      <c r="G3" s="128"/>
      <c r="H3" s="128"/>
      <c r="I3" s="128"/>
      <c r="J3" s="128"/>
      <c r="K3" s="128"/>
      <c r="L3" s="108"/>
    </row>
    <row r="4" spans="1:12" ht="15.75">
      <c r="A4" s="483" t="s">
        <v>907</v>
      </c>
      <c r="B4" s="705">
        <v>1063281.5000000005</v>
      </c>
      <c r="C4" s="371">
        <v>222037</v>
      </c>
      <c r="D4" s="372">
        <f>C4/B4</f>
        <v>0.20882240497930218</v>
      </c>
      <c r="E4" s="128"/>
      <c r="F4" s="128"/>
      <c r="G4" s="128"/>
      <c r="H4" s="128"/>
      <c r="I4" s="128"/>
      <c r="J4" s="128"/>
      <c r="K4" s="128"/>
      <c r="L4" s="59"/>
    </row>
    <row r="5" spans="1:12" ht="15.75">
      <c r="A5" s="484" t="s">
        <v>908</v>
      </c>
      <c r="B5" s="705">
        <v>1053464.5</v>
      </c>
      <c r="C5" s="371">
        <v>242365</v>
      </c>
      <c r="D5" s="372">
        <f t="shared" ref="D5:D18" si="0">C5/B5</f>
        <v>0.23006470555011582</v>
      </c>
      <c r="E5" s="128"/>
      <c r="F5" s="128"/>
      <c r="G5" s="128"/>
      <c r="H5" s="128"/>
      <c r="I5" s="128"/>
      <c r="J5" s="128"/>
      <c r="K5" s="128"/>
      <c r="L5" s="59"/>
    </row>
    <row r="6" spans="1:12" ht="15.75">
      <c r="A6" s="484" t="s">
        <v>909</v>
      </c>
      <c r="B6" s="705">
        <v>1005494.0000000002</v>
      </c>
      <c r="C6" s="371">
        <v>249006</v>
      </c>
      <c r="D6" s="372">
        <f t="shared" si="0"/>
        <v>0.24764543597475464</v>
      </c>
      <c r="E6" s="128"/>
      <c r="F6" s="128"/>
      <c r="G6" s="128"/>
      <c r="H6" s="128"/>
      <c r="I6" s="128"/>
      <c r="J6" s="128"/>
      <c r="K6" s="128"/>
      <c r="L6" s="59"/>
    </row>
    <row r="7" spans="1:12" ht="15.75">
      <c r="A7" s="484" t="s">
        <v>143</v>
      </c>
      <c r="B7" s="705">
        <v>981126</v>
      </c>
      <c r="C7" s="371">
        <v>182523</v>
      </c>
      <c r="D7" s="372">
        <f t="shared" si="0"/>
        <v>0.18603420967337528</v>
      </c>
      <c r="E7" s="128"/>
      <c r="F7" s="128"/>
      <c r="G7" s="128"/>
      <c r="H7" s="128"/>
      <c r="I7" s="128"/>
      <c r="J7" s="128"/>
      <c r="K7" s="128"/>
      <c r="L7" s="59"/>
    </row>
    <row r="8" spans="1:12" ht="15.75">
      <c r="A8" s="484" t="s">
        <v>63</v>
      </c>
      <c r="B8" s="705">
        <v>916350</v>
      </c>
      <c r="C8" s="371">
        <v>201709</v>
      </c>
      <c r="D8" s="372">
        <f t="shared" si="0"/>
        <v>0.22012222404103235</v>
      </c>
      <c r="E8" s="128"/>
      <c r="F8" s="128"/>
      <c r="G8" s="128"/>
      <c r="H8" s="128"/>
      <c r="I8" s="128"/>
      <c r="J8" s="128"/>
      <c r="K8" s="128"/>
      <c r="L8" s="128"/>
    </row>
    <row r="9" spans="1:12" ht="15.75">
      <c r="A9" s="484" t="s">
        <v>64</v>
      </c>
      <c r="B9" s="705">
        <v>835825</v>
      </c>
      <c r="C9" s="371">
        <v>235096</v>
      </c>
      <c r="D9" s="372">
        <f t="shared" si="0"/>
        <v>0.28127419017138755</v>
      </c>
      <c r="E9" s="128"/>
      <c r="F9" s="128"/>
      <c r="G9" s="128"/>
      <c r="H9" s="128"/>
      <c r="I9" s="128"/>
      <c r="J9" s="128"/>
      <c r="K9" s="128"/>
      <c r="L9" s="128"/>
    </row>
    <row r="10" spans="1:12" ht="15.75">
      <c r="A10" s="484" t="s">
        <v>65</v>
      </c>
      <c r="B10" s="705">
        <v>735985</v>
      </c>
      <c r="C10" s="371">
        <v>241241</v>
      </c>
      <c r="D10" s="372">
        <f t="shared" si="0"/>
        <v>0.32777977812047798</v>
      </c>
      <c r="E10" s="128"/>
      <c r="F10" s="128"/>
      <c r="G10" s="128"/>
      <c r="H10" s="128"/>
      <c r="I10" s="128"/>
      <c r="J10" s="128"/>
      <c r="K10" s="128"/>
      <c r="L10" s="128"/>
    </row>
    <row r="11" spans="1:12" ht="15.75">
      <c r="A11" s="484" t="s">
        <v>66</v>
      </c>
      <c r="B11" s="705">
        <v>657046.00000000023</v>
      </c>
      <c r="C11" s="371">
        <v>212189</v>
      </c>
      <c r="D11" s="372">
        <f t="shared" si="0"/>
        <v>0.32294390347098972</v>
      </c>
      <c r="E11" s="128"/>
      <c r="F11" s="128"/>
      <c r="G11" s="128"/>
      <c r="H11" s="128"/>
      <c r="I11" s="128"/>
      <c r="J11" s="128"/>
      <c r="K11" s="128"/>
      <c r="L11" s="128"/>
    </row>
    <row r="12" spans="1:12" ht="15.75">
      <c r="A12" s="484" t="s">
        <v>67</v>
      </c>
      <c r="B12" s="705">
        <v>590874</v>
      </c>
      <c r="C12" s="371">
        <v>190403</v>
      </c>
      <c r="D12" s="372">
        <f t="shared" si="0"/>
        <v>0.32223959761302751</v>
      </c>
      <c r="E12" s="128"/>
      <c r="F12" s="128"/>
      <c r="G12" s="128"/>
      <c r="H12" s="128"/>
      <c r="I12" s="128"/>
      <c r="J12" s="128"/>
      <c r="K12" s="128"/>
      <c r="L12" s="128"/>
    </row>
    <row r="13" spans="1:12" ht="15.75">
      <c r="A13" s="484" t="s">
        <v>68</v>
      </c>
      <c r="B13" s="705">
        <v>527694.5</v>
      </c>
      <c r="C13" s="371">
        <v>163750</v>
      </c>
      <c r="D13" s="372">
        <f t="shared" si="0"/>
        <v>0.31031212188112628</v>
      </c>
      <c r="E13" s="128"/>
      <c r="F13" s="128"/>
      <c r="G13" s="128"/>
      <c r="H13" s="128"/>
      <c r="I13" s="128"/>
      <c r="J13" s="128"/>
      <c r="K13" s="128"/>
      <c r="L13" s="128"/>
    </row>
    <row r="14" spans="1:12" ht="15.75">
      <c r="A14" s="484" t="s">
        <v>69</v>
      </c>
      <c r="B14" s="705">
        <v>453364.50000000012</v>
      </c>
      <c r="C14" s="371">
        <v>124447</v>
      </c>
      <c r="D14" s="372">
        <f t="shared" si="0"/>
        <v>0.27449656953731483</v>
      </c>
      <c r="E14" s="128"/>
      <c r="F14" s="128"/>
      <c r="G14" s="128"/>
      <c r="H14" s="128"/>
      <c r="I14" s="128"/>
      <c r="J14" s="128"/>
      <c r="K14" s="128"/>
      <c r="L14" s="128"/>
    </row>
    <row r="15" spans="1:12" ht="15.75">
      <c r="A15" s="484" t="s">
        <v>70</v>
      </c>
      <c r="B15" s="705">
        <v>364306.5</v>
      </c>
      <c r="C15" s="371">
        <v>94966</v>
      </c>
      <c r="D15" s="372">
        <f t="shared" si="0"/>
        <v>0.26067610652019657</v>
      </c>
      <c r="E15" s="128"/>
      <c r="F15" s="128"/>
      <c r="G15" s="128"/>
      <c r="H15" s="128"/>
      <c r="I15" s="128"/>
      <c r="J15" s="128"/>
      <c r="K15" s="128"/>
      <c r="L15" s="128"/>
    </row>
    <row r="16" spans="1:12" ht="15.75">
      <c r="A16" s="484" t="s">
        <v>71</v>
      </c>
      <c r="B16" s="705">
        <v>274767</v>
      </c>
      <c r="C16" s="371">
        <v>62469</v>
      </c>
      <c r="D16" s="372">
        <f t="shared" si="0"/>
        <v>0.22735262968260381</v>
      </c>
      <c r="E16" s="128"/>
      <c r="F16" s="128"/>
      <c r="G16" s="128"/>
      <c r="H16" s="128"/>
      <c r="I16" s="128"/>
      <c r="J16" s="128"/>
      <c r="K16" s="128"/>
      <c r="L16" s="128"/>
    </row>
    <row r="17" spans="1:12" ht="15.75">
      <c r="A17" s="484" t="s">
        <v>910</v>
      </c>
      <c r="B17" s="705">
        <v>203064.5</v>
      </c>
      <c r="C17" s="371">
        <v>38620</v>
      </c>
      <c r="D17" s="372">
        <f t="shared" si="0"/>
        <v>0.19018587690118163</v>
      </c>
      <c r="E17" s="128"/>
      <c r="F17" s="128"/>
      <c r="G17" s="128"/>
      <c r="H17" s="128"/>
      <c r="I17" s="128"/>
      <c r="J17" s="128"/>
      <c r="K17" s="128"/>
      <c r="L17" s="128"/>
    </row>
    <row r="18" spans="1:12" ht="15.75">
      <c r="A18" s="484" t="s">
        <v>911</v>
      </c>
      <c r="B18" s="705">
        <v>410205</v>
      </c>
      <c r="C18" s="371">
        <v>56602</v>
      </c>
      <c r="D18" s="372">
        <f t="shared" si="0"/>
        <v>0.13798466620348362</v>
      </c>
      <c r="E18" s="128"/>
      <c r="F18" s="128"/>
      <c r="G18" s="128"/>
      <c r="H18" s="128"/>
      <c r="I18" s="128"/>
      <c r="J18" s="128"/>
      <c r="K18" s="128"/>
      <c r="L18" s="128"/>
    </row>
    <row r="19" spans="1:12" ht="15.75">
      <c r="A19" s="611" t="s">
        <v>23</v>
      </c>
      <c r="B19" s="607">
        <f>SUM(B4:B17)</f>
        <v>9662643.0000000019</v>
      </c>
      <c r="C19" s="607">
        <f>SUM(C4:C17)</f>
        <v>2460821</v>
      </c>
      <c r="D19" s="612">
        <f>C19/B19</f>
        <v>0.25467369538541368</v>
      </c>
      <c r="E19" s="128"/>
      <c r="F19" s="128"/>
      <c r="G19" s="128"/>
      <c r="H19" s="128"/>
      <c r="I19" s="128"/>
      <c r="J19" s="128"/>
      <c r="K19" s="128"/>
      <c r="L19" s="128"/>
    </row>
    <row r="20" spans="1:12">
      <c r="A20" s="128"/>
      <c r="B20" s="128"/>
      <c r="C20" s="128"/>
      <c r="D20" s="128"/>
      <c r="E20" s="128"/>
      <c r="F20" s="128"/>
      <c r="G20" s="128"/>
      <c r="H20" s="128"/>
      <c r="I20" s="128"/>
      <c r="J20" s="128"/>
      <c r="K20" s="128"/>
      <c r="L20" s="128"/>
    </row>
    <row r="21" spans="1:12">
      <c r="A21" s="128"/>
      <c r="B21" s="128"/>
      <c r="C21" s="128"/>
      <c r="D21" s="128"/>
      <c r="E21" s="128"/>
      <c r="F21" s="128"/>
      <c r="G21" s="128"/>
      <c r="H21" s="128"/>
      <c r="I21" s="128"/>
      <c r="J21" s="128"/>
      <c r="K21" s="128"/>
      <c r="L21" s="128"/>
    </row>
    <row r="22" spans="1:12">
      <c r="A22" s="128"/>
      <c r="B22" s="128"/>
      <c r="C22" s="128"/>
      <c r="D22" s="128"/>
      <c r="E22" s="128"/>
      <c r="F22" s="128"/>
      <c r="G22" s="128"/>
      <c r="H22" s="128"/>
      <c r="I22" s="128"/>
      <c r="J22" s="128"/>
      <c r="K22" s="128"/>
      <c r="L22" s="128"/>
    </row>
    <row r="23" spans="1:12">
      <c r="A23" s="128"/>
      <c r="B23" s="128"/>
      <c r="C23" s="128"/>
      <c r="D23" s="128"/>
      <c r="E23" s="128"/>
      <c r="F23" s="128"/>
      <c r="G23" s="128"/>
      <c r="H23" s="128"/>
      <c r="I23" s="128"/>
      <c r="J23" s="128"/>
      <c r="K23" s="128"/>
      <c r="L23" s="128"/>
    </row>
    <row r="24" spans="1:12">
      <c r="A24" s="128"/>
      <c r="B24" s="128"/>
      <c r="C24" s="128"/>
      <c r="D24" s="128"/>
      <c r="E24" s="128"/>
      <c r="F24" s="128"/>
      <c r="G24" s="128"/>
      <c r="H24" s="128"/>
      <c r="I24" s="128"/>
      <c r="J24" s="128"/>
      <c r="K24" s="128"/>
      <c r="L24" s="128"/>
    </row>
    <row r="25" spans="1:12">
      <c r="A25" s="128"/>
      <c r="B25" s="128"/>
      <c r="C25" s="128"/>
      <c r="D25" s="128"/>
      <c r="E25" s="128"/>
      <c r="F25" s="128"/>
      <c r="G25" s="128"/>
      <c r="H25" s="128"/>
      <c r="I25" s="128"/>
      <c r="J25" s="128"/>
      <c r="K25" s="128"/>
      <c r="L25" s="128"/>
    </row>
    <row r="26" spans="1:12">
      <c r="A26" s="128"/>
      <c r="B26" s="128"/>
      <c r="C26" s="128"/>
      <c r="D26" s="128"/>
      <c r="E26" s="128"/>
      <c r="F26" s="128"/>
      <c r="G26" s="128"/>
      <c r="H26" s="128"/>
      <c r="I26" s="128"/>
      <c r="J26" s="128"/>
      <c r="K26" s="128"/>
      <c r="L26" s="128"/>
    </row>
    <row r="27" spans="1:12">
      <c r="A27" s="128"/>
      <c r="B27" s="128"/>
      <c r="C27" s="128"/>
      <c r="D27" s="128"/>
      <c r="E27" s="128"/>
      <c r="F27" s="128"/>
      <c r="G27" s="128"/>
      <c r="H27" s="128"/>
      <c r="I27" s="128"/>
      <c r="J27" s="128"/>
      <c r="K27" s="128"/>
      <c r="L27" s="128"/>
    </row>
    <row r="28" spans="1:12">
      <c r="A28" s="128"/>
      <c r="B28" s="128"/>
      <c r="C28" s="128"/>
      <c r="D28" s="128"/>
      <c r="E28" s="128"/>
      <c r="F28" s="128"/>
      <c r="G28" s="128"/>
      <c r="H28" s="128"/>
      <c r="I28" s="128"/>
      <c r="J28" s="128"/>
      <c r="K28" s="128"/>
      <c r="L28" s="128"/>
    </row>
    <row r="29" spans="1:12">
      <c r="A29" s="59"/>
      <c r="B29" s="59"/>
      <c r="C29" s="59"/>
      <c r="D29" s="59"/>
      <c r="E29" s="59"/>
      <c r="F29" s="59"/>
      <c r="G29" s="59"/>
      <c r="H29" s="59"/>
      <c r="I29" s="59"/>
      <c r="J29" s="59"/>
      <c r="K29" s="59"/>
      <c r="L29" s="59"/>
    </row>
    <row r="30" spans="1:12">
      <c r="A30" s="59"/>
      <c r="B30" s="59"/>
      <c r="C30" s="59"/>
      <c r="D30" s="59"/>
      <c r="E30" s="59"/>
      <c r="F30" s="59"/>
      <c r="G30" s="59"/>
      <c r="H30" s="59"/>
      <c r="I30" s="59"/>
      <c r="J30" s="59"/>
      <c r="K30" s="59"/>
      <c r="L30" s="59"/>
    </row>
    <row r="31" spans="1:12">
      <c r="A31" s="59"/>
      <c r="B31" s="59"/>
      <c r="C31" s="59"/>
      <c r="D31" s="59"/>
      <c r="E31" s="59"/>
      <c r="F31" s="59"/>
      <c r="G31" s="59"/>
      <c r="H31" s="59"/>
      <c r="I31" s="59"/>
      <c r="J31" s="59"/>
      <c r="K31" s="59"/>
      <c r="L31" s="59"/>
    </row>
    <row r="32" spans="1:12">
      <c r="A32" s="59"/>
      <c r="B32" s="59"/>
      <c r="C32" s="59"/>
      <c r="D32" s="59"/>
      <c r="E32" s="59"/>
      <c r="F32" s="59"/>
      <c r="G32" s="59"/>
      <c r="H32" s="59"/>
      <c r="I32" s="59"/>
      <c r="J32" s="59"/>
      <c r="K32" s="59"/>
      <c r="L32" s="59"/>
    </row>
    <row r="33" spans="1:12">
      <c r="A33" s="59"/>
      <c r="B33" s="59"/>
      <c r="C33" s="59"/>
      <c r="D33" s="59"/>
      <c r="E33" s="59"/>
      <c r="F33" s="59"/>
      <c r="G33" s="59"/>
      <c r="H33" s="59"/>
      <c r="I33" s="59"/>
      <c r="J33" s="59"/>
      <c r="K33" s="59"/>
      <c r="L33" s="59"/>
    </row>
    <row r="34" spans="1:12">
      <c r="A34" s="59"/>
      <c r="B34" s="59"/>
      <c r="C34" s="59"/>
      <c r="D34" s="59"/>
      <c r="E34" s="59"/>
      <c r="F34" s="59"/>
      <c r="G34" s="59"/>
      <c r="H34" s="59"/>
      <c r="I34" s="59"/>
      <c r="J34" s="59"/>
      <c r="K34" s="59"/>
      <c r="L34" s="59"/>
    </row>
    <row r="35" spans="1:12">
      <c r="A35" s="477"/>
      <c r="B35" s="477"/>
      <c r="C35" s="477"/>
      <c r="D35" s="477"/>
      <c r="E35" s="477"/>
      <c r="F35" s="477"/>
      <c r="G35" s="477"/>
      <c r="H35" s="477"/>
      <c r="I35" s="477"/>
      <c r="J35" s="477"/>
      <c r="K35" s="477"/>
      <c r="L35" s="477"/>
    </row>
    <row r="36" spans="1:12">
      <c r="A36" s="59"/>
      <c r="B36" s="59"/>
      <c r="C36" s="59"/>
      <c r="D36" s="59"/>
      <c r="E36" s="59"/>
      <c r="F36" s="59"/>
      <c r="G36" s="59"/>
      <c r="H36" s="59"/>
      <c r="I36" s="59"/>
      <c r="J36" s="59"/>
      <c r="K36" s="59"/>
      <c r="L36" s="59"/>
    </row>
    <row r="37" spans="1:12">
      <c r="A37" s="59"/>
      <c r="B37" s="59"/>
      <c r="C37" s="59"/>
      <c r="D37" s="59"/>
      <c r="E37" s="59"/>
      <c r="F37" s="59"/>
      <c r="G37" s="59"/>
      <c r="H37" s="59"/>
      <c r="I37" s="59"/>
      <c r="J37" s="59"/>
      <c r="K37" s="59"/>
      <c r="L37" s="59"/>
    </row>
    <row r="38" spans="1:12">
      <c r="A38" s="59"/>
      <c r="B38" s="59"/>
      <c r="C38" s="59"/>
      <c r="D38" s="59"/>
      <c r="E38" s="59"/>
      <c r="F38" s="59"/>
      <c r="G38" s="59"/>
      <c r="H38" s="59"/>
      <c r="I38" s="59"/>
      <c r="J38" s="59"/>
      <c r="K38" s="59"/>
      <c r="L38" s="59"/>
    </row>
    <row r="39" spans="1:12">
      <c r="A39" s="59"/>
      <c r="B39" s="59"/>
      <c r="C39" s="59"/>
      <c r="D39" s="59"/>
      <c r="E39" s="59"/>
      <c r="F39" s="59"/>
      <c r="G39" s="59"/>
      <c r="H39" s="59"/>
      <c r="I39" s="59"/>
      <c r="J39" s="59"/>
      <c r="K39" s="59"/>
      <c r="L39" s="59"/>
    </row>
    <row r="40" spans="1:12">
      <c r="A40" s="59"/>
      <c r="B40" s="59"/>
      <c r="C40" s="59"/>
      <c r="D40" s="59"/>
      <c r="E40" s="59"/>
      <c r="F40" s="59"/>
      <c r="G40" s="59"/>
      <c r="H40" s="59"/>
      <c r="I40" s="59"/>
      <c r="J40" s="59"/>
      <c r="K40" s="59"/>
      <c r="L40" s="59"/>
    </row>
  </sheetData>
  <mergeCells count="1">
    <mergeCell ref="A1:L1"/>
  </mergeCells>
  <printOptions horizontalCentered="1" verticalCentered="1"/>
  <pageMargins left="0.70866141732283472" right="0.70866141732283472" top="0.74803149606299213" bottom="0.74803149606299213" header="0.31496062992125984" footer="0.31496062992125984"/>
  <pageSetup scale="8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L209"/>
  <sheetViews>
    <sheetView showGridLines="0" view="pageBreakPreview" zoomScale="85" zoomScaleNormal="100" zoomScaleSheetLayoutView="85" workbookViewId="0">
      <selection activeCell="N22" sqref="N22"/>
    </sheetView>
  </sheetViews>
  <sheetFormatPr baseColWidth="10" defaultColWidth="11.5703125" defaultRowHeight="15"/>
  <cols>
    <col min="1" max="1" width="20.140625" customWidth="1"/>
    <col min="2" max="2" width="17.42578125" customWidth="1"/>
    <col min="3" max="3" width="20.42578125" customWidth="1"/>
    <col min="4" max="4" width="14" customWidth="1"/>
  </cols>
  <sheetData>
    <row r="1" spans="1:12" ht="54.75" customHeight="1">
      <c r="A1" s="2302" t="s">
        <v>922</v>
      </c>
      <c r="B1" s="2302"/>
      <c r="C1" s="2302"/>
      <c r="D1" s="2302"/>
      <c r="E1" s="2302"/>
      <c r="F1" s="2302"/>
      <c r="G1" s="2302"/>
      <c r="H1" s="2302"/>
      <c r="I1" s="2302"/>
      <c r="J1" s="2302"/>
      <c r="K1" s="2302"/>
      <c r="L1" s="2302"/>
    </row>
    <row r="2" spans="1:12" s="59" customFormat="1" ht="4.5" customHeight="1">
      <c r="A2" s="694"/>
      <c r="B2" s="694"/>
      <c r="C2" s="694"/>
      <c r="D2" s="694"/>
      <c r="E2" s="694"/>
      <c r="F2" s="694"/>
      <c r="G2" s="694"/>
      <c r="H2" s="694"/>
      <c r="I2" s="694"/>
      <c r="J2" s="694"/>
      <c r="K2" s="694"/>
      <c r="L2" s="694"/>
    </row>
    <row r="3" spans="1:12" ht="30">
      <c r="A3" s="695" t="s">
        <v>912</v>
      </c>
      <c r="B3" s="695" t="s">
        <v>904</v>
      </c>
      <c r="C3" s="695" t="s">
        <v>968</v>
      </c>
      <c r="D3" s="695" t="s">
        <v>906</v>
      </c>
      <c r="E3" s="128"/>
      <c r="F3" s="128"/>
      <c r="G3" s="128"/>
      <c r="H3" s="128"/>
      <c r="I3" s="128"/>
      <c r="J3" s="128"/>
      <c r="K3" s="128"/>
      <c r="L3" s="108"/>
    </row>
    <row r="4" spans="1:12" ht="15.75">
      <c r="A4" s="533" t="s">
        <v>545</v>
      </c>
      <c r="B4" s="704">
        <v>3603126.0000000005</v>
      </c>
      <c r="C4" s="489">
        <v>996454</v>
      </c>
      <c r="D4" s="490">
        <f>C4/B4</f>
        <v>0.27655263790386453</v>
      </c>
      <c r="E4" s="128"/>
      <c r="F4" s="128"/>
      <c r="G4" s="128"/>
      <c r="H4" s="128"/>
      <c r="I4" s="128"/>
      <c r="J4" s="128"/>
      <c r="K4" s="128"/>
      <c r="L4" s="59"/>
    </row>
    <row r="5" spans="1:12" ht="15.75">
      <c r="A5" s="533" t="s">
        <v>913</v>
      </c>
      <c r="B5" s="704">
        <v>1201455</v>
      </c>
      <c r="C5" s="489">
        <v>150123</v>
      </c>
      <c r="D5" s="490">
        <f t="shared" ref="D5:D12" si="0">C5/B5</f>
        <v>0.12495099691623907</v>
      </c>
      <c r="E5" s="128"/>
      <c r="F5" s="128"/>
      <c r="G5" s="128"/>
      <c r="H5" s="128"/>
      <c r="I5" s="128"/>
      <c r="J5" s="128"/>
      <c r="K5" s="128"/>
      <c r="L5" s="59"/>
    </row>
    <row r="6" spans="1:12" ht="15.75">
      <c r="A6" s="533" t="s">
        <v>914</v>
      </c>
      <c r="B6" s="704">
        <v>1638718.9999999995</v>
      </c>
      <c r="C6" s="489">
        <v>353237</v>
      </c>
      <c r="D6" s="490">
        <f t="shared" si="0"/>
        <v>0.21555678551356278</v>
      </c>
      <c r="E6" s="128"/>
      <c r="F6" s="128"/>
      <c r="G6" s="128"/>
      <c r="H6" s="128"/>
      <c r="I6" s="128"/>
      <c r="J6" s="128"/>
      <c r="K6" s="128"/>
      <c r="L6" s="59"/>
    </row>
    <row r="7" spans="1:12" ht="15.75">
      <c r="A7" s="533" t="s">
        <v>915</v>
      </c>
      <c r="B7" s="704">
        <v>648204</v>
      </c>
      <c r="C7" s="489">
        <v>102389</v>
      </c>
      <c r="D7" s="490">
        <f t="shared" si="0"/>
        <v>0.15795798853447371</v>
      </c>
      <c r="E7" s="128"/>
      <c r="F7" s="128"/>
      <c r="G7" s="128"/>
      <c r="H7" s="128"/>
      <c r="I7" s="128"/>
      <c r="J7" s="128"/>
      <c r="K7" s="128"/>
      <c r="L7" s="59"/>
    </row>
    <row r="8" spans="1:12" ht="15.75">
      <c r="A8" s="533" t="s">
        <v>916</v>
      </c>
      <c r="B8" s="704">
        <v>402711</v>
      </c>
      <c r="C8" s="489">
        <v>49998</v>
      </c>
      <c r="D8" s="490">
        <f t="shared" si="0"/>
        <v>0.12415354931948717</v>
      </c>
      <c r="E8" s="128"/>
      <c r="F8" s="128"/>
      <c r="G8" s="128"/>
      <c r="H8" s="128"/>
      <c r="I8" s="128"/>
      <c r="J8" s="128"/>
      <c r="K8" s="128"/>
      <c r="L8" s="128"/>
    </row>
    <row r="9" spans="1:12" ht="15.75">
      <c r="A9" s="533" t="s">
        <v>917</v>
      </c>
      <c r="B9" s="704">
        <v>1031171.4999999998</v>
      </c>
      <c r="C9" s="489">
        <v>198688</v>
      </c>
      <c r="D9" s="490">
        <f t="shared" si="0"/>
        <v>0.19268181868874387</v>
      </c>
      <c r="E9" s="128"/>
      <c r="F9" s="128"/>
      <c r="G9" s="128"/>
      <c r="H9" s="128"/>
      <c r="I9" s="128"/>
      <c r="J9" s="128"/>
      <c r="K9" s="128"/>
      <c r="L9" s="128"/>
    </row>
    <row r="10" spans="1:12" ht="15.75">
      <c r="A10" s="533" t="s">
        <v>918</v>
      </c>
      <c r="B10" s="704">
        <v>317849</v>
      </c>
      <c r="C10" s="489">
        <v>42899</v>
      </c>
      <c r="D10" s="490">
        <f t="shared" si="0"/>
        <v>0.13496660363883478</v>
      </c>
      <c r="E10" s="128"/>
      <c r="F10" s="128"/>
      <c r="G10" s="128"/>
      <c r="H10" s="128"/>
      <c r="I10" s="128"/>
      <c r="J10" s="128"/>
      <c r="K10" s="128"/>
      <c r="L10" s="128"/>
    </row>
    <row r="11" spans="1:12" ht="15.75">
      <c r="A11" s="533" t="s">
        <v>919</v>
      </c>
      <c r="B11" s="704">
        <v>438793.99999999994</v>
      </c>
      <c r="C11" s="489">
        <v>62596</v>
      </c>
      <c r="D11" s="490">
        <f t="shared" si="0"/>
        <v>0.1426546397626221</v>
      </c>
      <c r="E11" s="128"/>
      <c r="F11" s="128"/>
      <c r="G11" s="128"/>
      <c r="H11" s="128"/>
      <c r="I11" s="128"/>
      <c r="J11" s="128"/>
      <c r="K11" s="128"/>
      <c r="L11" s="128"/>
    </row>
    <row r="12" spans="1:12" ht="15.75">
      <c r="A12" s="533" t="s">
        <v>920</v>
      </c>
      <c r="B12" s="704">
        <v>790818</v>
      </c>
      <c r="C12" s="489">
        <v>129660</v>
      </c>
      <c r="D12" s="490">
        <f t="shared" si="0"/>
        <v>0.16395681433654774</v>
      </c>
      <c r="E12" s="128"/>
      <c r="F12" s="128"/>
      <c r="G12" s="128"/>
      <c r="H12" s="128"/>
      <c r="I12" s="128"/>
      <c r="J12" s="128"/>
      <c r="K12" s="128"/>
      <c r="L12" s="128"/>
    </row>
    <row r="13" spans="1:12" ht="15.75">
      <c r="A13" s="533" t="s">
        <v>921</v>
      </c>
      <c r="B13" s="704">
        <v>0</v>
      </c>
      <c r="C13" s="489">
        <v>431379</v>
      </c>
      <c r="D13" s="489">
        <v>0</v>
      </c>
      <c r="E13" s="128"/>
      <c r="F13" s="128"/>
      <c r="G13" s="128"/>
      <c r="H13" s="128"/>
      <c r="I13" s="128"/>
      <c r="J13" s="128"/>
      <c r="K13" s="128"/>
      <c r="L13" s="128"/>
    </row>
    <row r="14" spans="1:12" ht="15.75">
      <c r="A14" s="601" t="s">
        <v>23</v>
      </c>
      <c r="B14" s="607">
        <f>SUM(B4:B13)</f>
        <v>10072847.5</v>
      </c>
      <c r="C14" s="607">
        <f>SUM(C4:C13)</f>
        <v>2517423</v>
      </c>
      <c r="D14" s="612">
        <f>C14/B14</f>
        <v>0.24992168301962281</v>
      </c>
      <c r="E14" s="128"/>
      <c r="F14" s="128"/>
      <c r="G14" s="128"/>
      <c r="H14" s="128"/>
      <c r="I14" s="128"/>
      <c r="J14" s="128"/>
      <c r="K14" s="128"/>
      <c r="L14" s="128"/>
    </row>
    <row r="15" spans="1:12">
      <c r="A15" s="128"/>
      <c r="B15" s="128"/>
      <c r="C15" s="128"/>
      <c r="D15" s="128"/>
      <c r="E15" s="128"/>
      <c r="F15" s="128"/>
      <c r="G15" s="128"/>
      <c r="H15" s="128"/>
      <c r="I15" s="128"/>
      <c r="J15" s="128"/>
      <c r="K15" s="128"/>
      <c r="L15" s="128"/>
    </row>
    <row r="16" spans="1:12">
      <c r="A16" s="128"/>
      <c r="B16" s="128"/>
      <c r="C16" s="128"/>
      <c r="D16" s="128"/>
      <c r="E16" s="128"/>
      <c r="F16" s="128"/>
      <c r="G16" s="128"/>
      <c r="H16" s="128"/>
      <c r="I16" s="128"/>
      <c r="J16" s="128"/>
      <c r="K16" s="128"/>
      <c r="L16" s="128"/>
    </row>
    <row r="17" spans="1:12">
      <c r="A17" s="128"/>
      <c r="B17" s="128"/>
      <c r="C17" s="128"/>
      <c r="D17" s="128"/>
      <c r="E17" s="128"/>
      <c r="F17" s="128"/>
      <c r="G17" s="128"/>
      <c r="H17" s="128"/>
      <c r="I17" s="128"/>
      <c r="J17" s="128"/>
      <c r="K17" s="128"/>
      <c r="L17" s="128"/>
    </row>
    <row r="18" spans="1:12">
      <c r="A18" s="128"/>
      <c r="B18" s="128"/>
      <c r="C18" s="128"/>
      <c r="D18" s="128"/>
      <c r="E18" s="128"/>
      <c r="F18" s="128"/>
      <c r="G18" s="128"/>
      <c r="H18" s="128"/>
      <c r="I18" s="128"/>
      <c r="J18" s="128"/>
      <c r="K18" s="128"/>
      <c r="L18" s="128"/>
    </row>
    <row r="19" spans="1:12">
      <c r="A19" s="128"/>
      <c r="B19" s="128"/>
      <c r="C19" s="128"/>
      <c r="D19" s="128"/>
      <c r="E19" s="128"/>
      <c r="F19" s="128"/>
      <c r="G19" s="128"/>
      <c r="H19" s="128"/>
      <c r="I19" s="128"/>
      <c r="J19" s="128"/>
      <c r="K19" s="128"/>
      <c r="L19" s="128"/>
    </row>
    <row r="20" spans="1:12">
      <c r="A20" s="128"/>
      <c r="B20" s="128"/>
      <c r="C20" s="128"/>
      <c r="D20" s="128"/>
      <c r="E20" s="128"/>
      <c r="F20" s="128"/>
      <c r="G20" s="128"/>
      <c r="H20" s="128"/>
      <c r="I20" s="128"/>
      <c r="J20" s="128"/>
      <c r="K20" s="128"/>
      <c r="L20" s="128"/>
    </row>
    <row r="21" spans="1:12">
      <c r="A21" s="128"/>
      <c r="B21" s="128"/>
      <c r="C21" s="128"/>
      <c r="D21" s="128"/>
      <c r="E21" s="128"/>
      <c r="F21" s="128"/>
      <c r="G21" s="128"/>
      <c r="H21" s="128"/>
      <c r="I21" s="128"/>
      <c r="J21" s="128"/>
      <c r="K21" s="128"/>
      <c r="L21" s="128"/>
    </row>
    <row r="22" spans="1:12">
      <c r="A22" s="128"/>
      <c r="B22" s="128"/>
      <c r="C22" s="128"/>
      <c r="D22" s="128"/>
      <c r="E22" s="128"/>
      <c r="F22" s="128"/>
      <c r="G22" s="128"/>
      <c r="H22" s="128"/>
      <c r="I22" s="128"/>
      <c r="J22" s="128"/>
      <c r="K22" s="128"/>
      <c r="L22" s="128"/>
    </row>
    <row r="23" spans="1:12">
      <c r="A23" s="128"/>
      <c r="B23" s="128"/>
      <c r="C23" s="128"/>
      <c r="D23" s="128"/>
      <c r="E23" s="128"/>
      <c r="F23" s="128"/>
      <c r="G23" s="128"/>
      <c r="H23" s="128"/>
      <c r="I23" s="128"/>
      <c r="J23" s="128"/>
      <c r="K23" s="128"/>
      <c r="L23" s="128"/>
    </row>
    <row r="24" spans="1:12">
      <c r="A24" s="59"/>
      <c r="B24" s="59"/>
      <c r="C24" s="59"/>
      <c r="D24" s="59"/>
      <c r="E24" s="59"/>
      <c r="F24" s="59"/>
      <c r="G24" s="59"/>
      <c r="H24" s="59"/>
      <c r="I24" s="59"/>
      <c r="J24" s="59"/>
      <c r="K24" s="59"/>
      <c r="L24" s="59"/>
    </row>
    <row r="25" spans="1:12">
      <c r="A25" s="59"/>
      <c r="B25" s="59"/>
      <c r="C25" s="59"/>
      <c r="D25" s="59"/>
      <c r="E25" s="59"/>
      <c r="F25" s="59"/>
      <c r="G25" s="59"/>
      <c r="H25" s="59"/>
      <c r="I25" s="59"/>
      <c r="J25" s="59"/>
      <c r="K25" s="59"/>
      <c r="L25" s="59"/>
    </row>
    <row r="26" spans="1:12">
      <c r="A26" s="59"/>
      <c r="B26" s="59"/>
      <c r="C26" s="59"/>
      <c r="D26" s="59"/>
      <c r="E26" s="59"/>
      <c r="F26" s="59"/>
      <c r="G26" s="59"/>
      <c r="H26" s="59"/>
      <c r="I26" s="59"/>
      <c r="J26" s="59"/>
      <c r="K26" s="59"/>
      <c r="L26" s="59"/>
    </row>
    <row r="27" spans="1:12">
      <c r="A27" s="59"/>
      <c r="B27" s="59"/>
      <c r="C27" s="59"/>
      <c r="D27" s="59"/>
      <c r="E27" s="59"/>
      <c r="F27" s="59"/>
      <c r="G27" s="59"/>
      <c r="H27" s="59"/>
      <c r="I27" s="59"/>
      <c r="J27" s="59"/>
      <c r="K27" s="59"/>
      <c r="L27" s="59"/>
    </row>
    <row r="28" spans="1:12">
      <c r="A28" s="59"/>
      <c r="B28" s="59"/>
      <c r="C28" s="59"/>
      <c r="D28" s="59"/>
      <c r="E28" s="59"/>
      <c r="F28" s="59"/>
      <c r="G28" s="59"/>
      <c r="H28" s="59"/>
      <c r="I28" s="59"/>
      <c r="J28" s="59"/>
      <c r="K28" s="59"/>
      <c r="L28" s="59"/>
    </row>
    <row r="29" spans="1:12">
      <c r="A29" s="59"/>
      <c r="B29" s="59"/>
      <c r="C29" s="59"/>
      <c r="D29" s="59"/>
      <c r="E29" s="59"/>
      <c r="F29" s="59"/>
      <c r="G29" s="59"/>
      <c r="H29" s="59"/>
      <c r="I29" s="59"/>
      <c r="J29" s="59"/>
      <c r="K29" s="59"/>
      <c r="L29" s="59"/>
    </row>
    <row r="30" spans="1:12">
      <c r="A30" s="2285"/>
      <c r="B30" s="2285"/>
      <c r="C30" s="2285"/>
      <c r="D30" s="2285"/>
      <c r="E30" s="2285"/>
      <c r="F30" s="2285"/>
      <c r="G30" s="2285"/>
      <c r="H30" s="2285"/>
      <c r="I30" s="2285"/>
      <c r="J30" s="2285"/>
      <c r="K30" s="2285"/>
      <c r="L30" s="2285"/>
    </row>
    <row r="31" spans="1:12">
      <c r="A31" s="59"/>
      <c r="B31" s="59"/>
      <c r="C31" s="59"/>
      <c r="D31" s="59"/>
      <c r="E31" s="59"/>
      <c r="F31" s="59"/>
      <c r="G31" s="59"/>
      <c r="H31" s="59"/>
      <c r="I31" s="59"/>
      <c r="J31" s="59"/>
      <c r="K31" s="59"/>
      <c r="L31" s="59"/>
    </row>
    <row r="32" spans="1:12">
      <c r="A32" s="59"/>
      <c r="B32" s="59"/>
      <c r="C32" s="59"/>
      <c r="D32" s="59"/>
      <c r="E32" s="59"/>
      <c r="F32" s="59"/>
      <c r="G32" s="59"/>
      <c r="H32" s="59"/>
      <c r="I32" s="59"/>
      <c r="J32" s="59"/>
      <c r="K32" s="59"/>
      <c r="L32" s="59"/>
    </row>
    <row r="33" spans="1:12">
      <c r="A33" s="59"/>
      <c r="B33" s="59"/>
      <c r="C33" s="59"/>
      <c r="D33" s="59"/>
      <c r="E33" s="59"/>
      <c r="F33" s="59"/>
      <c r="G33" s="59"/>
      <c r="H33" s="59"/>
      <c r="I33" s="59"/>
      <c r="J33" s="59"/>
      <c r="K33" s="59"/>
      <c r="L33" s="59"/>
    </row>
    <row r="34" spans="1:12">
      <c r="A34" s="59"/>
      <c r="B34" s="59"/>
      <c r="C34" s="59"/>
      <c r="D34" s="59"/>
      <c r="E34" s="59"/>
      <c r="F34" s="59"/>
      <c r="G34" s="59"/>
      <c r="H34" s="59"/>
      <c r="I34" s="59"/>
      <c r="J34" s="59"/>
      <c r="K34" s="59"/>
      <c r="L34" s="59"/>
    </row>
    <row r="35" spans="1:12">
      <c r="A35" s="59"/>
      <c r="B35" s="59"/>
      <c r="C35" s="59"/>
      <c r="D35" s="59"/>
      <c r="E35" s="59"/>
      <c r="F35" s="59"/>
      <c r="G35" s="59"/>
      <c r="H35" s="59"/>
      <c r="I35" s="59"/>
      <c r="J35" s="59"/>
      <c r="K35" s="59"/>
      <c r="L35" s="59"/>
    </row>
    <row r="36" spans="1:12">
      <c r="A36" s="59"/>
      <c r="B36" s="59"/>
      <c r="C36" s="59"/>
      <c r="D36" s="59"/>
      <c r="E36" s="59"/>
      <c r="F36" s="59"/>
      <c r="G36" s="59"/>
      <c r="H36" s="59"/>
      <c r="I36" s="59"/>
      <c r="J36" s="59"/>
      <c r="K36" s="59"/>
      <c r="L36" s="59"/>
    </row>
    <row r="37" spans="1:12">
      <c r="A37" s="59"/>
      <c r="B37" s="59"/>
      <c r="C37" s="59"/>
      <c r="D37" s="59"/>
      <c r="E37" s="59"/>
      <c r="F37" s="59"/>
      <c r="G37" s="59"/>
      <c r="H37" s="59"/>
      <c r="I37" s="59"/>
      <c r="J37" s="59"/>
      <c r="K37" s="59"/>
      <c r="L37" s="59"/>
    </row>
    <row r="38" spans="1:12">
      <c r="A38" s="59"/>
      <c r="B38" s="59"/>
      <c r="C38" s="59"/>
      <c r="D38" s="59"/>
      <c r="E38" s="59"/>
      <c r="F38" s="59"/>
      <c r="G38" s="59"/>
      <c r="H38" s="59"/>
      <c r="I38" s="59"/>
      <c r="J38" s="59"/>
      <c r="K38" s="59"/>
      <c r="L38" s="59"/>
    </row>
    <row r="39" spans="1:12">
      <c r="A39" s="59"/>
      <c r="B39" s="59"/>
      <c r="C39" s="59"/>
      <c r="D39" s="59"/>
      <c r="E39" s="59"/>
      <c r="F39" s="59"/>
      <c r="G39" s="59"/>
      <c r="H39" s="59"/>
      <c r="I39" s="59"/>
      <c r="J39" s="59"/>
      <c r="K39" s="59"/>
      <c r="L39" s="59"/>
    </row>
    <row r="40" spans="1:12">
      <c r="A40" s="59"/>
      <c r="B40" s="59"/>
      <c r="C40" s="59"/>
      <c r="D40" s="59"/>
      <c r="E40" s="59"/>
      <c r="F40" s="59"/>
      <c r="G40" s="59"/>
      <c r="H40" s="59"/>
      <c r="I40" s="59"/>
      <c r="J40" s="59"/>
      <c r="K40" s="59"/>
      <c r="L40" s="59"/>
    </row>
    <row r="41" spans="1:12">
      <c r="A41" s="59"/>
      <c r="B41" s="59"/>
      <c r="C41" s="59"/>
      <c r="D41" s="59"/>
      <c r="E41" s="59"/>
      <c r="F41" s="59"/>
      <c r="G41" s="59"/>
      <c r="H41" s="59"/>
      <c r="I41" s="59"/>
      <c r="J41" s="59"/>
      <c r="K41" s="59"/>
      <c r="L41" s="59"/>
    </row>
    <row r="42" spans="1:12">
      <c r="A42" s="59"/>
      <c r="B42" s="59"/>
      <c r="C42" s="59"/>
      <c r="D42" s="59"/>
      <c r="E42" s="59"/>
      <c r="F42" s="59"/>
      <c r="G42" s="59"/>
      <c r="H42" s="59"/>
      <c r="I42" s="59"/>
      <c r="J42" s="59"/>
      <c r="K42" s="59"/>
      <c r="L42" s="59"/>
    </row>
    <row r="43" spans="1:12">
      <c r="A43" s="59"/>
      <c r="B43" s="59"/>
      <c r="C43" s="59"/>
      <c r="D43" s="59"/>
      <c r="E43" s="59"/>
      <c r="F43" s="59"/>
      <c r="G43" s="59"/>
      <c r="H43" s="59"/>
      <c r="I43" s="59"/>
      <c r="J43" s="59"/>
      <c r="K43" s="59"/>
      <c r="L43" s="59"/>
    </row>
    <row r="44" spans="1:12">
      <c r="A44" s="59"/>
      <c r="B44" s="59"/>
      <c r="C44" s="59"/>
      <c r="D44" s="59"/>
      <c r="E44" s="59"/>
      <c r="F44" s="59"/>
      <c r="G44" s="59"/>
      <c r="H44" s="59"/>
      <c r="I44" s="59"/>
      <c r="J44" s="59"/>
      <c r="K44" s="59"/>
      <c r="L44" s="59"/>
    </row>
    <row r="45" spans="1:12">
      <c r="A45" s="59"/>
      <c r="B45" s="59"/>
      <c r="C45" s="59"/>
      <c r="D45" s="59"/>
      <c r="E45" s="59"/>
      <c r="F45" s="59"/>
      <c r="G45" s="59"/>
      <c r="H45" s="59"/>
      <c r="I45" s="59"/>
      <c r="J45" s="59"/>
      <c r="K45" s="59"/>
      <c r="L45" s="59"/>
    </row>
    <row r="46" spans="1:12">
      <c r="A46" s="59"/>
      <c r="B46" s="59"/>
      <c r="C46" s="59"/>
      <c r="D46" s="59"/>
      <c r="E46" s="59"/>
      <c r="F46" s="59"/>
      <c r="G46" s="59"/>
      <c r="H46" s="59"/>
      <c r="I46" s="59"/>
      <c r="J46" s="59"/>
      <c r="K46" s="59"/>
      <c r="L46" s="59"/>
    </row>
    <row r="47" spans="1:12">
      <c r="A47" s="59"/>
      <c r="B47" s="59"/>
      <c r="C47" s="59"/>
      <c r="D47" s="59"/>
      <c r="E47" s="59"/>
      <c r="F47" s="59"/>
      <c r="G47" s="59"/>
      <c r="H47" s="59"/>
      <c r="I47" s="59"/>
      <c r="J47" s="59"/>
      <c r="K47" s="59"/>
      <c r="L47" s="59"/>
    </row>
    <row r="48" spans="1:12">
      <c r="A48" s="59"/>
      <c r="B48" s="59"/>
      <c r="C48" s="59"/>
      <c r="D48" s="59"/>
      <c r="E48" s="59"/>
      <c r="F48" s="59"/>
      <c r="G48" s="59"/>
      <c r="H48" s="59"/>
      <c r="I48" s="59"/>
      <c r="J48" s="59"/>
      <c r="K48" s="59"/>
      <c r="L48" s="59"/>
    </row>
    <row r="49" spans="1:12">
      <c r="A49" s="59"/>
      <c r="B49" s="59"/>
      <c r="C49" s="59"/>
      <c r="D49" s="59"/>
      <c r="E49" s="59"/>
      <c r="F49" s="59"/>
      <c r="G49" s="59"/>
      <c r="H49" s="59"/>
      <c r="I49" s="59"/>
      <c r="J49" s="59"/>
      <c r="K49" s="59"/>
      <c r="L49" s="59"/>
    </row>
    <row r="50" spans="1:12">
      <c r="A50" s="59"/>
      <c r="B50" s="59"/>
      <c r="C50" s="59"/>
      <c r="D50" s="59"/>
      <c r="E50" s="59"/>
      <c r="F50" s="59"/>
      <c r="G50" s="59"/>
      <c r="H50" s="59"/>
      <c r="I50" s="59"/>
      <c r="J50" s="59"/>
      <c r="K50" s="59"/>
      <c r="L50" s="59"/>
    </row>
    <row r="51" spans="1:12">
      <c r="A51" s="59"/>
      <c r="B51" s="59"/>
      <c r="C51" s="59"/>
      <c r="D51" s="59"/>
      <c r="E51" s="59"/>
      <c r="F51" s="59"/>
      <c r="G51" s="59"/>
      <c r="H51" s="59"/>
      <c r="I51" s="59"/>
      <c r="J51" s="59"/>
      <c r="K51" s="59"/>
      <c r="L51" s="59"/>
    </row>
    <row r="52" spans="1:12">
      <c r="A52" s="59"/>
      <c r="B52" s="59"/>
      <c r="C52" s="59"/>
      <c r="D52" s="59"/>
      <c r="E52" s="59"/>
      <c r="F52" s="59"/>
      <c r="G52" s="59"/>
      <c r="H52" s="59"/>
      <c r="I52" s="59"/>
      <c r="J52" s="59"/>
      <c r="K52" s="59"/>
      <c r="L52" s="59"/>
    </row>
    <row r="53" spans="1:12">
      <c r="A53" s="59"/>
      <c r="B53" s="59"/>
      <c r="C53" s="59"/>
      <c r="D53" s="59"/>
      <c r="E53" s="59"/>
      <c r="F53" s="59"/>
      <c r="G53" s="59"/>
      <c r="H53" s="59"/>
      <c r="I53" s="59"/>
      <c r="J53" s="59"/>
      <c r="K53" s="59"/>
      <c r="L53" s="59"/>
    </row>
    <row r="54" spans="1:12">
      <c r="A54" s="59"/>
      <c r="B54" s="59"/>
      <c r="C54" s="59"/>
      <c r="D54" s="59"/>
      <c r="E54" s="59"/>
      <c r="F54" s="59"/>
      <c r="G54" s="59"/>
      <c r="H54" s="59"/>
      <c r="I54" s="59"/>
      <c r="J54" s="59"/>
      <c r="K54" s="59"/>
      <c r="L54" s="59"/>
    </row>
    <row r="55" spans="1:12">
      <c r="A55" s="59"/>
      <c r="B55" s="59"/>
      <c r="C55" s="59"/>
      <c r="D55" s="59"/>
      <c r="E55" s="59"/>
      <c r="F55" s="59"/>
      <c r="G55" s="59"/>
      <c r="H55" s="59"/>
      <c r="I55" s="59"/>
      <c r="J55" s="59"/>
      <c r="K55" s="59"/>
      <c r="L55" s="59"/>
    </row>
    <row r="56" spans="1:12">
      <c r="A56" s="59"/>
      <c r="B56" s="59"/>
      <c r="C56" s="59"/>
      <c r="D56" s="59"/>
      <c r="E56" s="59"/>
      <c r="F56" s="59"/>
      <c r="G56" s="59"/>
      <c r="H56" s="59"/>
      <c r="I56" s="59"/>
      <c r="J56" s="59"/>
      <c r="K56" s="59"/>
      <c r="L56" s="59"/>
    </row>
    <row r="57" spans="1:12">
      <c r="A57" s="59"/>
      <c r="B57" s="59"/>
      <c r="C57" s="59"/>
      <c r="D57" s="59"/>
      <c r="E57" s="59"/>
      <c r="F57" s="59"/>
      <c r="G57" s="59"/>
      <c r="H57" s="59"/>
      <c r="I57" s="59"/>
      <c r="J57" s="59"/>
      <c r="K57" s="59"/>
      <c r="L57" s="59"/>
    </row>
    <row r="58" spans="1:12">
      <c r="A58" s="59"/>
      <c r="B58" s="59"/>
      <c r="C58" s="59"/>
      <c r="D58" s="59"/>
      <c r="E58" s="59"/>
      <c r="F58" s="59"/>
      <c r="G58" s="59"/>
      <c r="H58" s="59"/>
      <c r="I58" s="59"/>
      <c r="J58" s="59"/>
      <c r="K58" s="59"/>
      <c r="L58" s="59"/>
    </row>
    <row r="59" spans="1:12">
      <c r="A59" s="59"/>
      <c r="B59" s="59"/>
      <c r="C59" s="59"/>
      <c r="D59" s="59"/>
      <c r="E59" s="59"/>
      <c r="F59" s="59"/>
      <c r="G59" s="59"/>
      <c r="H59" s="59"/>
      <c r="I59" s="59"/>
      <c r="J59" s="59"/>
      <c r="K59" s="59"/>
      <c r="L59" s="59"/>
    </row>
    <row r="60" spans="1:12">
      <c r="A60" s="59"/>
      <c r="B60" s="59"/>
      <c r="C60" s="59"/>
      <c r="D60" s="59"/>
      <c r="E60" s="59"/>
      <c r="F60" s="59"/>
      <c r="G60" s="59"/>
      <c r="H60" s="59"/>
      <c r="I60" s="59"/>
      <c r="J60" s="59"/>
      <c r="K60" s="59"/>
      <c r="L60" s="59"/>
    </row>
    <row r="61" spans="1:12">
      <c r="A61" s="59"/>
      <c r="B61" s="59"/>
      <c r="C61" s="59"/>
      <c r="D61" s="59"/>
      <c r="E61" s="59"/>
      <c r="F61" s="59"/>
      <c r="G61" s="59"/>
      <c r="H61" s="59"/>
      <c r="I61" s="59"/>
      <c r="J61" s="59"/>
      <c r="K61" s="59"/>
      <c r="L61" s="59"/>
    </row>
    <row r="62" spans="1:12">
      <c r="A62" s="59"/>
      <c r="B62" s="59"/>
      <c r="C62" s="59"/>
      <c r="D62" s="59"/>
      <c r="E62" s="59"/>
      <c r="F62" s="59"/>
      <c r="G62" s="59"/>
      <c r="H62" s="59"/>
      <c r="I62" s="59"/>
      <c r="J62" s="59"/>
      <c r="K62" s="59"/>
      <c r="L62" s="59"/>
    </row>
    <row r="63" spans="1:12">
      <c r="A63" s="59"/>
      <c r="B63" s="59"/>
      <c r="C63" s="59"/>
      <c r="D63" s="59"/>
      <c r="E63" s="59"/>
      <c r="F63" s="59"/>
      <c r="G63" s="59"/>
      <c r="H63" s="59"/>
      <c r="I63" s="59"/>
      <c r="J63" s="59"/>
      <c r="K63" s="59"/>
      <c r="L63" s="59"/>
    </row>
    <row r="64" spans="1:12">
      <c r="A64" s="59"/>
      <c r="B64" s="59"/>
      <c r="C64" s="59"/>
      <c r="D64" s="59"/>
      <c r="E64" s="59"/>
      <c r="F64" s="59"/>
      <c r="G64" s="59"/>
      <c r="H64" s="59"/>
      <c r="I64" s="59"/>
      <c r="J64" s="59"/>
      <c r="K64" s="59"/>
      <c r="L64" s="59"/>
    </row>
    <row r="65" spans="1:12">
      <c r="A65" s="59"/>
      <c r="B65" s="59"/>
      <c r="C65" s="59"/>
      <c r="D65" s="59"/>
      <c r="E65" s="59"/>
      <c r="F65" s="59"/>
      <c r="G65" s="59"/>
      <c r="H65" s="59"/>
      <c r="I65" s="59"/>
      <c r="J65" s="59"/>
      <c r="K65" s="59"/>
      <c r="L65" s="59"/>
    </row>
    <row r="66" spans="1:12">
      <c r="A66" s="59"/>
      <c r="B66" s="59"/>
      <c r="C66" s="59"/>
      <c r="D66" s="59"/>
      <c r="E66" s="59"/>
      <c r="F66" s="59"/>
      <c r="G66" s="59"/>
      <c r="H66" s="59"/>
      <c r="I66" s="59"/>
      <c r="J66" s="59"/>
      <c r="K66" s="59"/>
      <c r="L66" s="59"/>
    </row>
    <row r="67" spans="1:12">
      <c r="A67" s="59"/>
      <c r="B67" s="59"/>
      <c r="C67" s="59"/>
      <c r="D67" s="59"/>
      <c r="E67" s="59"/>
      <c r="F67" s="59"/>
      <c r="G67" s="59"/>
      <c r="H67" s="59"/>
      <c r="I67" s="59"/>
      <c r="J67" s="59"/>
      <c r="K67" s="59"/>
      <c r="L67" s="59"/>
    </row>
    <row r="68" spans="1:12">
      <c r="A68" s="59"/>
      <c r="B68" s="59"/>
      <c r="C68" s="59"/>
      <c r="D68" s="59"/>
      <c r="E68" s="59"/>
      <c r="F68" s="59"/>
      <c r="G68" s="59"/>
      <c r="H68" s="59"/>
      <c r="I68" s="59"/>
      <c r="J68" s="59"/>
      <c r="K68" s="59"/>
      <c r="L68" s="59"/>
    </row>
    <row r="69" spans="1:12">
      <c r="A69" s="59"/>
      <c r="B69" s="59"/>
      <c r="C69" s="59"/>
      <c r="D69" s="59"/>
      <c r="E69" s="59"/>
      <c r="F69" s="59"/>
      <c r="G69" s="59"/>
      <c r="H69" s="59"/>
      <c r="I69" s="59"/>
      <c r="J69" s="59"/>
      <c r="K69" s="59"/>
      <c r="L69" s="59"/>
    </row>
    <row r="70" spans="1:12">
      <c r="A70" s="59"/>
      <c r="B70" s="59"/>
      <c r="C70" s="59"/>
      <c r="D70" s="59"/>
      <c r="E70" s="59"/>
      <c r="F70" s="59"/>
      <c r="G70" s="59"/>
      <c r="H70" s="59"/>
      <c r="I70" s="59"/>
      <c r="J70" s="59"/>
      <c r="K70" s="59"/>
      <c r="L70" s="59"/>
    </row>
    <row r="71" spans="1:12">
      <c r="A71" s="59"/>
      <c r="B71" s="59"/>
      <c r="C71" s="59"/>
      <c r="D71" s="59"/>
      <c r="E71" s="59"/>
      <c r="F71" s="59"/>
      <c r="G71" s="59"/>
      <c r="H71" s="59"/>
      <c r="I71" s="59"/>
      <c r="J71" s="59"/>
      <c r="K71" s="59"/>
      <c r="L71" s="59"/>
    </row>
    <row r="72" spans="1:12">
      <c r="A72" s="59"/>
      <c r="B72" s="59"/>
      <c r="C72" s="59"/>
      <c r="D72" s="59"/>
      <c r="E72" s="59"/>
      <c r="F72" s="59"/>
      <c r="G72" s="59"/>
      <c r="H72" s="59"/>
      <c r="I72" s="59"/>
      <c r="J72" s="59"/>
      <c r="K72" s="59"/>
      <c r="L72" s="59"/>
    </row>
    <row r="73" spans="1:12">
      <c r="A73" s="59"/>
      <c r="B73" s="59"/>
      <c r="C73" s="59"/>
      <c r="D73" s="59"/>
      <c r="E73" s="59"/>
      <c r="F73" s="59"/>
      <c r="G73" s="59"/>
      <c r="H73" s="59"/>
      <c r="I73" s="59"/>
      <c r="J73" s="59"/>
      <c r="K73" s="59"/>
      <c r="L73" s="59"/>
    </row>
    <row r="74" spans="1:12">
      <c r="A74" s="59"/>
      <c r="B74" s="59"/>
      <c r="C74" s="59"/>
      <c r="D74" s="59"/>
      <c r="E74" s="59"/>
      <c r="F74" s="59"/>
      <c r="G74" s="59"/>
      <c r="H74" s="59"/>
      <c r="I74" s="59"/>
      <c r="J74" s="59"/>
      <c r="K74" s="59"/>
      <c r="L74" s="59"/>
    </row>
    <row r="75" spans="1:12">
      <c r="A75" s="59"/>
      <c r="B75" s="59"/>
      <c r="C75" s="59"/>
      <c r="D75" s="59"/>
      <c r="E75" s="59"/>
      <c r="F75" s="59"/>
      <c r="G75" s="59"/>
      <c r="H75" s="59"/>
      <c r="I75" s="59"/>
      <c r="J75" s="59"/>
      <c r="K75" s="59"/>
      <c r="L75" s="59"/>
    </row>
    <row r="76" spans="1:12">
      <c r="A76" s="59"/>
      <c r="B76" s="59"/>
      <c r="C76" s="59"/>
      <c r="D76" s="59"/>
      <c r="E76" s="59"/>
      <c r="F76" s="59"/>
      <c r="G76" s="59"/>
      <c r="H76" s="59"/>
      <c r="I76" s="59"/>
      <c r="J76" s="59"/>
      <c r="K76" s="59"/>
      <c r="L76" s="59"/>
    </row>
    <row r="77" spans="1:12">
      <c r="A77" s="59"/>
      <c r="B77" s="59"/>
      <c r="C77" s="59"/>
      <c r="D77" s="59"/>
      <c r="E77" s="59"/>
      <c r="F77" s="59"/>
      <c r="G77" s="59"/>
      <c r="H77" s="59"/>
      <c r="I77" s="59"/>
      <c r="J77" s="59"/>
      <c r="K77" s="59"/>
      <c r="L77" s="59"/>
    </row>
    <row r="78" spans="1:12">
      <c r="A78" s="59"/>
      <c r="B78" s="59"/>
      <c r="C78" s="59"/>
      <c r="D78" s="59"/>
      <c r="E78" s="59"/>
      <c r="F78" s="59"/>
      <c r="G78" s="59"/>
      <c r="H78" s="59"/>
      <c r="I78" s="59"/>
      <c r="J78" s="59"/>
      <c r="K78" s="59"/>
      <c r="L78" s="59"/>
    </row>
    <row r="79" spans="1:12">
      <c r="A79" s="59"/>
      <c r="B79" s="59"/>
      <c r="C79" s="59"/>
      <c r="D79" s="59"/>
      <c r="E79" s="59"/>
      <c r="F79" s="59"/>
      <c r="G79" s="59"/>
      <c r="H79" s="59"/>
      <c r="I79" s="59"/>
      <c r="J79" s="59"/>
      <c r="K79" s="59"/>
      <c r="L79" s="59"/>
    </row>
    <row r="80" spans="1:12">
      <c r="A80" s="59"/>
      <c r="B80" s="59"/>
      <c r="C80" s="59"/>
      <c r="D80" s="59"/>
      <c r="E80" s="59"/>
      <c r="F80" s="59"/>
      <c r="G80" s="59"/>
      <c r="H80" s="59"/>
      <c r="I80" s="59"/>
      <c r="J80" s="59"/>
      <c r="K80" s="59"/>
      <c r="L80" s="59"/>
    </row>
    <row r="81" spans="1:12">
      <c r="A81" s="59"/>
      <c r="B81" s="59"/>
      <c r="C81" s="59"/>
      <c r="D81" s="59"/>
      <c r="E81" s="59"/>
      <c r="F81" s="59"/>
      <c r="G81" s="59"/>
      <c r="H81" s="59"/>
      <c r="I81" s="59"/>
      <c r="J81" s="59"/>
      <c r="K81" s="59"/>
      <c r="L81" s="59"/>
    </row>
    <row r="82" spans="1:12">
      <c r="A82" s="59"/>
      <c r="B82" s="59"/>
      <c r="C82" s="59"/>
      <c r="D82" s="59"/>
      <c r="E82" s="59"/>
      <c r="F82" s="59"/>
      <c r="G82" s="59"/>
      <c r="H82" s="59"/>
      <c r="I82" s="59"/>
      <c r="J82" s="59"/>
      <c r="K82" s="59"/>
      <c r="L82" s="59"/>
    </row>
    <row r="83" spans="1:12">
      <c r="A83" s="59"/>
      <c r="B83" s="59"/>
      <c r="C83" s="59"/>
      <c r="D83" s="59"/>
      <c r="E83" s="59"/>
      <c r="F83" s="59"/>
      <c r="G83" s="59"/>
      <c r="H83" s="59"/>
      <c r="I83" s="59"/>
      <c r="J83" s="59"/>
      <c r="K83" s="59"/>
      <c r="L83" s="59"/>
    </row>
    <row r="84" spans="1:12">
      <c r="A84" s="59"/>
      <c r="B84" s="59"/>
      <c r="C84" s="59"/>
      <c r="D84" s="59"/>
      <c r="E84" s="59"/>
      <c r="F84" s="59"/>
      <c r="G84" s="59"/>
      <c r="H84" s="59"/>
      <c r="I84" s="59"/>
      <c r="J84" s="59"/>
      <c r="K84" s="59"/>
      <c r="L84" s="59"/>
    </row>
    <row r="85" spans="1:12">
      <c r="A85" s="59"/>
      <c r="B85" s="59"/>
      <c r="C85" s="59"/>
      <c r="D85" s="59"/>
      <c r="E85" s="59"/>
      <c r="F85" s="59"/>
      <c r="G85" s="59"/>
      <c r="H85" s="59"/>
      <c r="I85" s="59"/>
      <c r="J85" s="59"/>
      <c r="K85" s="59"/>
      <c r="L85" s="59"/>
    </row>
    <row r="86" spans="1:12">
      <c r="A86" s="59"/>
      <c r="B86" s="59"/>
      <c r="C86" s="59"/>
      <c r="D86" s="59"/>
      <c r="E86" s="59"/>
      <c r="F86" s="59"/>
      <c r="G86" s="59"/>
      <c r="H86" s="59"/>
      <c r="I86" s="59"/>
      <c r="J86" s="59"/>
      <c r="K86" s="59"/>
      <c r="L86" s="59"/>
    </row>
    <row r="87" spans="1:12">
      <c r="A87" s="59"/>
      <c r="B87" s="59"/>
      <c r="C87" s="59"/>
      <c r="D87" s="59"/>
      <c r="E87" s="59"/>
      <c r="F87" s="59"/>
      <c r="G87" s="59"/>
      <c r="H87" s="59"/>
      <c r="I87" s="59"/>
      <c r="J87" s="59"/>
      <c r="K87" s="59"/>
      <c r="L87" s="59"/>
    </row>
    <row r="88" spans="1:12">
      <c r="A88" s="59"/>
      <c r="B88" s="59"/>
      <c r="C88" s="59"/>
      <c r="D88" s="59"/>
      <c r="E88" s="59"/>
      <c r="F88" s="59"/>
      <c r="G88" s="59"/>
      <c r="H88" s="59"/>
      <c r="I88" s="59"/>
      <c r="J88" s="59"/>
      <c r="K88" s="59"/>
      <c r="L88" s="59"/>
    </row>
    <row r="89" spans="1:12">
      <c r="A89" s="59"/>
      <c r="B89" s="59"/>
      <c r="C89" s="59"/>
      <c r="D89" s="59"/>
      <c r="E89" s="59"/>
      <c r="F89" s="59"/>
      <c r="G89" s="59"/>
      <c r="H89" s="59"/>
      <c r="I89" s="59"/>
      <c r="J89" s="59"/>
      <c r="K89" s="59"/>
      <c r="L89" s="59"/>
    </row>
    <row r="90" spans="1:12">
      <c r="A90" s="59"/>
      <c r="B90" s="59"/>
      <c r="C90" s="59"/>
      <c r="D90" s="59"/>
      <c r="E90" s="59"/>
      <c r="F90" s="59"/>
      <c r="G90" s="59"/>
      <c r="H90" s="59"/>
      <c r="I90" s="59"/>
      <c r="J90" s="59"/>
      <c r="K90" s="59"/>
      <c r="L90" s="59"/>
    </row>
    <row r="91" spans="1:12">
      <c r="A91" s="59"/>
      <c r="B91" s="59"/>
      <c r="C91" s="59"/>
      <c r="D91" s="59"/>
      <c r="E91" s="59"/>
      <c r="F91" s="59"/>
      <c r="G91" s="59"/>
      <c r="H91" s="59"/>
      <c r="I91" s="59"/>
      <c r="J91" s="59"/>
      <c r="K91" s="59"/>
      <c r="L91" s="59"/>
    </row>
    <row r="92" spans="1:12">
      <c r="A92" s="59"/>
      <c r="B92" s="59"/>
      <c r="C92" s="59"/>
      <c r="D92" s="59"/>
      <c r="E92" s="59"/>
      <c r="F92" s="59"/>
      <c r="G92" s="59"/>
      <c r="H92" s="59"/>
      <c r="I92" s="59"/>
      <c r="J92" s="59"/>
      <c r="K92" s="59"/>
      <c r="L92" s="59"/>
    </row>
    <row r="93" spans="1:12">
      <c r="A93" s="59"/>
      <c r="B93" s="59"/>
      <c r="C93" s="59"/>
      <c r="D93" s="59"/>
      <c r="E93" s="59"/>
      <c r="F93" s="59"/>
      <c r="G93" s="59"/>
      <c r="H93" s="59"/>
      <c r="I93" s="59"/>
      <c r="J93" s="59"/>
      <c r="K93" s="59"/>
      <c r="L93" s="59"/>
    </row>
    <row r="94" spans="1:12">
      <c r="A94" s="59"/>
      <c r="B94" s="59"/>
      <c r="C94" s="59"/>
      <c r="D94" s="59"/>
      <c r="E94" s="59"/>
      <c r="F94" s="59"/>
      <c r="G94" s="59"/>
      <c r="H94" s="59"/>
      <c r="I94" s="59"/>
      <c r="J94" s="59"/>
      <c r="K94" s="59"/>
      <c r="L94" s="59"/>
    </row>
    <row r="95" spans="1:12">
      <c r="A95" s="59"/>
      <c r="B95" s="59"/>
      <c r="C95" s="59"/>
      <c r="D95" s="59"/>
      <c r="E95" s="59"/>
      <c r="F95" s="59"/>
      <c r="G95" s="59"/>
      <c r="H95" s="59"/>
      <c r="I95" s="59"/>
      <c r="J95" s="59"/>
      <c r="K95" s="59"/>
      <c r="L95" s="59"/>
    </row>
    <row r="96" spans="1:12">
      <c r="A96" s="59"/>
      <c r="B96" s="59"/>
      <c r="C96" s="59"/>
      <c r="D96" s="59"/>
      <c r="E96" s="59"/>
      <c r="F96" s="59"/>
      <c r="G96" s="59"/>
      <c r="H96" s="59"/>
      <c r="I96" s="59"/>
      <c r="J96" s="59"/>
      <c r="K96" s="59"/>
      <c r="L96" s="59"/>
    </row>
    <row r="97" spans="1:12">
      <c r="A97" s="59"/>
      <c r="B97" s="59"/>
      <c r="C97" s="59"/>
      <c r="D97" s="59"/>
      <c r="E97" s="59"/>
      <c r="F97" s="59"/>
      <c r="G97" s="59"/>
      <c r="H97" s="59"/>
      <c r="I97" s="59"/>
      <c r="J97" s="59"/>
      <c r="K97" s="59"/>
      <c r="L97" s="59"/>
    </row>
    <row r="98" spans="1:12">
      <c r="A98" s="59"/>
      <c r="B98" s="59"/>
      <c r="C98" s="59"/>
      <c r="D98" s="59"/>
      <c r="E98" s="59"/>
      <c r="F98" s="59"/>
      <c r="G98" s="59"/>
      <c r="H98" s="59"/>
      <c r="I98" s="59"/>
      <c r="J98" s="59"/>
      <c r="K98" s="59"/>
      <c r="L98" s="59"/>
    </row>
    <row r="99" spans="1:12">
      <c r="A99" s="59"/>
      <c r="B99" s="59"/>
      <c r="C99" s="59"/>
      <c r="D99" s="59"/>
      <c r="E99" s="59"/>
      <c r="F99" s="59"/>
      <c r="G99" s="59"/>
      <c r="H99" s="59"/>
      <c r="I99" s="59"/>
      <c r="J99" s="59"/>
      <c r="K99" s="59"/>
      <c r="L99" s="59"/>
    </row>
    <row r="100" spans="1:12">
      <c r="A100" s="59"/>
      <c r="B100" s="59"/>
      <c r="C100" s="59"/>
      <c r="D100" s="59"/>
      <c r="E100" s="59"/>
      <c r="F100" s="59"/>
      <c r="G100" s="59"/>
      <c r="H100" s="59"/>
      <c r="I100" s="59"/>
      <c r="J100" s="59"/>
      <c r="K100" s="59"/>
      <c r="L100" s="59"/>
    </row>
    <row r="101" spans="1:12">
      <c r="A101" s="59"/>
      <c r="B101" s="59"/>
      <c r="C101" s="59"/>
      <c r="D101" s="59"/>
      <c r="E101" s="59"/>
      <c r="F101" s="59"/>
      <c r="G101" s="59"/>
      <c r="H101" s="59"/>
      <c r="I101" s="59"/>
      <c r="J101" s="59"/>
      <c r="K101" s="59"/>
      <c r="L101" s="59"/>
    </row>
    <row r="102" spans="1:12">
      <c r="A102" s="59"/>
      <c r="B102" s="59"/>
      <c r="C102" s="59"/>
      <c r="D102" s="59"/>
      <c r="E102" s="59"/>
      <c r="F102" s="59"/>
      <c r="G102" s="59"/>
      <c r="H102" s="59"/>
      <c r="I102" s="59"/>
      <c r="J102" s="59"/>
      <c r="K102" s="59"/>
      <c r="L102" s="59"/>
    </row>
    <row r="103" spans="1:12">
      <c r="A103" s="59"/>
      <c r="B103" s="59"/>
      <c r="C103" s="59"/>
      <c r="D103" s="59"/>
      <c r="E103" s="59"/>
      <c r="F103" s="59"/>
      <c r="G103" s="59"/>
      <c r="H103" s="59"/>
      <c r="I103" s="59"/>
      <c r="J103" s="59"/>
      <c r="K103" s="59"/>
      <c r="L103" s="59"/>
    </row>
    <row r="104" spans="1:12">
      <c r="A104" s="59"/>
      <c r="B104" s="59"/>
      <c r="C104" s="59"/>
      <c r="D104" s="59"/>
      <c r="E104" s="59"/>
      <c r="F104" s="59"/>
      <c r="G104" s="59"/>
      <c r="H104" s="59"/>
      <c r="I104" s="59"/>
      <c r="J104" s="59"/>
      <c r="K104" s="59"/>
      <c r="L104" s="59"/>
    </row>
    <row r="105" spans="1:12">
      <c r="A105" s="59"/>
      <c r="B105" s="59"/>
      <c r="C105" s="59"/>
      <c r="D105" s="59"/>
      <c r="E105" s="59"/>
      <c r="F105" s="59"/>
      <c r="G105" s="59"/>
      <c r="H105" s="59"/>
      <c r="I105" s="59"/>
      <c r="J105" s="59"/>
      <c r="K105" s="59"/>
      <c r="L105" s="59"/>
    </row>
    <row r="106" spans="1:12">
      <c r="A106" s="59"/>
      <c r="B106" s="59"/>
      <c r="C106" s="59"/>
      <c r="D106" s="59"/>
      <c r="E106" s="59"/>
      <c r="F106" s="59"/>
      <c r="G106" s="59"/>
      <c r="H106" s="59"/>
      <c r="I106" s="59"/>
      <c r="J106" s="59"/>
      <c r="K106" s="59"/>
      <c r="L106" s="59"/>
    </row>
    <row r="107" spans="1:12">
      <c r="A107" s="59"/>
      <c r="B107" s="59"/>
      <c r="C107" s="59"/>
      <c r="D107" s="59"/>
      <c r="E107" s="59"/>
      <c r="F107" s="59"/>
      <c r="G107" s="59"/>
      <c r="H107" s="59"/>
      <c r="I107" s="59"/>
      <c r="J107" s="59"/>
      <c r="K107" s="59"/>
      <c r="L107" s="59"/>
    </row>
    <row r="108" spans="1:12">
      <c r="A108" s="59"/>
      <c r="B108" s="59"/>
      <c r="C108" s="59"/>
      <c r="D108" s="59"/>
      <c r="E108" s="59"/>
      <c r="F108" s="59"/>
      <c r="G108" s="59"/>
      <c r="H108" s="59"/>
      <c r="I108" s="59"/>
      <c r="J108" s="59"/>
      <c r="K108" s="59"/>
      <c r="L108" s="59"/>
    </row>
    <row r="109" spans="1:12">
      <c r="A109" s="59"/>
      <c r="B109" s="59"/>
      <c r="C109" s="59"/>
      <c r="D109" s="59"/>
      <c r="E109" s="59"/>
      <c r="F109" s="59"/>
      <c r="G109" s="59"/>
      <c r="H109" s="59"/>
      <c r="I109" s="59"/>
      <c r="J109" s="59"/>
      <c r="K109" s="59"/>
      <c r="L109" s="59"/>
    </row>
    <row r="110" spans="1:12">
      <c r="A110" s="59"/>
      <c r="B110" s="59"/>
      <c r="C110" s="59"/>
      <c r="D110" s="59"/>
      <c r="E110" s="59"/>
      <c r="F110" s="59"/>
      <c r="G110" s="59"/>
      <c r="H110" s="59"/>
      <c r="I110" s="59"/>
      <c r="J110" s="59"/>
      <c r="K110" s="59"/>
      <c r="L110" s="59"/>
    </row>
    <row r="111" spans="1:12">
      <c r="A111" s="59"/>
      <c r="B111" s="59"/>
      <c r="C111" s="59"/>
      <c r="D111" s="59"/>
      <c r="E111" s="59"/>
      <c r="F111" s="59"/>
      <c r="G111" s="59"/>
      <c r="H111" s="59"/>
      <c r="I111" s="59"/>
      <c r="J111" s="59"/>
      <c r="K111" s="59"/>
      <c r="L111" s="59"/>
    </row>
    <row r="112" spans="1:12">
      <c r="A112" s="59"/>
      <c r="B112" s="59"/>
      <c r="C112" s="59"/>
      <c r="D112" s="59"/>
      <c r="E112" s="59"/>
      <c r="F112" s="59"/>
      <c r="G112" s="59"/>
      <c r="H112" s="59"/>
      <c r="I112" s="59"/>
      <c r="J112" s="59"/>
      <c r="K112" s="59"/>
      <c r="L112" s="59"/>
    </row>
    <row r="113" spans="1:12">
      <c r="A113" s="59"/>
      <c r="B113" s="59"/>
      <c r="C113" s="59"/>
      <c r="D113" s="59"/>
      <c r="E113" s="59"/>
      <c r="F113" s="59"/>
      <c r="G113" s="59"/>
      <c r="H113" s="59"/>
      <c r="I113" s="59"/>
      <c r="J113" s="59"/>
      <c r="K113" s="59"/>
      <c r="L113" s="59"/>
    </row>
    <row r="114" spans="1:12">
      <c r="A114" s="59"/>
      <c r="B114" s="59"/>
      <c r="C114" s="59"/>
      <c r="D114" s="59"/>
      <c r="E114" s="59"/>
      <c r="F114" s="59"/>
      <c r="G114" s="59"/>
      <c r="H114" s="59"/>
      <c r="I114" s="59"/>
      <c r="J114" s="59"/>
      <c r="K114" s="59"/>
      <c r="L114" s="59"/>
    </row>
    <row r="115" spans="1:12">
      <c r="A115" s="59"/>
      <c r="B115" s="59"/>
      <c r="C115" s="59"/>
      <c r="D115" s="59"/>
      <c r="E115" s="59"/>
      <c r="F115" s="59"/>
      <c r="G115" s="59"/>
      <c r="H115" s="59"/>
      <c r="I115" s="59"/>
      <c r="J115" s="59"/>
      <c r="K115" s="59"/>
      <c r="L115" s="59"/>
    </row>
    <row r="116" spans="1:12">
      <c r="A116" s="59"/>
      <c r="B116" s="59"/>
      <c r="C116" s="59"/>
      <c r="D116" s="59"/>
      <c r="E116" s="59"/>
      <c r="F116" s="59"/>
      <c r="G116" s="59"/>
      <c r="H116" s="59"/>
      <c r="I116" s="59"/>
      <c r="J116" s="59"/>
      <c r="K116" s="59"/>
      <c r="L116" s="59"/>
    </row>
    <row r="117" spans="1:12">
      <c r="A117" s="59"/>
      <c r="B117" s="59"/>
      <c r="C117" s="59"/>
      <c r="D117" s="59"/>
      <c r="E117" s="59"/>
      <c r="F117" s="59"/>
      <c r="G117" s="59"/>
      <c r="H117" s="59"/>
      <c r="I117" s="59"/>
      <c r="J117" s="59"/>
      <c r="K117" s="59"/>
      <c r="L117" s="59"/>
    </row>
    <row r="118" spans="1:12">
      <c r="A118" s="59"/>
      <c r="B118" s="59"/>
      <c r="C118" s="59"/>
      <c r="D118" s="59"/>
      <c r="E118" s="59"/>
      <c r="F118" s="59"/>
      <c r="G118" s="59"/>
      <c r="H118" s="59"/>
      <c r="I118" s="59"/>
      <c r="J118" s="59"/>
      <c r="K118" s="59"/>
      <c r="L118" s="59"/>
    </row>
    <row r="119" spans="1:12">
      <c r="A119" s="59"/>
      <c r="B119" s="59"/>
      <c r="C119" s="59"/>
      <c r="D119" s="59"/>
      <c r="E119" s="59"/>
      <c r="F119" s="59"/>
      <c r="G119" s="59"/>
      <c r="H119" s="59"/>
      <c r="I119" s="59"/>
      <c r="J119" s="59"/>
      <c r="K119" s="59"/>
      <c r="L119" s="59"/>
    </row>
    <row r="120" spans="1:12">
      <c r="A120" s="59"/>
      <c r="B120" s="59"/>
      <c r="C120" s="59"/>
      <c r="D120" s="59"/>
      <c r="E120" s="59"/>
      <c r="F120" s="59"/>
      <c r="G120" s="59"/>
      <c r="H120" s="59"/>
      <c r="I120" s="59"/>
      <c r="J120" s="59"/>
      <c r="K120" s="59"/>
      <c r="L120" s="59"/>
    </row>
    <row r="121" spans="1:12">
      <c r="A121" s="59"/>
      <c r="B121" s="59"/>
      <c r="C121" s="59"/>
      <c r="D121" s="59"/>
      <c r="E121" s="59"/>
      <c r="F121" s="59"/>
      <c r="G121" s="59"/>
      <c r="H121" s="59"/>
      <c r="I121" s="59"/>
      <c r="J121" s="59"/>
      <c r="K121" s="59"/>
      <c r="L121" s="59"/>
    </row>
    <row r="122" spans="1:12">
      <c r="A122" s="59"/>
      <c r="B122" s="59"/>
      <c r="C122" s="59"/>
      <c r="D122" s="59"/>
      <c r="E122" s="59"/>
      <c r="F122" s="59"/>
      <c r="G122" s="59"/>
      <c r="H122" s="59"/>
      <c r="I122" s="59"/>
      <c r="J122" s="59"/>
      <c r="K122" s="59"/>
      <c r="L122" s="59"/>
    </row>
    <row r="123" spans="1:12">
      <c r="A123" s="59"/>
      <c r="B123" s="59"/>
      <c r="C123" s="59"/>
      <c r="D123" s="59"/>
      <c r="E123" s="59"/>
      <c r="F123" s="59"/>
      <c r="G123" s="59"/>
      <c r="H123" s="59"/>
      <c r="I123" s="59"/>
      <c r="J123" s="59"/>
      <c r="K123" s="59"/>
      <c r="L123" s="59"/>
    </row>
    <row r="124" spans="1:12">
      <c r="A124" s="59"/>
      <c r="B124" s="59"/>
      <c r="C124" s="59"/>
      <c r="D124" s="59"/>
      <c r="E124" s="59"/>
      <c r="F124" s="59"/>
      <c r="G124" s="59"/>
      <c r="H124" s="59"/>
      <c r="I124" s="59"/>
      <c r="J124" s="59"/>
      <c r="K124" s="59"/>
      <c r="L124" s="59"/>
    </row>
    <row r="125" spans="1:12">
      <c r="A125" s="59"/>
      <c r="B125" s="59"/>
      <c r="C125" s="59"/>
      <c r="D125" s="59"/>
      <c r="E125" s="59"/>
      <c r="F125" s="59"/>
      <c r="G125" s="59"/>
      <c r="H125" s="59"/>
      <c r="I125" s="59"/>
      <c r="J125" s="59"/>
      <c r="K125" s="59"/>
      <c r="L125" s="59"/>
    </row>
    <row r="126" spans="1:12">
      <c r="A126" s="59"/>
      <c r="B126" s="59"/>
      <c r="C126" s="59"/>
      <c r="D126" s="59"/>
      <c r="E126" s="59"/>
      <c r="F126" s="59"/>
      <c r="G126" s="59"/>
      <c r="H126" s="59"/>
      <c r="I126" s="59"/>
      <c r="J126" s="59"/>
      <c r="K126" s="59"/>
      <c r="L126" s="59"/>
    </row>
    <row r="127" spans="1:12">
      <c r="A127" s="59"/>
      <c r="B127" s="59"/>
      <c r="C127" s="59"/>
      <c r="D127" s="59"/>
      <c r="E127" s="59"/>
      <c r="F127" s="59"/>
      <c r="G127" s="59"/>
      <c r="H127" s="59"/>
      <c r="I127" s="59"/>
      <c r="J127" s="59"/>
      <c r="K127" s="59"/>
      <c r="L127" s="59"/>
    </row>
    <row r="128" spans="1:12">
      <c r="A128" s="59"/>
      <c r="B128" s="59"/>
      <c r="C128" s="59"/>
      <c r="D128" s="59"/>
      <c r="E128" s="59"/>
      <c r="F128" s="59"/>
      <c r="G128" s="59"/>
      <c r="H128" s="59"/>
      <c r="I128" s="59"/>
      <c r="J128" s="59"/>
      <c r="K128" s="59"/>
      <c r="L128" s="59"/>
    </row>
    <row r="129" spans="1:12">
      <c r="A129" s="59"/>
      <c r="B129" s="59"/>
      <c r="C129" s="59"/>
      <c r="D129" s="59"/>
      <c r="E129" s="59"/>
      <c r="F129" s="59"/>
      <c r="G129" s="59"/>
      <c r="H129" s="59"/>
      <c r="I129" s="59"/>
      <c r="J129" s="59"/>
      <c r="K129" s="59"/>
      <c r="L129" s="59"/>
    </row>
    <row r="130" spans="1:12">
      <c r="A130" s="59"/>
      <c r="B130" s="59"/>
      <c r="C130" s="59"/>
      <c r="D130" s="59"/>
      <c r="E130" s="59"/>
      <c r="F130" s="59"/>
      <c r="G130" s="59"/>
      <c r="H130" s="59"/>
      <c r="I130" s="59"/>
      <c r="J130" s="59"/>
      <c r="K130" s="59"/>
      <c r="L130" s="59"/>
    </row>
    <row r="131" spans="1:12">
      <c r="A131" s="59"/>
      <c r="B131" s="59"/>
      <c r="C131" s="59"/>
      <c r="D131" s="59"/>
      <c r="E131" s="59"/>
      <c r="F131" s="59"/>
      <c r="G131" s="59"/>
      <c r="H131" s="59"/>
      <c r="I131" s="59"/>
      <c r="J131" s="59"/>
      <c r="K131" s="59"/>
      <c r="L131" s="59"/>
    </row>
    <row r="132" spans="1:12">
      <c r="A132" s="59"/>
      <c r="B132" s="59"/>
      <c r="C132" s="59"/>
      <c r="D132" s="59"/>
      <c r="E132" s="59"/>
      <c r="F132" s="59"/>
      <c r="G132" s="59"/>
      <c r="H132" s="59"/>
      <c r="I132" s="59"/>
      <c r="J132" s="59"/>
      <c r="K132" s="59"/>
      <c r="L132" s="59"/>
    </row>
    <row r="133" spans="1:12">
      <c r="A133" s="59"/>
      <c r="B133" s="59"/>
      <c r="C133" s="59"/>
      <c r="D133" s="59"/>
      <c r="E133" s="59"/>
      <c r="F133" s="59"/>
      <c r="G133" s="59"/>
      <c r="H133" s="59"/>
      <c r="I133" s="59"/>
      <c r="J133" s="59"/>
      <c r="K133" s="59"/>
      <c r="L133" s="59"/>
    </row>
    <row r="134" spans="1:12">
      <c r="A134" s="59"/>
      <c r="B134" s="59"/>
      <c r="C134" s="59"/>
      <c r="D134" s="59"/>
      <c r="E134" s="59"/>
      <c r="F134" s="59"/>
      <c r="G134" s="59"/>
      <c r="H134" s="59"/>
      <c r="I134" s="59"/>
      <c r="J134" s="59"/>
      <c r="K134" s="59"/>
      <c r="L134" s="59"/>
    </row>
    <row r="135" spans="1:12">
      <c r="A135" s="59"/>
      <c r="B135" s="59"/>
      <c r="C135" s="59"/>
      <c r="D135" s="59"/>
      <c r="E135" s="59"/>
      <c r="F135" s="59"/>
      <c r="G135" s="59"/>
      <c r="H135" s="59"/>
      <c r="I135" s="59"/>
      <c r="J135" s="59"/>
      <c r="K135" s="59"/>
      <c r="L135" s="59"/>
    </row>
    <row r="136" spans="1:12">
      <c r="A136" s="59"/>
      <c r="B136" s="59"/>
      <c r="C136" s="59"/>
      <c r="D136" s="59"/>
      <c r="E136" s="59"/>
      <c r="F136" s="59"/>
      <c r="G136" s="59"/>
      <c r="H136" s="59"/>
      <c r="I136" s="59"/>
      <c r="J136" s="59"/>
      <c r="K136" s="59"/>
      <c r="L136" s="59"/>
    </row>
    <row r="137" spans="1:12">
      <c r="A137" s="59"/>
      <c r="B137" s="59"/>
      <c r="C137" s="59"/>
      <c r="D137" s="59"/>
      <c r="E137" s="59"/>
      <c r="F137" s="59"/>
      <c r="G137" s="59"/>
      <c r="H137" s="59"/>
      <c r="I137" s="59"/>
      <c r="J137" s="59"/>
      <c r="K137" s="59"/>
      <c r="L137" s="59"/>
    </row>
    <row r="138" spans="1:12">
      <c r="A138" s="59"/>
      <c r="B138" s="59"/>
      <c r="C138" s="59"/>
      <c r="D138" s="59"/>
      <c r="E138" s="59"/>
      <c r="F138" s="59"/>
      <c r="G138" s="59"/>
      <c r="H138" s="59"/>
      <c r="I138" s="59"/>
      <c r="J138" s="59"/>
      <c r="K138" s="59"/>
      <c r="L138" s="59"/>
    </row>
    <row r="139" spans="1:12">
      <c r="A139" s="59"/>
      <c r="B139" s="59"/>
      <c r="C139" s="59"/>
      <c r="D139" s="59"/>
      <c r="E139" s="59"/>
      <c r="F139" s="59"/>
      <c r="G139" s="59"/>
      <c r="H139" s="59"/>
      <c r="I139" s="59"/>
      <c r="J139" s="59"/>
      <c r="K139" s="59"/>
      <c r="L139" s="59"/>
    </row>
    <row r="140" spans="1:12">
      <c r="A140" s="59"/>
      <c r="B140" s="59"/>
      <c r="C140" s="59"/>
      <c r="D140" s="59"/>
      <c r="E140" s="59"/>
      <c r="F140" s="59"/>
      <c r="G140" s="59"/>
      <c r="H140" s="59"/>
      <c r="I140" s="59"/>
      <c r="J140" s="59"/>
      <c r="K140" s="59"/>
      <c r="L140" s="59"/>
    </row>
    <row r="141" spans="1:12">
      <c r="A141" s="59"/>
      <c r="B141" s="59"/>
      <c r="C141" s="59"/>
      <c r="D141" s="59"/>
      <c r="E141" s="59"/>
      <c r="F141" s="59"/>
      <c r="G141" s="59"/>
      <c r="H141" s="59"/>
      <c r="I141" s="59"/>
      <c r="J141" s="59"/>
      <c r="K141" s="59"/>
      <c r="L141" s="59"/>
    </row>
    <row r="142" spans="1:12">
      <c r="A142" s="59"/>
      <c r="B142" s="59"/>
      <c r="C142" s="59"/>
      <c r="D142" s="59"/>
      <c r="E142" s="59"/>
      <c r="F142" s="59"/>
      <c r="G142" s="59"/>
      <c r="H142" s="59"/>
      <c r="I142" s="59"/>
      <c r="J142" s="59"/>
      <c r="K142" s="59"/>
      <c r="L142" s="59"/>
    </row>
    <row r="143" spans="1:12">
      <c r="A143" s="59"/>
      <c r="B143" s="59"/>
      <c r="C143" s="59"/>
      <c r="D143" s="59"/>
      <c r="E143" s="59"/>
      <c r="F143" s="59"/>
      <c r="G143" s="59"/>
      <c r="H143" s="59"/>
      <c r="I143" s="59"/>
      <c r="J143" s="59"/>
      <c r="K143" s="59"/>
      <c r="L143" s="59"/>
    </row>
    <row r="144" spans="1:12">
      <c r="A144" s="59"/>
      <c r="B144" s="59"/>
      <c r="C144" s="59"/>
      <c r="D144" s="59"/>
      <c r="E144" s="59"/>
      <c r="F144" s="59"/>
      <c r="G144" s="59"/>
      <c r="H144" s="59"/>
      <c r="I144" s="59"/>
      <c r="J144" s="59"/>
      <c r="K144" s="59"/>
      <c r="L144" s="59"/>
    </row>
    <row r="145" spans="1:12">
      <c r="A145" s="59"/>
      <c r="B145" s="59"/>
      <c r="C145" s="59"/>
      <c r="D145" s="59"/>
      <c r="E145" s="59"/>
      <c r="F145" s="59"/>
      <c r="G145" s="59"/>
      <c r="H145" s="59"/>
      <c r="I145" s="59"/>
      <c r="J145" s="59"/>
      <c r="K145" s="59"/>
      <c r="L145" s="59"/>
    </row>
    <row r="146" spans="1:12">
      <c r="A146" s="59"/>
      <c r="B146" s="59"/>
      <c r="C146" s="59"/>
      <c r="D146" s="59"/>
      <c r="E146" s="59"/>
      <c r="F146" s="59"/>
      <c r="G146" s="59"/>
      <c r="H146" s="59"/>
      <c r="I146" s="59"/>
      <c r="J146" s="59"/>
      <c r="K146" s="59"/>
      <c r="L146" s="59"/>
    </row>
    <row r="147" spans="1:12">
      <c r="A147" s="59"/>
      <c r="B147" s="59"/>
      <c r="C147" s="59"/>
      <c r="D147" s="59"/>
      <c r="E147" s="59"/>
      <c r="F147" s="59"/>
      <c r="G147" s="59"/>
      <c r="H147" s="59"/>
      <c r="I147" s="59"/>
      <c r="J147" s="59"/>
      <c r="K147" s="59"/>
      <c r="L147" s="59"/>
    </row>
    <row r="148" spans="1:12">
      <c r="A148" s="59"/>
      <c r="B148" s="59"/>
      <c r="C148" s="59"/>
      <c r="D148" s="59"/>
      <c r="E148" s="59"/>
      <c r="F148" s="59"/>
      <c r="G148" s="59"/>
      <c r="H148" s="59"/>
      <c r="I148" s="59"/>
      <c r="J148" s="59"/>
      <c r="K148" s="59"/>
      <c r="L148" s="59"/>
    </row>
    <row r="149" spans="1:12">
      <c r="A149" s="59"/>
      <c r="B149" s="59"/>
      <c r="C149" s="59"/>
      <c r="D149" s="59"/>
      <c r="E149" s="59"/>
      <c r="F149" s="59"/>
      <c r="G149" s="59"/>
      <c r="H149" s="59"/>
      <c r="I149" s="59"/>
      <c r="J149" s="59"/>
      <c r="K149" s="59"/>
      <c r="L149" s="59"/>
    </row>
    <row r="150" spans="1:12">
      <c r="A150" s="59"/>
      <c r="B150" s="59"/>
      <c r="C150" s="59"/>
      <c r="D150" s="59"/>
      <c r="E150" s="59"/>
      <c r="F150" s="59"/>
      <c r="G150" s="59"/>
      <c r="H150" s="59"/>
      <c r="I150" s="59"/>
      <c r="J150" s="59"/>
      <c r="K150" s="59"/>
      <c r="L150" s="59"/>
    </row>
    <row r="151" spans="1:12">
      <c r="A151" s="59"/>
      <c r="B151" s="59"/>
      <c r="C151" s="59"/>
      <c r="D151" s="59"/>
      <c r="E151" s="59"/>
      <c r="F151" s="59"/>
      <c r="G151" s="59"/>
      <c r="H151" s="59"/>
      <c r="I151" s="59"/>
      <c r="J151" s="59"/>
      <c r="K151" s="59"/>
      <c r="L151" s="59"/>
    </row>
    <row r="152" spans="1:12">
      <c r="A152" s="59"/>
      <c r="B152" s="59"/>
      <c r="C152" s="59"/>
      <c r="D152" s="59"/>
      <c r="E152" s="59"/>
      <c r="F152" s="59"/>
      <c r="G152" s="59"/>
      <c r="H152" s="59"/>
      <c r="I152" s="59"/>
      <c r="J152" s="59"/>
      <c r="K152" s="59"/>
      <c r="L152" s="59"/>
    </row>
    <row r="153" spans="1:12">
      <c r="A153" s="59"/>
      <c r="B153" s="59"/>
      <c r="C153" s="59"/>
      <c r="D153" s="59"/>
      <c r="E153" s="59"/>
      <c r="F153" s="59"/>
      <c r="G153" s="59"/>
      <c r="H153" s="59"/>
      <c r="I153" s="59"/>
      <c r="J153" s="59"/>
      <c r="K153" s="59"/>
      <c r="L153" s="59"/>
    </row>
    <row r="154" spans="1:12">
      <c r="A154" s="59"/>
      <c r="B154" s="59"/>
      <c r="C154" s="59"/>
      <c r="D154" s="59"/>
      <c r="E154" s="59"/>
      <c r="F154" s="59"/>
      <c r="G154" s="59"/>
      <c r="H154" s="59"/>
      <c r="I154" s="59"/>
      <c r="J154" s="59"/>
      <c r="K154" s="59"/>
      <c r="L154" s="59"/>
    </row>
    <row r="155" spans="1:12">
      <c r="A155" s="59"/>
      <c r="B155" s="59"/>
      <c r="C155" s="59"/>
      <c r="D155" s="59"/>
      <c r="E155" s="59"/>
      <c r="F155" s="59"/>
      <c r="G155" s="59"/>
      <c r="H155" s="59"/>
      <c r="I155" s="59"/>
      <c r="J155" s="59"/>
      <c r="K155" s="59"/>
      <c r="L155" s="59"/>
    </row>
    <row r="156" spans="1:12">
      <c r="A156" s="59"/>
      <c r="B156" s="59"/>
      <c r="C156" s="59"/>
      <c r="D156" s="59"/>
      <c r="E156" s="59"/>
      <c r="F156" s="59"/>
      <c r="G156" s="59"/>
      <c r="H156" s="59"/>
      <c r="I156" s="59"/>
      <c r="J156" s="59"/>
      <c r="K156" s="59"/>
      <c r="L156" s="59"/>
    </row>
    <row r="157" spans="1:12">
      <c r="A157" s="59"/>
      <c r="B157" s="59"/>
      <c r="C157" s="59"/>
      <c r="D157" s="59"/>
      <c r="E157" s="59"/>
      <c r="F157" s="59"/>
      <c r="G157" s="59"/>
      <c r="H157" s="59"/>
      <c r="I157" s="59"/>
      <c r="J157" s="59"/>
      <c r="K157" s="59"/>
      <c r="L157" s="59"/>
    </row>
    <row r="158" spans="1:12">
      <c r="A158" s="59"/>
      <c r="B158" s="59"/>
      <c r="C158" s="59"/>
      <c r="D158" s="59"/>
      <c r="E158" s="59"/>
      <c r="F158" s="59"/>
      <c r="G158" s="59"/>
      <c r="H158" s="59"/>
      <c r="I158" s="59"/>
      <c r="J158" s="59"/>
      <c r="K158" s="59"/>
      <c r="L158" s="59"/>
    </row>
    <row r="159" spans="1:12">
      <c r="A159" s="59"/>
      <c r="B159" s="59"/>
      <c r="C159" s="59"/>
      <c r="D159" s="59"/>
      <c r="E159" s="59"/>
      <c r="F159" s="59"/>
      <c r="G159" s="59"/>
      <c r="H159" s="59"/>
      <c r="I159" s="59"/>
      <c r="J159" s="59"/>
      <c r="K159" s="59"/>
      <c r="L159" s="59"/>
    </row>
    <row r="160" spans="1:12">
      <c r="A160" s="59"/>
      <c r="B160" s="59"/>
      <c r="C160" s="59"/>
      <c r="D160" s="59"/>
      <c r="E160" s="59"/>
      <c r="F160" s="59"/>
      <c r="G160" s="59"/>
      <c r="H160" s="59"/>
      <c r="I160" s="59"/>
      <c r="J160" s="59"/>
      <c r="K160" s="59"/>
      <c r="L160" s="59"/>
    </row>
    <row r="161" spans="1:12">
      <c r="A161" s="59"/>
      <c r="B161" s="59"/>
      <c r="C161" s="59"/>
      <c r="D161" s="59"/>
      <c r="E161" s="59"/>
      <c r="F161" s="59"/>
      <c r="G161" s="59"/>
      <c r="H161" s="59"/>
      <c r="I161" s="59"/>
      <c r="J161" s="59"/>
      <c r="K161" s="59"/>
      <c r="L161" s="59"/>
    </row>
    <row r="162" spans="1:12">
      <c r="A162" s="59"/>
      <c r="B162" s="59"/>
      <c r="C162" s="59"/>
      <c r="D162" s="59"/>
      <c r="E162" s="59"/>
      <c r="F162" s="59"/>
      <c r="G162" s="59"/>
      <c r="H162" s="59"/>
      <c r="I162" s="59"/>
      <c r="J162" s="59"/>
      <c r="K162" s="59"/>
      <c r="L162" s="59"/>
    </row>
    <row r="163" spans="1:12">
      <c r="A163" s="59"/>
      <c r="B163" s="59"/>
      <c r="C163" s="59"/>
      <c r="D163" s="59"/>
      <c r="E163" s="59"/>
      <c r="F163" s="59"/>
      <c r="G163" s="59"/>
      <c r="H163" s="59"/>
      <c r="I163" s="59"/>
      <c r="J163" s="59"/>
      <c r="K163" s="59"/>
      <c r="L163" s="59"/>
    </row>
    <row r="164" spans="1:12">
      <c r="A164" s="59"/>
      <c r="B164" s="59"/>
      <c r="C164" s="59"/>
      <c r="D164" s="59"/>
      <c r="E164" s="59"/>
      <c r="F164" s="59"/>
      <c r="G164" s="59"/>
      <c r="H164" s="59"/>
      <c r="I164" s="59"/>
      <c r="J164" s="59"/>
      <c r="K164" s="59"/>
      <c r="L164" s="59"/>
    </row>
    <row r="165" spans="1:12">
      <c r="A165" s="59"/>
      <c r="B165" s="59"/>
      <c r="C165" s="59"/>
      <c r="D165" s="59"/>
      <c r="E165" s="59"/>
      <c r="F165" s="59"/>
      <c r="G165" s="59"/>
      <c r="H165" s="59"/>
      <c r="I165" s="59"/>
      <c r="J165" s="59"/>
      <c r="K165" s="59"/>
      <c r="L165" s="59"/>
    </row>
    <row r="166" spans="1:12">
      <c r="A166" s="59"/>
      <c r="B166" s="59"/>
      <c r="C166" s="59"/>
      <c r="D166" s="59"/>
      <c r="E166" s="59"/>
      <c r="F166" s="59"/>
      <c r="G166" s="59"/>
      <c r="H166" s="59"/>
      <c r="I166" s="59"/>
      <c r="J166" s="59"/>
      <c r="K166" s="59"/>
      <c r="L166" s="59"/>
    </row>
    <row r="167" spans="1:12">
      <c r="A167" s="59"/>
      <c r="B167" s="59"/>
      <c r="C167" s="59"/>
      <c r="D167" s="59"/>
      <c r="E167" s="59"/>
      <c r="F167" s="59"/>
      <c r="G167" s="59"/>
      <c r="H167" s="59"/>
      <c r="I167" s="59"/>
      <c r="J167" s="59"/>
      <c r="K167" s="59"/>
      <c r="L167" s="59"/>
    </row>
    <row r="168" spans="1:12">
      <c r="A168" s="59"/>
      <c r="B168" s="59"/>
      <c r="C168" s="59"/>
      <c r="D168" s="59"/>
      <c r="E168" s="59"/>
      <c r="F168" s="59"/>
      <c r="G168" s="59"/>
      <c r="H168" s="59"/>
      <c r="I168" s="59"/>
      <c r="J168" s="59"/>
      <c r="K168" s="59"/>
      <c r="L168" s="59"/>
    </row>
    <row r="169" spans="1:12">
      <c r="A169" s="59"/>
      <c r="B169" s="59"/>
      <c r="C169" s="59"/>
      <c r="D169" s="59"/>
      <c r="E169" s="59"/>
      <c r="F169" s="59"/>
      <c r="G169" s="59"/>
      <c r="H169" s="59"/>
      <c r="I169" s="59"/>
      <c r="J169" s="59"/>
      <c r="K169" s="59"/>
      <c r="L169" s="59"/>
    </row>
    <row r="170" spans="1:12">
      <c r="A170" s="59"/>
      <c r="B170" s="59"/>
      <c r="C170" s="59"/>
      <c r="D170" s="59"/>
      <c r="E170" s="59"/>
      <c r="F170" s="59"/>
      <c r="G170" s="59"/>
      <c r="H170" s="59"/>
      <c r="I170" s="59"/>
      <c r="J170" s="59"/>
      <c r="K170" s="59"/>
      <c r="L170" s="59"/>
    </row>
    <row r="171" spans="1:12">
      <c r="A171" s="59"/>
      <c r="B171" s="59"/>
      <c r="C171" s="59"/>
      <c r="D171" s="59"/>
      <c r="E171" s="59"/>
      <c r="F171" s="59"/>
      <c r="G171" s="59"/>
      <c r="H171" s="59"/>
      <c r="I171" s="59"/>
      <c r="J171" s="59"/>
      <c r="K171" s="59"/>
      <c r="L171" s="59"/>
    </row>
    <row r="172" spans="1:12">
      <c r="A172" s="59"/>
      <c r="B172" s="59"/>
      <c r="C172" s="59"/>
      <c r="D172" s="59"/>
      <c r="E172" s="59"/>
      <c r="F172" s="59"/>
      <c r="G172" s="59"/>
      <c r="H172" s="59"/>
      <c r="I172" s="59"/>
      <c r="J172" s="59"/>
      <c r="K172" s="59"/>
      <c r="L172" s="59"/>
    </row>
    <row r="173" spans="1:12">
      <c r="A173" s="59"/>
      <c r="B173" s="59"/>
      <c r="C173" s="59"/>
      <c r="D173" s="59"/>
      <c r="E173" s="59"/>
      <c r="F173" s="59"/>
      <c r="G173" s="59"/>
      <c r="H173" s="59"/>
      <c r="I173" s="59"/>
      <c r="J173" s="59"/>
      <c r="K173" s="59"/>
      <c r="L173" s="59"/>
    </row>
    <row r="174" spans="1:12">
      <c r="A174" s="59"/>
      <c r="B174" s="59"/>
      <c r="C174" s="59"/>
      <c r="D174" s="59"/>
      <c r="E174" s="59"/>
      <c r="F174" s="59"/>
      <c r="G174" s="59"/>
      <c r="H174" s="59"/>
      <c r="I174" s="59"/>
      <c r="J174" s="59"/>
      <c r="K174" s="59"/>
      <c r="L174" s="59"/>
    </row>
    <row r="175" spans="1:12">
      <c r="A175" s="59"/>
      <c r="B175" s="59"/>
      <c r="C175" s="59"/>
      <c r="D175" s="59"/>
      <c r="E175" s="59"/>
      <c r="F175" s="59"/>
      <c r="G175" s="59"/>
      <c r="H175" s="59"/>
      <c r="I175" s="59"/>
      <c r="J175" s="59"/>
      <c r="K175" s="59"/>
      <c r="L175" s="59"/>
    </row>
    <row r="176" spans="1:12">
      <c r="A176" s="59"/>
      <c r="B176" s="59"/>
      <c r="C176" s="59"/>
      <c r="D176" s="59"/>
      <c r="E176" s="59"/>
      <c r="F176" s="59"/>
      <c r="G176" s="59"/>
      <c r="H176" s="59"/>
      <c r="I176" s="59"/>
      <c r="J176" s="59"/>
      <c r="K176" s="59"/>
      <c r="L176" s="59"/>
    </row>
    <row r="177" spans="1:12">
      <c r="A177" s="59"/>
      <c r="B177" s="59"/>
      <c r="C177" s="59"/>
      <c r="D177" s="59"/>
      <c r="E177" s="59"/>
      <c r="F177" s="59"/>
      <c r="G177" s="59"/>
      <c r="H177" s="59"/>
      <c r="I177" s="59"/>
      <c r="J177" s="59"/>
      <c r="K177" s="59"/>
      <c r="L177" s="59"/>
    </row>
    <row r="178" spans="1:12">
      <c r="A178" s="59"/>
      <c r="B178" s="59"/>
      <c r="C178" s="59"/>
      <c r="D178" s="59"/>
      <c r="E178" s="59"/>
      <c r="F178" s="59"/>
      <c r="G178" s="59"/>
      <c r="H178" s="59"/>
      <c r="I178" s="59"/>
      <c r="J178" s="59"/>
      <c r="K178" s="59"/>
      <c r="L178" s="59"/>
    </row>
    <row r="179" spans="1:12">
      <c r="A179" s="59"/>
      <c r="B179" s="59"/>
      <c r="C179" s="59"/>
      <c r="D179" s="59"/>
      <c r="E179" s="59"/>
      <c r="F179" s="59"/>
      <c r="G179" s="59"/>
      <c r="H179" s="59"/>
      <c r="I179" s="59"/>
      <c r="J179" s="59"/>
      <c r="K179" s="59"/>
      <c r="L179" s="59"/>
    </row>
    <row r="180" spans="1:12">
      <c r="A180" s="59"/>
      <c r="B180" s="59"/>
      <c r="C180" s="59"/>
      <c r="D180" s="59"/>
      <c r="E180" s="59"/>
      <c r="F180" s="59"/>
      <c r="G180" s="59"/>
      <c r="H180" s="59"/>
      <c r="I180" s="59"/>
      <c r="J180" s="59"/>
      <c r="K180" s="59"/>
      <c r="L180" s="59"/>
    </row>
    <row r="181" spans="1:12">
      <c r="A181" s="59"/>
      <c r="B181" s="59"/>
      <c r="C181" s="59"/>
      <c r="D181" s="59"/>
      <c r="E181" s="59"/>
      <c r="F181" s="59"/>
      <c r="G181" s="59"/>
      <c r="H181" s="59"/>
      <c r="I181" s="59"/>
      <c r="J181" s="59"/>
      <c r="K181" s="59"/>
      <c r="L181" s="59"/>
    </row>
    <row r="182" spans="1:12">
      <c r="A182" s="59"/>
      <c r="B182" s="59"/>
      <c r="C182" s="59"/>
      <c r="D182" s="59"/>
      <c r="E182" s="59"/>
      <c r="F182" s="59"/>
      <c r="G182" s="59"/>
      <c r="H182" s="59"/>
      <c r="I182" s="59"/>
      <c r="J182" s="59"/>
      <c r="K182" s="59"/>
      <c r="L182" s="59"/>
    </row>
    <row r="183" spans="1:12">
      <c r="A183" s="59"/>
      <c r="B183" s="59"/>
      <c r="C183" s="59"/>
      <c r="D183" s="59"/>
      <c r="E183" s="59"/>
      <c r="F183" s="59"/>
      <c r="G183" s="59"/>
      <c r="H183" s="59"/>
      <c r="I183" s="59"/>
      <c r="J183" s="59"/>
      <c r="K183" s="59"/>
      <c r="L183" s="59"/>
    </row>
    <row r="184" spans="1:12">
      <c r="A184" s="59"/>
      <c r="B184" s="59"/>
      <c r="C184" s="59"/>
      <c r="D184" s="59"/>
      <c r="E184" s="59"/>
      <c r="F184" s="59"/>
      <c r="G184" s="59"/>
      <c r="H184" s="59"/>
      <c r="I184" s="59"/>
      <c r="J184" s="59"/>
      <c r="K184" s="59"/>
      <c r="L184" s="59"/>
    </row>
    <row r="185" spans="1:12">
      <c r="A185" s="59"/>
      <c r="B185" s="59"/>
      <c r="C185" s="59"/>
      <c r="D185" s="59"/>
      <c r="E185" s="59"/>
      <c r="F185" s="59"/>
      <c r="G185" s="59"/>
      <c r="H185" s="59"/>
      <c r="I185" s="59"/>
      <c r="J185" s="59"/>
      <c r="K185" s="59"/>
      <c r="L185" s="59"/>
    </row>
    <row r="186" spans="1:12">
      <c r="A186" s="59"/>
      <c r="B186" s="59"/>
      <c r="C186" s="59"/>
      <c r="D186" s="59"/>
      <c r="E186" s="59"/>
      <c r="F186" s="59"/>
      <c r="G186" s="59"/>
      <c r="H186" s="59"/>
      <c r="I186" s="59"/>
      <c r="J186" s="59"/>
      <c r="K186" s="59"/>
      <c r="L186" s="59"/>
    </row>
    <row r="187" spans="1:12">
      <c r="A187" s="59"/>
      <c r="B187" s="59"/>
      <c r="C187" s="59"/>
      <c r="D187" s="59"/>
      <c r="E187" s="59"/>
      <c r="F187" s="59"/>
      <c r="G187" s="59"/>
      <c r="H187" s="59"/>
      <c r="I187" s="59"/>
      <c r="J187" s="59"/>
      <c r="K187" s="59"/>
      <c r="L187" s="59"/>
    </row>
    <row r="188" spans="1:12">
      <c r="A188" s="59"/>
      <c r="B188" s="59"/>
      <c r="C188" s="59"/>
      <c r="D188" s="59"/>
      <c r="E188" s="59"/>
      <c r="F188" s="59"/>
      <c r="G188" s="59"/>
      <c r="H188" s="59"/>
      <c r="I188" s="59"/>
      <c r="J188" s="59"/>
      <c r="K188" s="59"/>
      <c r="L188" s="59"/>
    </row>
    <row r="189" spans="1:12">
      <c r="A189" s="59"/>
      <c r="B189" s="59"/>
      <c r="C189" s="59"/>
      <c r="D189" s="59"/>
      <c r="E189" s="59"/>
      <c r="F189" s="59"/>
      <c r="G189" s="59"/>
      <c r="H189" s="59"/>
      <c r="I189" s="59"/>
      <c r="J189" s="59"/>
      <c r="K189" s="59"/>
      <c r="L189" s="59"/>
    </row>
    <row r="190" spans="1:12">
      <c r="A190" s="59"/>
      <c r="B190" s="59"/>
      <c r="C190" s="59"/>
      <c r="D190" s="59"/>
      <c r="E190" s="59"/>
      <c r="F190" s="59"/>
      <c r="G190" s="59"/>
      <c r="H190" s="59"/>
      <c r="I190" s="59"/>
      <c r="J190" s="59"/>
      <c r="K190" s="59"/>
      <c r="L190" s="59"/>
    </row>
    <row r="191" spans="1:12">
      <c r="A191" s="59"/>
      <c r="B191" s="59"/>
      <c r="C191" s="59"/>
      <c r="D191" s="59"/>
      <c r="E191" s="59"/>
      <c r="F191" s="59"/>
      <c r="G191" s="59"/>
      <c r="H191" s="59"/>
      <c r="I191" s="59"/>
      <c r="J191" s="59"/>
      <c r="K191" s="59"/>
      <c r="L191" s="59"/>
    </row>
    <row r="192" spans="1:12">
      <c r="A192" s="59"/>
      <c r="B192" s="59"/>
      <c r="C192" s="59"/>
      <c r="D192" s="59"/>
      <c r="E192" s="59"/>
      <c r="F192" s="59"/>
      <c r="G192" s="59"/>
      <c r="H192" s="59"/>
      <c r="I192" s="59"/>
      <c r="J192" s="59"/>
      <c r="K192" s="59"/>
      <c r="L192" s="59"/>
    </row>
    <row r="193" spans="1:12">
      <c r="A193" s="59"/>
      <c r="B193" s="59"/>
      <c r="C193" s="59"/>
      <c r="D193" s="59"/>
      <c r="E193" s="59"/>
      <c r="F193" s="59"/>
      <c r="G193" s="59"/>
      <c r="H193" s="59"/>
      <c r="I193" s="59"/>
      <c r="J193" s="59"/>
      <c r="K193" s="59"/>
      <c r="L193" s="59"/>
    </row>
    <row r="194" spans="1:12">
      <c r="A194" s="59"/>
      <c r="B194" s="59"/>
      <c r="C194" s="59"/>
      <c r="D194" s="59"/>
      <c r="E194" s="59"/>
      <c r="F194" s="59"/>
      <c r="G194" s="59"/>
      <c r="H194" s="59"/>
      <c r="I194" s="59"/>
      <c r="J194" s="59"/>
      <c r="K194" s="59"/>
      <c r="L194" s="59"/>
    </row>
    <row r="195" spans="1:12">
      <c r="A195" s="59"/>
      <c r="B195" s="59"/>
      <c r="C195" s="59"/>
      <c r="D195" s="59"/>
      <c r="E195" s="59"/>
      <c r="F195" s="59"/>
      <c r="G195" s="59"/>
      <c r="H195" s="59"/>
      <c r="I195" s="59"/>
      <c r="J195" s="59"/>
      <c r="K195" s="59"/>
      <c r="L195" s="59"/>
    </row>
    <row r="196" spans="1:12">
      <c r="A196" s="59"/>
      <c r="B196" s="59"/>
      <c r="C196" s="59"/>
      <c r="D196" s="59"/>
      <c r="E196" s="59"/>
      <c r="F196" s="59"/>
      <c r="G196" s="59"/>
      <c r="H196" s="59"/>
      <c r="I196" s="59"/>
      <c r="J196" s="59"/>
      <c r="K196" s="59"/>
      <c r="L196" s="59"/>
    </row>
    <row r="197" spans="1:12">
      <c r="A197" s="59"/>
      <c r="B197" s="59"/>
      <c r="C197" s="59"/>
      <c r="D197" s="59"/>
      <c r="E197" s="59"/>
      <c r="F197" s="59"/>
      <c r="G197" s="59"/>
      <c r="H197" s="59"/>
      <c r="I197" s="59"/>
      <c r="J197" s="59"/>
      <c r="K197" s="59"/>
      <c r="L197" s="59"/>
    </row>
    <row r="198" spans="1:12">
      <c r="A198" s="59"/>
      <c r="B198" s="59"/>
      <c r="C198" s="59"/>
      <c r="D198" s="59"/>
      <c r="E198" s="59"/>
      <c r="F198" s="59"/>
      <c r="G198" s="59"/>
      <c r="H198" s="59"/>
      <c r="I198" s="59"/>
      <c r="J198" s="59"/>
      <c r="K198" s="59"/>
      <c r="L198" s="59"/>
    </row>
    <row r="199" spans="1:12">
      <c r="A199" s="59"/>
      <c r="B199" s="59"/>
      <c r="C199" s="59"/>
      <c r="D199" s="59"/>
      <c r="E199" s="59"/>
      <c r="F199" s="59"/>
      <c r="G199" s="59"/>
      <c r="H199" s="59"/>
      <c r="I199" s="59"/>
      <c r="J199" s="59"/>
      <c r="K199" s="59"/>
      <c r="L199" s="59"/>
    </row>
    <row r="200" spans="1:12">
      <c r="A200" s="59"/>
      <c r="B200" s="59"/>
      <c r="C200" s="59"/>
      <c r="D200" s="59"/>
      <c r="E200" s="59"/>
      <c r="F200" s="59"/>
      <c r="G200" s="59"/>
      <c r="H200" s="59"/>
      <c r="I200" s="59"/>
      <c r="J200" s="59"/>
      <c r="K200" s="59"/>
      <c r="L200" s="59"/>
    </row>
    <row r="201" spans="1:12">
      <c r="A201" s="59"/>
      <c r="B201" s="59"/>
      <c r="C201" s="59"/>
      <c r="D201" s="59"/>
      <c r="E201" s="59"/>
      <c r="F201" s="59"/>
      <c r="G201" s="59"/>
      <c r="H201" s="59"/>
      <c r="I201" s="59"/>
      <c r="J201" s="59"/>
      <c r="K201" s="59"/>
      <c r="L201" s="59"/>
    </row>
    <row r="202" spans="1:12">
      <c r="A202" s="59"/>
      <c r="B202" s="59"/>
      <c r="C202" s="59"/>
      <c r="D202" s="59"/>
      <c r="E202" s="59"/>
      <c r="F202" s="59"/>
      <c r="G202" s="59"/>
      <c r="H202" s="59"/>
      <c r="I202" s="59"/>
      <c r="J202" s="59"/>
      <c r="K202" s="59"/>
      <c r="L202" s="59"/>
    </row>
    <row r="203" spans="1:12">
      <c r="A203" s="59"/>
      <c r="B203" s="59"/>
      <c r="C203" s="59"/>
      <c r="D203" s="59"/>
      <c r="E203" s="59"/>
      <c r="F203" s="59"/>
      <c r="G203" s="59"/>
      <c r="H203" s="59"/>
      <c r="I203" s="59"/>
      <c r="J203" s="59"/>
      <c r="K203" s="59"/>
      <c r="L203" s="59"/>
    </row>
    <row r="204" spans="1:12">
      <c r="A204" s="59"/>
      <c r="B204" s="59"/>
      <c r="C204" s="59"/>
      <c r="D204" s="59"/>
      <c r="E204" s="59"/>
      <c r="F204" s="59"/>
      <c r="G204" s="59"/>
      <c r="H204" s="59"/>
      <c r="I204" s="59"/>
      <c r="J204" s="59"/>
      <c r="K204" s="59"/>
      <c r="L204" s="59"/>
    </row>
    <row r="205" spans="1:12">
      <c r="A205" s="59"/>
      <c r="B205" s="59"/>
      <c r="C205" s="59"/>
      <c r="D205" s="59"/>
      <c r="E205" s="59"/>
      <c r="F205" s="59"/>
      <c r="G205" s="59"/>
      <c r="H205" s="59"/>
      <c r="I205" s="59"/>
      <c r="J205" s="59"/>
      <c r="K205" s="59"/>
      <c r="L205" s="59"/>
    </row>
    <row r="206" spans="1:12">
      <c r="A206" s="59"/>
      <c r="B206" s="59"/>
      <c r="C206" s="59"/>
      <c r="D206" s="59"/>
      <c r="E206" s="59"/>
      <c r="F206" s="59"/>
      <c r="G206" s="59"/>
      <c r="H206" s="59"/>
      <c r="I206" s="59"/>
      <c r="J206" s="59"/>
      <c r="K206" s="59"/>
      <c r="L206" s="59"/>
    </row>
    <row r="207" spans="1:12">
      <c r="A207" s="59"/>
      <c r="B207" s="59"/>
      <c r="C207" s="59"/>
      <c r="D207" s="59"/>
      <c r="E207" s="59"/>
      <c r="F207" s="59"/>
      <c r="G207" s="59"/>
      <c r="H207" s="59"/>
      <c r="I207" s="59"/>
      <c r="J207" s="59"/>
      <c r="K207" s="59"/>
      <c r="L207" s="59"/>
    </row>
    <row r="208" spans="1:12">
      <c r="A208" s="59"/>
      <c r="B208" s="59"/>
      <c r="C208" s="59"/>
      <c r="D208" s="59"/>
      <c r="E208" s="59"/>
      <c r="F208" s="59"/>
      <c r="G208" s="59"/>
      <c r="H208" s="59"/>
      <c r="I208" s="59"/>
      <c r="J208" s="59"/>
      <c r="K208" s="59"/>
      <c r="L208" s="59"/>
    </row>
    <row r="209" spans="1:12">
      <c r="A209" s="59"/>
      <c r="B209" s="59"/>
      <c r="C209" s="59"/>
      <c r="D209" s="59"/>
      <c r="E209" s="59"/>
      <c r="F209" s="59"/>
      <c r="G209" s="59"/>
      <c r="H209" s="59"/>
      <c r="I209" s="59"/>
      <c r="J209" s="59"/>
      <c r="K209" s="59"/>
      <c r="L209" s="59"/>
    </row>
  </sheetData>
  <mergeCells count="2">
    <mergeCell ref="A1:L1"/>
    <mergeCell ref="A30:L30"/>
  </mergeCells>
  <pageMargins left="0.7" right="0.7" top="0.75" bottom="0.75" header="0.3" footer="0.3"/>
  <pageSetup scale="7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B0F0"/>
    <pageSetUpPr fitToPage="1"/>
  </sheetPr>
  <dimension ref="A1:S44"/>
  <sheetViews>
    <sheetView showGridLines="0" view="pageBreakPreview" zoomScale="70" zoomScaleNormal="55" zoomScaleSheetLayoutView="70" workbookViewId="0">
      <selection activeCell="P10" sqref="P10"/>
    </sheetView>
  </sheetViews>
  <sheetFormatPr baseColWidth="10" defaultColWidth="11.42578125" defaultRowHeight="15"/>
  <cols>
    <col min="1" max="1" width="14.42578125" style="68" customWidth="1"/>
    <col min="2" max="2" width="21" style="128" customWidth="1"/>
    <col min="3" max="3" width="28.5703125" style="128" bestFit="1" customWidth="1"/>
    <col min="4" max="5" width="20.140625" style="128" customWidth="1"/>
    <col min="6" max="6" width="22.28515625" style="128" customWidth="1"/>
    <col min="7" max="7" width="27.28515625" style="128" bestFit="1" customWidth="1"/>
    <col min="8" max="8" width="23.7109375" style="128" customWidth="1"/>
    <col min="9" max="9" width="14.42578125" style="128" customWidth="1"/>
    <col min="10" max="10" width="20.140625" style="128" customWidth="1"/>
    <col min="11" max="11" width="23" style="128" customWidth="1"/>
    <col min="12" max="12" width="0.42578125" style="128" hidden="1" customWidth="1"/>
    <col min="13" max="13" width="9.85546875" style="128" hidden="1" customWidth="1"/>
    <col min="14" max="14" width="5.28515625" style="128" hidden="1" customWidth="1"/>
    <col min="15" max="15" width="20.42578125" style="128" customWidth="1"/>
    <col min="16" max="16" width="11.42578125" style="128"/>
    <col min="17" max="17" width="27.7109375" style="128" customWidth="1"/>
    <col min="18" max="16384" width="11.42578125" style="128"/>
  </cols>
  <sheetData>
    <row r="1" spans="1:19" ht="75.75" customHeight="1" thickBot="1">
      <c r="A1" s="2249" t="s">
        <v>1346</v>
      </c>
      <c r="B1" s="2249"/>
      <c r="C1" s="2249"/>
      <c r="D1" s="2249"/>
      <c r="E1" s="2249"/>
      <c r="F1" s="2249"/>
      <c r="G1" s="2249"/>
      <c r="H1" s="2249"/>
      <c r="I1" s="2249"/>
      <c r="J1" s="2249"/>
      <c r="K1" s="2249"/>
      <c r="L1" s="350"/>
      <c r="M1" s="350"/>
      <c r="N1" s="351"/>
    </row>
    <row r="2" spans="1:19" ht="3" customHeight="1">
      <c r="A2" s="128"/>
    </row>
    <row r="3" spans="1:19" ht="58.5" customHeight="1">
      <c r="A3" s="614" t="s">
        <v>25</v>
      </c>
      <c r="B3" s="540" t="s">
        <v>1002</v>
      </c>
      <c r="C3" s="614" t="s">
        <v>1053</v>
      </c>
      <c r="D3" s="614" t="s">
        <v>1054</v>
      </c>
      <c r="E3" s="614" t="s">
        <v>1313</v>
      </c>
      <c r="F3" s="614" t="s">
        <v>1055</v>
      </c>
      <c r="G3" s="616" t="s">
        <v>1052</v>
      </c>
      <c r="H3" s="616" t="s">
        <v>1314</v>
      </c>
      <c r="I3" s="616" t="s">
        <v>497</v>
      </c>
      <c r="J3" s="616" t="s">
        <v>755</v>
      </c>
      <c r="K3" s="616" t="s">
        <v>1066</v>
      </c>
      <c r="L3" s="616" t="s">
        <v>1001</v>
      </c>
      <c r="M3" s="306"/>
      <c r="N3" s="5"/>
    </row>
    <row r="4" spans="1:19" ht="15.75">
      <c r="A4" s="615" t="s">
        <v>249</v>
      </c>
      <c r="B4" s="758" t="s">
        <v>36</v>
      </c>
      <c r="C4" s="216">
        <v>4555714269.04</v>
      </c>
      <c r="D4" s="217">
        <v>6163525.5899999999</v>
      </c>
      <c r="E4" s="348">
        <v>125000000</v>
      </c>
      <c r="F4" s="1204">
        <f t="shared" ref="F4:F10" si="0">C4+D4+E4</f>
        <v>4686877794.6300001</v>
      </c>
      <c r="G4" s="340">
        <v>2749437204.8999996</v>
      </c>
      <c r="H4" s="217">
        <f t="shared" ref="H4:H10" si="1">C4-G4</f>
        <v>1806277064.1400003</v>
      </c>
      <c r="I4" s="341">
        <f t="shared" ref="I4:I9" si="2">G4/C4</f>
        <v>0.60351397004522256</v>
      </c>
      <c r="J4" s="217">
        <v>71139450</v>
      </c>
      <c r="K4" s="1204">
        <f>+F4-J4-G4</f>
        <v>1866301139.7300005</v>
      </c>
      <c r="L4" s="661">
        <f t="shared" ref="L4:L9" si="3">F4-K4</f>
        <v>2820576654.8999996</v>
      </c>
      <c r="M4" s="308"/>
      <c r="N4" s="5"/>
      <c r="O4" s="72"/>
      <c r="P4" s="72"/>
      <c r="Q4" s="1"/>
      <c r="R4" s="1"/>
      <c r="S4" s="1"/>
    </row>
    <row r="5" spans="1:19" ht="15.75">
      <c r="A5" s="615" t="s">
        <v>467</v>
      </c>
      <c r="B5" s="707">
        <v>4000000000</v>
      </c>
      <c r="C5" s="216">
        <v>15040717310.820004</v>
      </c>
      <c r="D5" s="217">
        <v>173508720.11000001</v>
      </c>
      <c r="E5" s="348">
        <v>256250000</v>
      </c>
      <c r="F5" s="1204">
        <f t="shared" si="0"/>
        <v>15470476030.930004</v>
      </c>
      <c r="G5" s="216">
        <v>12172020505.110001</v>
      </c>
      <c r="H5" s="216">
        <f t="shared" si="1"/>
        <v>2868696805.7100029</v>
      </c>
      <c r="I5" s="216">
        <f t="shared" si="2"/>
        <v>0.80927127699911505</v>
      </c>
      <c r="J5" s="217">
        <v>245511975</v>
      </c>
      <c r="K5" s="1204">
        <f t="shared" ref="K5:K10" si="4">+F5-J5-G5</f>
        <v>3052943550.8200035</v>
      </c>
      <c r="L5" s="661">
        <f t="shared" si="3"/>
        <v>12417532480.110001</v>
      </c>
      <c r="M5" s="308"/>
      <c r="N5" s="5"/>
    </row>
    <row r="6" spans="1:19" ht="15.75">
      <c r="A6" s="615" t="s">
        <v>468</v>
      </c>
      <c r="B6" s="662">
        <v>7024153181.6999998</v>
      </c>
      <c r="C6" s="348">
        <v>16634723671.34</v>
      </c>
      <c r="D6" s="348">
        <v>507553456.15999997</v>
      </c>
      <c r="E6" s="348">
        <v>18750000</v>
      </c>
      <c r="F6" s="1204">
        <f t="shared" si="0"/>
        <v>17161027127.5</v>
      </c>
      <c r="G6" s="348">
        <v>14685989837.450001</v>
      </c>
      <c r="H6" s="348">
        <f t="shared" si="1"/>
        <v>1948733833.8899994</v>
      </c>
      <c r="I6" s="348">
        <f t="shared" si="2"/>
        <v>0.88285144542271676</v>
      </c>
      <c r="J6" s="348">
        <v>83348568.400000006</v>
      </c>
      <c r="K6" s="1204">
        <f t="shared" si="4"/>
        <v>2391688721.6499996</v>
      </c>
      <c r="L6" s="662">
        <f t="shared" si="3"/>
        <v>14769338405.85</v>
      </c>
      <c r="M6" s="307"/>
      <c r="N6" s="5"/>
    </row>
    <row r="7" spans="1:19" ht="15.75">
      <c r="A7" s="615" t="s">
        <v>360</v>
      </c>
      <c r="B7" s="663">
        <v>7025911153.7799997</v>
      </c>
      <c r="C7" s="488">
        <v>18840826294.02</v>
      </c>
      <c r="D7" s="488">
        <v>596693837.95999992</v>
      </c>
      <c r="E7" s="488">
        <v>0</v>
      </c>
      <c r="F7" s="1204">
        <f t="shared" si="0"/>
        <v>19437520131.98</v>
      </c>
      <c r="G7" s="488">
        <v>19326926055.669998</v>
      </c>
      <c r="H7" s="348">
        <f t="shared" si="1"/>
        <v>-486099761.64999771</v>
      </c>
      <c r="I7" s="488">
        <f t="shared" si="2"/>
        <v>1.0258003419841668</v>
      </c>
      <c r="J7" s="488">
        <v>0</v>
      </c>
      <c r="K7" s="1204">
        <f t="shared" si="4"/>
        <v>110594076.31000137</v>
      </c>
      <c r="L7" s="663">
        <f t="shared" si="3"/>
        <v>19326926055.669998</v>
      </c>
      <c r="M7" s="307"/>
      <c r="N7" s="5"/>
    </row>
    <row r="8" spans="1:19" ht="15.75">
      <c r="A8" s="615" t="s">
        <v>469</v>
      </c>
      <c r="B8" s="663">
        <v>6833090118.8800001</v>
      </c>
      <c r="C8" s="488">
        <v>21130001038.709999</v>
      </c>
      <c r="D8" s="488">
        <f>+'[3]TSS Contributivo'!$V$121</f>
        <v>679951152.83999991</v>
      </c>
      <c r="E8" s="488">
        <v>0</v>
      </c>
      <c r="F8" s="1204">
        <f t="shared" si="0"/>
        <v>21809952191.549999</v>
      </c>
      <c r="G8" s="488">
        <v>21475211129.010002</v>
      </c>
      <c r="H8" s="348">
        <f t="shared" si="1"/>
        <v>-345210090.30000305</v>
      </c>
      <c r="I8" s="488">
        <f t="shared" si="2"/>
        <v>1.0163374383970725</v>
      </c>
      <c r="J8" s="488">
        <v>149163844</v>
      </c>
      <c r="K8" s="1204">
        <f t="shared" si="4"/>
        <v>185577218.5399971</v>
      </c>
      <c r="L8" s="663">
        <f t="shared" si="3"/>
        <v>21624374973.010002</v>
      </c>
      <c r="M8" s="307"/>
      <c r="N8" s="5"/>
    </row>
    <row r="9" spans="1:19" ht="15.75">
      <c r="A9" s="615" t="s">
        <v>1058</v>
      </c>
      <c r="B9" s="663">
        <v>6599992425.9700003</v>
      </c>
      <c r="C9" s="348">
        <v>23317713417.710003</v>
      </c>
      <c r="D9" s="488">
        <v>728182337.74000013</v>
      </c>
      <c r="E9" s="488">
        <v>0</v>
      </c>
      <c r="F9" s="1204">
        <f t="shared" si="0"/>
        <v>24045895755.450005</v>
      </c>
      <c r="G9" s="837">
        <v>24298848873.259998</v>
      </c>
      <c r="H9" s="348">
        <f t="shared" si="1"/>
        <v>-981135455.54999542</v>
      </c>
      <c r="I9" s="488">
        <f t="shared" si="2"/>
        <v>1.0420768296605281</v>
      </c>
      <c r="J9" s="488">
        <v>182825831.59999999</v>
      </c>
      <c r="K9" s="1204">
        <f t="shared" si="4"/>
        <v>-435778949.40999222</v>
      </c>
      <c r="L9" s="663">
        <f t="shared" si="3"/>
        <v>24481674704.859997</v>
      </c>
      <c r="M9" s="307"/>
      <c r="N9" s="5"/>
    </row>
    <row r="10" spans="1:19" ht="15.75">
      <c r="A10" s="615" t="s">
        <v>1345</v>
      </c>
      <c r="B10" s="662">
        <v>6383778265.6899996</v>
      </c>
      <c r="C10" s="1200">
        <v>3933791609.0699997</v>
      </c>
      <c r="D10" s="348">
        <v>222393709.18000001</v>
      </c>
      <c r="E10" s="348">
        <v>0</v>
      </c>
      <c r="F10" s="1204">
        <f t="shared" si="0"/>
        <v>4156185318.2499995</v>
      </c>
      <c r="G10" s="837">
        <v>11121834703.6</v>
      </c>
      <c r="H10" s="348">
        <f t="shared" si="1"/>
        <v>-7188043094.5300007</v>
      </c>
      <c r="I10" s="348">
        <f>G10/C10</f>
        <v>2.8272556883686448</v>
      </c>
      <c r="J10" s="348">
        <v>78334002</v>
      </c>
      <c r="K10" s="1204">
        <f t="shared" si="4"/>
        <v>-7043983387.3500004</v>
      </c>
      <c r="L10" s="663"/>
      <c r="M10" s="307"/>
      <c r="N10" s="5"/>
    </row>
    <row r="11" spans="1:19" s="1207" customFormat="1" ht="17.25">
      <c r="A11" s="1205" t="s">
        <v>23</v>
      </c>
      <c r="B11" s="1206"/>
      <c r="C11" s="1206">
        <f>SUM(C4:C10)</f>
        <v>103453487610.70999</v>
      </c>
      <c r="D11" s="1206">
        <f t="shared" ref="D11:N11" si="5">SUM(D4:D10)</f>
        <v>2914446739.5799999</v>
      </c>
      <c r="E11" s="1206">
        <f t="shared" si="5"/>
        <v>400000000</v>
      </c>
      <c r="F11" s="1206">
        <f t="shared" si="5"/>
        <v>106767934350.29001</v>
      </c>
      <c r="G11" s="1206">
        <f t="shared" si="5"/>
        <v>105830268309</v>
      </c>
      <c r="H11" s="1206">
        <f t="shared" si="5"/>
        <v>-2376780698.2899942</v>
      </c>
      <c r="I11" s="1206">
        <f t="shared" si="5"/>
        <v>8.2071069908774668</v>
      </c>
      <c r="J11" s="1206">
        <f t="shared" si="5"/>
        <v>810323671</v>
      </c>
      <c r="K11" s="1206">
        <f t="shared" si="5"/>
        <v>127342370.2900095</v>
      </c>
      <c r="L11" s="1206">
        <f t="shared" si="5"/>
        <v>95440423274.400009</v>
      </c>
      <c r="M11" s="1206">
        <f t="shared" si="5"/>
        <v>0</v>
      </c>
      <c r="N11" s="1206">
        <f t="shared" si="5"/>
        <v>0</v>
      </c>
    </row>
    <row r="12" spans="1:19" ht="18.75">
      <c r="A12" s="2303" t="s">
        <v>496</v>
      </c>
      <c r="B12" s="2303"/>
      <c r="C12" s="2303"/>
      <c r="D12" s="2303"/>
      <c r="E12" s="2303"/>
      <c r="F12" s="2303"/>
      <c r="G12" s="2303"/>
      <c r="H12" s="2303"/>
      <c r="I12" s="1"/>
      <c r="J12" s="309"/>
      <c r="K12" s="310"/>
      <c r="L12" s="311"/>
      <c r="M12" s="5"/>
      <c r="N12" s="1"/>
    </row>
    <row r="13" spans="1:19">
      <c r="B13" s="1"/>
      <c r="C13" s="1"/>
      <c r="D13" s="1"/>
      <c r="E13" s="1"/>
      <c r="F13" s="1"/>
      <c r="G13" s="1"/>
      <c r="H13" s="1"/>
      <c r="I13" s="1"/>
      <c r="J13" s="59"/>
      <c r="K13" s="59"/>
      <c r="L13" s="59"/>
      <c r="M13" s="5"/>
      <c r="N13" s="1"/>
    </row>
    <row r="14" spans="1:19">
      <c r="B14" s="1"/>
      <c r="C14" s="1"/>
      <c r="D14" s="1"/>
      <c r="E14" s="1"/>
      <c r="F14" s="1"/>
      <c r="G14" s="1"/>
      <c r="H14" s="1"/>
      <c r="I14" s="1"/>
      <c r="J14" s="1"/>
      <c r="K14" s="1"/>
      <c r="L14" s="1"/>
      <c r="M14" s="1"/>
      <c r="N14" s="1"/>
    </row>
    <row r="15" spans="1:19">
      <c r="B15" s="1"/>
      <c r="C15" s="1"/>
      <c r="D15" s="1"/>
      <c r="E15" s="1"/>
      <c r="F15" s="1"/>
      <c r="G15" s="1"/>
      <c r="H15" s="1"/>
      <c r="I15" s="7"/>
      <c r="J15" s="1"/>
      <c r="K15" s="1"/>
      <c r="L15" s="1"/>
      <c r="M15" s="1"/>
      <c r="N15" s="1"/>
    </row>
    <row r="16" spans="1:19">
      <c r="B16" s="1"/>
      <c r="C16" s="1"/>
      <c r="D16" s="1"/>
      <c r="E16" s="1"/>
      <c r="F16" s="1"/>
      <c r="G16" s="1"/>
      <c r="H16" s="1"/>
      <c r="I16" s="7"/>
      <c r="J16" s="1"/>
      <c r="K16" s="1"/>
      <c r="L16" s="1"/>
      <c r="M16" s="1"/>
      <c r="N16" s="1"/>
    </row>
    <row r="17" spans="2:14" s="128" customFormat="1">
      <c r="B17" s="1"/>
      <c r="C17" s="1"/>
      <c r="D17" s="1"/>
      <c r="E17" s="1"/>
      <c r="F17" s="1"/>
      <c r="G17" s="1"/>
      <c r="H17" s="1"/>
      <c r="I17" s="7"/>
      <c r="J17" s="1"/>
      <c r="K17" s="1"/>
      <c r="L17" s="1"/>
      <c r="M17" s="1"/>
      <c r="N17" s="1"/>
    </row>
    <row r="18" spans="2:14" s="128" customFormat="1">
      <c r="B18" s="1"/>
      <c r="C18" s="1"/>
      <c r="D18" s="1"/>
      <c r="E18" s="1"/>
      <c r="F18" s="1"/>
      <c r="G18" s="1"/>
      <c r="H18" s="1"/>
      <c r="I18" s="7"/>
      <c r="J18" s="1"/>
      <c r="K18" s="1"/>
      <c r="L18" s="1"/>
      <c r="M18" s="1"/>
      <c r="N18" s="1"/>
    </row>
    <row r="19" spans="2:14" s="128" customFormat="1">
      <c r="B19" s="1"/>
      <c r="C19" s="1"/>
      <c r="D19" s="1"/>
      <c r="E19" s="1"/>
      <c r="F19" s="1"/>
      <c r="G19" s="1"/>
      <c r="H19" s="1"/>
      <c r="I19" s="1"/>
      <c r="J19" s="1"/>
      <c r="K19" s="1"/>
      <c r="L19" s="1"/>
      <c r="M19" s="1"/>
      <c r="N19" s="1"/>
    </row>
    <row r="20" spans="2:14" s="128" customFormat="1">
      <c r="B20" s="1"/>
      <c r="C20" s="1"/>
      <c r="D20" s="1"/>
      <c r="E20" s="1"/>
      <c r="F20" s="1"/>
      <c r="G20" s="1"/>
      <c r="H20" s="1"/>
      <c r="I20" s="1"/>
      <c r="J20" s="1"/>
      <c r="K20" s="1"/>
      <c r="L20" s="1"/>
      <c r="M20" s="1"/>
      <c r="N20" s="1"/>
    </row>
    <row r="21" spans="2:14" s="128" customFormat="1">
      <c r="B21" s="1"/>
      <c r="C21" s="1"/>
      <c r="D21" s="1"/>
      <c r="E21" s="1"/>
      <c r="F21" s="1"/>
      <c r="G21" s="1"/>
      <c r="H21" s="1"/>
      <c r="I21" s="1"/>
      <c r="J21" s="1"/>
      <c r="K21" s="1"/>
      <c r="L21" s="1"/>
      <c r="M21" s="1"/>
      <c r="N21" s="1"/>
    </row>
    <row r="22" spans="2:14" s="128" customFormat="1">
      <c r="B22" s="1"/>
      <c r="C22" s="1"/>
      <c r="D22" s="1"/>
      <c r="E22" s="1"/>
      <c r="F22" s="1"/>
      <c r="G22" s="1"/>
      <c r="H22" s="1"/>
      <c r="I22" s="1"/>
      <c r="J22" s="1"/>
      <c r="K22" s="1"/>
      <c r="L22" s="1"/>
      <c r="M22" s="1"/>
      <c r="N22" s="1"/>
    </row>
    <row r="23" spans="2:14" s="128" customFormat="1">
      <c r="B23" s="1"/>
      <c r="C23" s="1"/>
      <c r="D23" s="1"/>
      <c r="E23" s="1"/>
      <c r="F23" s="1"/>
      <c r="G23" s="1"/>
      <c r="H23" s="1"/>
      <c r="I23" s="1"/>
      <c r="J23" s="1"/>
      <c r="K23" s="1"/>
      <c r="L23" s="1"/>
      <c r="M23" s="1"/>
      <c r="N23" s="1"/>
    </row>
    <row r="24" spans="2:14" s="128" customFormat="1">
      <c r="B24" s="1"/>
      <c r="C24" s="1"/>
      <c r="D24" s="1"/>
      <c r="E24" s="1"/>
      <c r="F24" s="1"/>
      <c r="G24" s="1"/>
      <c r="H24" s="1"/>
      <c r="I24" s="1"/>
      <c r="J24" s="1"/>
      <c r="K24" s="1"/>
      <c r="L24" s="1"/>
      <c r="M24" s="1"/>
      <c r="N24" s="1"/>
    </row>
    <row r="25" spans="2:14" s="128" customFormat="1">
      <c r="B25" s="1"/>
      <c r="C25" s="1"/>
      <c r="D25" s="1"/>
      <c r="E25" s="1"/>
      <c r="F25" s="1"/>
      <c r="G25" s="1"/>
      <c r="H25" s="1"/>
      <c r="I25" s="1"/>
      <c r="J25" s="1"/>
      <c r="K25" s="1"/>
      <c r="L25" s="1"/>
      <c r="M25" s="1"/>
      <c r="N25" s="1"/>
    </row>
    <row r="26" spans="2:14" s="128" customFormat="1">
      <c r="B26" s="1"/>
      <c r="C26" s="1"/>
      <c r="D26" s="1"/>
      <c r="E26" s="1"/>
      <c r="F26" s="1"/>
      <c r="G26" s="1"/>
      <c r="H26" s="1"/>
      <c r="I26" s="1"/>
      <c r="J26" s="1"/>
      <c r="K26" s="1"/>
      <c r="L26" s="1"/>
      <c r="M26" s="1"/>
      <c r="N26" s="1"/>
    </row>
    <row r="27" spans="2:14" s="128" customFormat="1">
      <c r="B27" s="1"/>
      <c r="C27" s="1"/>
      <c r="D27" s="1"/>
      <c r="E27" s="1"/>
      <c r="F27" s="1"/>
      <c r="G27" s="1"/>
      <c r="H27" s="1"/>
      <c r="I27" s="1"/>
      <c r="J27" s="1"/>
      <c r="K27" s="1"/>
      <c r="L27" s="1"/>
      <c r="M27" s="1"/>
      <c r="N27" s="1"/>
    </row>
    <row r="28" spans="2:14" s="128" customFormat="1">
      <c r="B28" s="1"/>
      <c r="C28" s="1"/>
      <c r="D28" s="1"/>
      <c r="E28" s="1"/>
      <c r="F28" s="1"/>
      <c r="G28" s="1"/>
      <c r="H28" s="1"/>
      <c r="I28" s="1"/>
      <c r="J28" s="1"/>
      <c r="K28" s="1"/>
      <c r="L28" s="1"/>
      <c r="M28" s="1"/>
      <c r="N28" s="1"/>
    </row>
    <row r="29" spans="2:14" s="128" customFormat="1">
      <c r="B29" s="1"/>
      <c r="C29" s="1"/>
      <c r="D29" s="1"/>
      <c r="E29" s="1"/>
      <c r="F29" s="1"/>
      <c r="G29" s="1"/>
      <c r="H29" s="1"/>
      <c r="I29" s="1"/>
      <c r="J29" s="1"/>
      <c r="K29" s="1"/>
      <c r="L29" s="1"/>
      <c r="M29" s="1"/>
      <c r="N29" s="1"/>
    </row>
    <row r="30" spans="2:14" s="128" customFormat="1">
      <c r="B30" s="1"/>
      <c r="C30" s="1"/>
      <c r="D30" s="1"/>
      <c r="E30" s="1"/>
      <c r="F30" s="1"/>
      <c r="G30" s="1"/>
      <c r="H30" s="1"/>
      <c r="I30" s="1"/>
      <c r="J30" s="1"/>
      <c r="K30" s="1"/>
      <c r="L30" s="1"/>
      <c r="M30" s="1"/>
      <c r="N30" s="1"/>
    </row>
    <row r="31" spans="2:14" s="128" customFormat="1">
      <c r="B31" s="1"/>
      <c r="C31" s="1"/>
      <c r="D31" s="1"/>
      <c r="E31" s="1"/>
      <c r="F31" s="1"/>
      <c r="G31" s="1"/>
      <c r="H31" s="1"/>
      <c r="I31" s="1"/>
      <c r="J31" s="1"/>
      <c r="K31" s="1"/>
      <c r="L31" s="1"/>
      <c r="M31" s="1"/>
      <c r="N31" s="1"/>
    </row>
    <row r="32" spans="2:14" s="128" customFormat="1">
      <c r="B32" s="1"/>
      <c r="C32" s="1"/>
      <c r="D32" s="1"/>
      <c r="E32" s="1"/>
      <c r="F32" s="1"/>
      <c r="G32" s="1"/>
      <c r="H32" s="1"/>
      <c r="I32" s="1"/>
      <c r="J32" s="1"/>
      <c r="K32" s="1"/>
      <c r="L32" s="1"/>
      <c r="M32" s="1"/>
      <c r="N32" s="1"/>
    </row>
    <row r="33" spans="2:15" s="128" customFormat="1">
      <c r="B33" s="1"/>
      <c r="C33" s="1"/>
      <c r="D33" s="1"/>
      <c r="E33" s="1"/>
      <c r="F33" s="1"/>
      <c r="G33" s="1"/>
      <c r="H33" s="1"/>
      <c r="I33" s="1"/>
      <c r="J33" s="1"/>
      <c r="K33" s="1"/>
      <c r="L33" s="1"/>
      <c r="M33" s="1"/>
      <c r="N33" s="1"/>
    </row>
    <row r="34" spans="2:15" s="128" customFormat="1">
      <c r="B34" s="1"/>
      <c r="C34" s="1"/>
      <c r="D34" s="1"/>
      <c r="E34" s="1"/>
      <c r="F34" s="1"/>
      <c r="G34" s="1"/>
      <c r="H34" s="1"/>
      <c r="I34" s="1"/>
      <c r="J34" s="1"/>
      <c r="K34" s="1"/>
      <c r="L34" s="1"/>
      <c r="M34" s="1"/>
      <c r="N34" s="1"/>
    </row>
    <row r="35" spans="2:15" s="128" customFormat="1">
      <c r="B35" s="1"/>
      <c r="C35" s="1"/>
      <c r="D35" s="1"/>
      <c r="E35" s="1"/>
      <c r="F35" s="1"/>
      <c r="G35" s="1"/>
      <c r="H35" s="1"/>
      <c r="I35" s="1"/>
      <c r="J35" s="1"/>
      <c r="K35" s="1"/>
      <c r="L35" s="1"/>
      <c r="M35" s="1"/>
      <c r="N35" s="1"/>
      <c r="O35" s="128" t="s">
        <v>252</v>
      </c>
    </row>
    <row r="36" spans="2:15" s="128" customFormat="1">
      <c r="B36" s="1"/>
      <c r="C36" s="1"/>
      <c r="D36" s="1"/>
      <c r="E36" s="1"/>
      <c r="F36" s="1"/>
      <c r="G36" s="1"/>
      <c r="H36" s="1"/>
      <c r="I36" s="1"/>
      <c r="J36" s="1"/>
      <c r="K36" s="1"/>
      <c r="L36" s="1"/>
      <c r="M36" s="1"/>
      <c r="N36" s="1"/>
    </row>
    <row r="37" spans="2:15" s="128" customFormat="1">
      <c r="B37" s="1"/>
      <c r="C37" s="1"/>
      <c r="D37" s="1"/>
      <c r="E37" s="1"/>
      <c r="F37" s="1"/>
      <c r="G37" s="1"/>
      <c r="H37" s="1"/>
      <c r="I37" s="1"/>
      <c r="J37" s="1"/>
      <c r="K37" s="1"/>
      <c r="L37" s="1"/>
      <c r="M37" s="1"/>
      <c r="N37" s="1"/>
    </row>
    <row r="38" spans="2:15" s="128" customFormat="1">
      <c r="B38" s="1"/>
      <c r="C38" s="1"/>
      <c r="D38" s="1"/>
      <c r="E38" s="1"/>
      <c r="F38" s="1"/>
      <c r="G38" s="1"/>
      <c r="H38" s="1"/>
      <c r="I38" s="1"/>
      <c r="J38" s="1"/>
      <c r="K38" s="1"/>
      <c r="L38" s="1"/>
      <c r="M38" s="1"/>
      <c r="N38" s="1"/>
    </row>
    <row r="39" spans="2:15" s="128" customFormat="1">
      <c r="B39" s="1"/>
      <c r="C39" s="1"/>
      <c r="D39" s="1"/>
      <c r="E39" s="1"/>
      <c r="F39" s="1"/>
      <c r="G39" s="1"/>
      <c r="H39" s="1"/>
      <c r="I39" s="1"/>
      <c r="J39" s="1"/>
      <c r="K39" s="1"/>
      <c r="L39" s="1"/>
      <c r="M39" s="1"/>
      <c r="N39" s="1"/>
    </row>
    <row r="40" spans="2:15" s="128" customFormat="1">
      <c r="B40" s="1"/>
      <c r="C40" s="1"/>
      <c r="D40" s="1"/>
      <c r="E40" s="1"/>
      <c r="F40" s="1"/>
      <c r="G40" s="1"/>
      <c r="H40" s="1"/>
      <c r="I40" s="1"/>
      <c r="J40" s="1"/>
      <c r="K40" s="1"/>
      <c r="L40" s="1"/>
      <c r="M40" s="1"/>
      <c r="N40" s="1"/>
    </row>
    <row r="41" spans="2:15" s="128" customFormat="1">
      <c r="B41" s="1"/>
      <c r="C41" s="1"/>
      <c r="D41" s="1"/>
      <c r="E41" s="1"/>
      <c r="F41" s="1"/>
      <c r="G41" s="1"/>
      <c r="H41" s="1"/>
      <c r="I41" s="1"/>
      <c r="J41" s="1"/>
      <c r="K41" s="1"/>
      <c r="L41" s="1"/>
      <c r="M41" s="1"/>
      <c r="N41" s="1"/>
    </row>
    <row r="42" spans="2:15" s="128" customFormat="1">
      <c r="B42" s="1"/>
      <c r="C42" s="1"/>
      <c r="D42" s="1"/>
      <c r="E42" s="1"/>
      <c r="F42" s="1"/>
      <c r="G42" s="1"/>
      <c r="H42" s="1"/>
      <c r="I42" s="10"/>
      <c r="J42" s="1"/>
      <c r="K42" s="1"/>
      <c r="L42" s="1"/>
      <c r="M42" s="1"/>
      <c r="N42" s="1"/>
    </row>
    <row r="43" spans="2:15" s="128" customFormat="1">
      <c r="B43" s="1"/>
      <c r="C43" s="1"/>
      <c r="D43" s="1"/>
      <c r="E43" s="1"/>
      <c r="F43" s="1"/>
      <c r="G43" s="1"/>
      <c r="H43" s="1"/>
      <c r="I43" s="9"/>
      <c r="J43" s="1"/>
      <c r="K43" s="1"/>
      <c r="L43" s="1"/>
      <c r="M43" s="1"/>
      <c r="N43" s="1"/>
    </row>
    <row r="44" spans="2:15" s="128" customFormat="1" ht="21.75" customHeight="1"/>
  </sheetData>
  <mergeCells count="2">
    <mergeCell ref="A12:H12"/>
    <mergeCell ref="A1:K1"/>
  </mergeCells>
  <printOptions horizontalCentered="1" verticalCentered="1"/>
  <pageMargins left="0.4" right="0.4" top="0.33" bottom="0.25" header="0.31496062992126" footer="0.31496062992126"/>
  <pageSetup scale="5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P36"/>
  <sheetViews>
    <sheetView zoomScale="85" zoomScaleNormal="85" zoomScaleSheetLayoutView="85" workbookViewId="0">
      <pane xSplit="1" ySplit="4" topLeftCell="B5" activePane="bottomRight" state="frozen"/>
      <selection pane="topRight" activeCell="C1" sqref="C1"/>
      <selection pane="bottomLeft" activeCell="A6" sqref="A6"/>
      <selection pane="bottomRight" activeCell="M42" sqref="M42"/>
    </sheetView>
  </sheetViews>
  <sheetFormatPr baseColWidth="10" defaultColWidth="7.5703125" defaultRowHeight="13.5"/>
  <cols>
    <col min="1" max="1" width="44.5703125" style="1491" customWidth="1"/>
    <col min="2" max="2" width="9" style="1491" bestFit="1" customWidth="1"/>
    <col min="3" max="3" width="8.7109375" style="1491" bestFit="1" customWidth="1"/>
    <col min="4" max="4" width="9.42578125" style="1491" bestFit="1" customWidth="1"/>
    <col min="5" max="5" width="9" style="1491" bestFit="1" customWidth="1"/>
    <col min="6" max="6" width="8.85546875" style="1491" customWidth="1"/>
    <col min="7" max="7" width="9" style="1491" bestFit="1" customWidth="1"/>
    <col min="8" max="8" width="10.5703125" style="1491" bestFit="1" customWidth="1"/>
    <col min="9" max="9" width="9" style="1491" bestFit="1" customWidth="1"/>
    <col min="10" max="11" width="10.28515625" style="1491" bestFit="1" customWidth="1"/>
    <col min="12" max="15" width="10.5703125" style="1491" bestFit="1" customWidth="1"/>
    <col min="16" max="16" width="10.28515625" style="1491" bestFit="1" customWidth="1"/>
    <col min="17" max="17" width="10.5703125" style="1491" bestFit="1" customWidth="1"/>
    <col min="18" max="18" width="8.85546875" style="1491" bestFit="1" customWidth="1"/>
    <col min="19" max="19" width="10.42578125" style="1492" bestFit="1" customWidth="1"/>
    <col min="20" max="20" width="8.85546875" style="1492" bestFit="1" customWidth="1"/>
    <col min="21" max="21" width="10.42578125" style="1493" bestFit="1" customWidth="1"/>
    <col min="22" max="22" width="9.5703125" style="1493" bestFit="1" customWidth="1"/>
    <col min="23" max="23" width="9.5703125" style="1491" bestFit="1" customWidth="1"/>
    <col min="24" max="24" width="9.140625" style="1491" bestFit="1" customWidth="1"/>
    <col min="25" max="25" width="10" style="1491" bestFit="1" customWidth="1"/>
    <col min="26" max="26" width="9.140625" style="1491" bestFit="1" customWidth="1"/>
    <col min="27" max="27" width="10.42578125" style="1492" bestFit="1" customWidth="1"/>
    <col min="28" max="28" width="9.5703125" style="1492" bestFit="1" customWidth="1"/>
    <col min="29" max="29" width="10.42578125" style="1492" bestFit="1" customWidth="1"/>
    <col min="30" max="30" width="9.5703125" style="1492" bestFit="1" customWidth="1"/>
    <col min="31" max="31" width="10" style="1492" bestFit="1" customWidth="1"/>
    <col min="32" max="32" width="9.5703125" style="1492" bestFit="1" customWidth="1"/>
    <col min="33" max="33" width="10" style="1491" bestFit="1" customWidth="1"/>
    <col min="34" max="34" width="9.5703125" style="1491" bestFit="1" customWidth="1"/>
    <col min="35" max="35" width="10.7109375" style="1491" bestFit="1" customWidth="1"/>
    <col min="36" max="36" width="9.5703125" style="1491" bestFit="1" customWidth="1"/>
    <col min="37" max="37" width="10.7109375" style="1491" bestFit="1" customWidth="1"/>
    <col min="38" max="38" width="9.5703125" style="1491" bestFit="1" customWidth="1"/>
    <col min="39" max="39" width="10.7109375" style="1491" bestFit="1" customWidth="1"/>
    <col min="40" max="40" width="9.5703125" style="1491" bestFit="1" customWidth="1"/>
    <col min="41" max="41" width="10.7109375" style="1492" bestFit="1" customWidth="1"/>
    <col min="42" max="42" width="9.140625" style="1492" bestFit="1" customWidth="1"/>
    <col min="43" max="43" width="10.7109375" style="1491" bestFit="1" customWidth="1"/>
    <col min="44" max="44" width="9.5703125" style="1491" bestFit="1" customWidth="1"/>
    <col min="45" max="45" width="10.42578125" style="1491" bestFit="1" customWidth="1"/>
    <col min="46" max="46" width="9.5703125" style="1491" bestFit="1" customWidth="1"/>
    <col min="47" max="47" width="10.7109375" style="1491" bestFit="1" customWidth="1"/>
    <col min="48" max="48" width="9.5703125" style="1491" bestFit="1" customWidth="1"/>
    <col min="49" max="49" width="10.7109375" style="1491" bestFit="1" customWidth="1"/>
    <col min="50" max="50" width="9.140625" style="1491" bestFit="1" customWidth="1"/>
    <col min="51" max="51" width="10.7109375" style="1491" bestFit="1" customWidth="1"/>
    <col min="52" max="52" width="9.5703125" style="1491" bestFit="1" customWidth="1"/>
    <col min="53" max="53" width="10.42578125" style="1491" bestFit="1" customWidth="1"/>
    <col min="54" max="54" width="9.140625" style="1491" bestFit="1" customWidth="1"/>
    <col min="55" max="55" width="10" style="1491" bestFit="1" customWidth="1"/>
    <col min="56" max="58" width="10.42578125" style="1491" bestFit="1" customWidth="1"/>
    <col min="59" max="59" width="10" style="1491" bestFit="1" customWidth="1"/>
    <col min="60" max="60" width="10.7109375" style="1491" bestFit="1" customWidth="1"/>
    <col min="61" max="61" width="10.42578125" style="1491" bestFit="1" customWidth="1"/>
    <col min="62" max="62" width="10.7109375" style="1491" bestFit="1" customWidth="1"/>
    <col min="63" max="65" width="10" style="1491" bestFit="1" customWidth="1"/>
    <col min="66" max="66" width="10.7109375" style="1491" bestFit="1" customWidth="1"/>
    <col min="67" max="67" width="10.42578125" style="1491" bestFit="1" customWidth="1"/>
    <col min="68" max="68" width="10.7109375" style="1491" bestFit="1" customWidth="1"/>
    <col min="69" max="69" width="10.42578125" style="1491" bestFit="1" customWidth="1"/>
    <col min="70" max="72" width="10" style="1491" bestFit="1" customWidth="1"/>
    <col min="73" max="73" width="10.42578125" style="1491" bestFit="1" customWidth="1"/>
    <col min="74" max="74" width="10" style="1491" bestFit="1" customWidth="1"/>
    <col min="75" max="78" width="10.42578125" style="1491" bestFit="1" customWidth="1"/>
    <col min="79" max="79" width="10" style="1491" bestFit="1" customWidth="1"/>
    <col min="80" max="80" width="10.42578125" style="1491" bestFit="1" customWidth="1"/>
    <col min="81" max="81" width="10.7109375" style="1491" bestFit="1" customWidth="1"/>
    <col min="82" max="82" width="10" style="1491" bestFit="1" customWidth="1"/>
    <col min="83" max="84" width="10.42578125" style="1491" bestFit="1" customWidth="1"/>
    <col min="85" max="87" width="10" style="1491" bestFit="1" customWidth="1"/>
    <col min="88" max="88" width="10.7109375" style="1491" bestFit="1" customWidth="1"/>
    <col min="89" max="89" width="10" style="1491" bestFit="1" customWidth="1"/>
    <col min="90" max="90" width="10.42578125" style="1491" bestFit="1" customWidth="1"/>
    <col min="91" max="92" width="10.7109375" style="1491" bestFit="1" customWidth="1"/>
    <col min="93" max="93" width="10" style="1491" bestFit="1" customWidth="1"/>
    <col min="94" max="95" width="10.42578125" style="1491" bestFit="1" customWidth="1"/>
    <col min="96" max="96" width="10.7109375" style="1491" bestFit="1" customWidth="1"/>
    <col min="97" max="97" width="10.42578125" style="1491" bestFit="1" customWidth="1"/>
    <col min="98" max="100" width="10.7109375" style="1491" bestFit="1" customWidth="1"/>
    <col min="101" max="102" width="0" style="1491" hidden="1" customWidth="1"/>
    <col min="103" max="103" width="10.7109375" style="1491" bestFit="1" customWidth="1"/>
    <col min="104" max="105" width="10.42578125" style="1491" bestFit="1" customWidth="1"/>
    <col min="106" max="108" width="10.7109375" style="1491" bestFit="1" customWidth="1"/>
    <col min="109" max="110" width="10.42578125" style="1491" bestFit="1" customWidth="1"/>
    <col min="111" max="111" width="10.7109375" style="1491" bestFit="1" customWidth="1"/>
    <col min="112" max="112" width="10.42578125" style="1491" bestFit="1" customWidth="1"/>
    <col min="113" max="117" width="10.7109375" style="1491" bestFit="1" customWidth="1"/>
    <col min="118" max="119" width="10.42578125" style="1491" bestFit="1" customWidth="1"/>
    <col min="120" max="121" width="10.7109375" style="1491" bestFit="1" customWidth="1"/>
    <col min="122" max="122" width="10.42578125" style="1491" bestFit="1" customWidth="1"/>
    <col min="123" max="126" width="10.7109375" style="1491" bestFit="1" customWidth="1"/>
    <col min="127" max="127" width="10.42578125" style="1491" bestFit="1" customWidth="1"/>
    <col min="128" max="128" width="10.5703125" style="1491" customWidth="1"/>
    <col min="129" max="131" width="10.7109375" style="1491" bestFit="1" customWidth="1"/>
    <col min="132" max="132" width="10.42578125" style="1491" bestFit="1" customWidth="1"/>
    <col min="133" max="134" width="10.7109375" style="1491" bestFit="1" customWidth="1"/>
    <col min="135" max="135" width="10.42578125" style="1491" bestFit="1" customWidth="1"/>
    <col min="136" max="138" width="10.7109375" style="1491" bestFit="1" customWidth="1"/>
    <col min="139" max="139" width="10" style="1491" bestFit="1" customWidth="1"/>
    <col min="140" max="142" width="10.7109375" style="1491" bestFit="1" customWidth="1"/>
    <col min="143" max="143" width="10.42578125" style="1491" bestFit="1" customWidth="1"/>
    <col min="144" max="144" width="10.7109375" style="1491" bestFit="1" customWidth="1"/>
    <col min="145" max="247" width="7.5703125" style="1491"/>
    <col min="248" max="248" width="44.5703125" style="1491" customWidth="1"/>
    <col min="249" max="249" width="11.42578125" style="1491" customWidth="1"/>
    <col min="250" max="250" width="9.28515625" style="1491" customWidth="1"/>
    <col min="251" max="251" width="11" style="1491" customWidth="1"/>
    <col min="252" max="252" width="11.140625" style="1491" customWidth="1"/>
    <col min="253" max="253" width="8.140625" style="1491" bestFit="1" customWidth="1"/>
    <col min="254" max="254" width="7.85546875" style="1491" bestFit="1" customWidth="1"/>
    <col min="255" max="255" width="9.5703125" style="1491" bestFit="1" customWidth="1"/>
    <col min="256" max="256" width="9" style="1491" bestFit="1" customWidth="1"/>
    <col min="257" max="257" width="9.5703125" style="1491" bestFit="1" customWidth="1"/>
    <col min="258" max="258" width="9.42578125" style="1491" bestFit="1" customWidth="1"/>
    <col min="259" max="259" width="9.140625" style="1491" bestFit="1" customWidth="1"/>
    <col min="260" max="260" width="9.42578125" style="1491" bestFit="1" customWidth="1"/>
    <col min="261" max="261" width="9.140625" style="1491" bestFit="1" customWidth="1"/>
    <col min="262" max="262" width="9.5703125" style="1491" bestFit="1" customWidth="1"/>
    <col min="263" max="263" width="9.42578125" style="1491" bestFit="1" customWidth="1"/>
    <col min="264" max="266" width="9.140625" style="1491" bestFit="1" customWidth="1"/>
    <col min="267" max="267" width="10" style="1491" bestFit="1" customWidth="1"/>
    <col min="268" max="268" width="9.140625" style="1491" bestFit="1" customWidth="1"/>
    <col min="269" max="269" width="9.42578125" style="1491" bestFit="1" customWidth="1"/>
    <col min="270" max="270" width="8.7109375" style="1491" bestFit="1" customWidth="1"/>
    <col min="271" max="271" width="9" style="1491" bestFit="1" customWidth="1"/>
    <col min="272" max="272" width="9.42578125" style="1491" bestFit="1" customWidth="1"/>
    <col min="273" max="273" width="10" style="1491" bestFit="1" customWidth="1"/>
    <col min="274" max="274" width="8.85546875" style="1491" bestFit="1" customWidth="1"/>
    <col min="275" max="275" width="10.42578125" style="1491" bestFit="1" customWidth="1"/>
    <col min="276" max="276" width="8.85546875" style="1491" bestFit="1" customWidth="1"/>
    <col min="277" max="277" width="10.42578125" style="1491" bestFit="1" customWidth="1"/>
    <col min="278" max="279" width="9.5703125" style="1491" bestFit="1" customWidth="1"/>
    <col min="280" max="280" width="9.140625" style="1491" bestFit="1" customWidth="1"/>
    <col min="281" max="281" width="10" style="1491" bestFit="1" customWidth="1"/>
    <col min="282" max="282" width="9.140625" style="1491" bestFit="1" customWidth="1"/>
    <col min="283" max="283" width="10.42578125" style="1491" bestFit="1" customWidth="1"/>
    <col min="284" max="284" width="9.5703125" style="1491" bestFit="1" customWidth="1"/>
    <col min="285" max="285" width="10.42578125" style="1491" bestFit="1" customWidth="1"/>
    <col min="286" max="286" width="9.5703125" style="1491" bestFit="1" customWidth="1"/>
    <col min="287" max="287" width="10" style="1491" bestFit="1" customWidth="1"/>
    <col min="288" max="288" width="9.5703125" style="1491" bestFit="1" customWidth="1"/>
    <col min="289" max="289" width="10" style="1491" bestFit="1" customWidth="1"/>
    <col min="290" max="290" width="9.5703125" style="1491" bestFit="1" customWidth="1"/>
    <col min="291" max="291" width="10.7109375" style="1491" bestFit="1" customWidth="1"/>
    <col min="292" max="292" width="9.5703125" style="1491" bestFit="1" customWidth="1"/>
    <col min="293" max="293" width="10.7109375" style="1491" bestFit="1" customWidth="1"/>
    <col min="294" max="294" width="9.5703125" style="1491" bestFit="1" customWidth="1"/>
    <col min="295" max="295" width="10.7109375" style="1491" bestFit="1" customWidth="1"/>
    <col min="296" max="296" width="9.5703125" style="1491" bestFit="1" customWidth="1"/>
    <col min="297" max="297" width="10.7109375" style="1491" bestFit="1" customWidth="1"/>
    <col min="298" max="298" width="9.140625" style="1491" bestFit="1" customWidth="1"/>
    <col min="299" max="299" width="10.7109375" style="1491" bestFit="1" customWidth="1"/>
    <col min="300" max="300" width="9.5703125" style="1491" bestFit="1" customWidth="1"/>
    <col min="301" max="301" width="10.42578125" style="1491" bestFit="1" customWidth="1"/>
    <col min="302" max="302" width="9.5703125" style="1491" bestFit="1" customWidth="1"/>
    <col min="303" max="303" width="10.7109375" style="1491" bestFit="1" customWidth="1"/>
    <col min="304" max="304" width="9.5703125" style="1491" bestFit="1" customWidth="1"/>
    <col min="305" max="305" width="10.7109375" style="1491" bestFit="1" customWidth="1"/>
    <col min="306" max="306" width="9.140625" style="1491" bestFit="1" customWidth="1"/>
    <col min="307" max="307" width="10.7109375" style="1491" bestFit="1" customWidth="1"/>
    <col min="308" max="308" width="9.5703125" style="1491" bestFit="1" customWidth="1"/>
    <col min="309" max="309" width="10.42578125" style="1491" bestFit="1" customWidth="1"/>
    <col min="310" max="310" width="9.140625" style="1491" bestFit="1" customWidth="1"/>
    <col min="311" max="311" width="10" style="1491" bestFit="1" customWidth="1"/>
    <col min="312" max="314" width="10.42578125" style="1491" bestFit="1" customWidth="1"/>
    <col min="315" max="315" width="10" style="1491" bestFit="1" customWidth="1"/>
    <col min="316" max="316" width="10.7109375" style="1491" bestFit="1" customWidth="1"/>
    <col min="317" max="317" width="10.42578125" style="1491" bestFit="1" customWidth="1"/>
    <col min="318" max="318" width="10.7109375" style="1491" bestFit="1" customWidth="1"/>
    <col min="319" max="321" width="10" style="1491" bestFit="1" customWidth="1"/>
    <col min="322" max="322" width="10.7109375" style="1491" bestFit="1" customWidth="1"/>
    <col min="323" max="323" width="10.42578125" style="1491" bestFit="1" customWidth="1"/>
    <col min="324" max="324" width="10.7109375" style="1491" bestFit="1" customWidth="1"/>
    <col min="325" max="325" width="10.42578125" style="1491" bestFit="1" customWidth="1"/>
    <col min="326" max="328" width="10" style="1491" bestFit="1" customWidth="1"/>
    <col min="329" max="329" width="10.42578125" style="1491" bestFit="1" customWidth="1"/>
    <col min="330" max="330" width="10" style="1491" bestFit="1" customWidth="1"/>
    <col min="331" max="334" width="10.42578125" style="1491" bestFit="1" customWidth="1"/>
    <col min="335" max="335" width="10" style="1491" bestFit="1" customWidth="1"/>
    <col min="336" max="336" width="10.42578125" style="1491" bestFit="1" customWidth="1"/>
    <col min="337" max="337" width="10.7109375" style="1491" bestFit="1" customWidth="1"/>
    <col min="338" max="338" width="10" style="1491" bestFit="1" customWidth="1"/>
    <col min="339" max="340" width="10.42578125" style="1491" bestFit="1" customWidth="1"/>
    <col min="341" max="343" width="10" style="1491" bestFit="1" customWidth="1"/>
    <col min="344" max="344" width="10.7109375" style="1491" bestFit="1" customWidth="1"/>
    <col min="345" max="345" width="10" style="1491" bestFit="1" customWidth="1"/>
    <col min="346" max="346" width="10.42578125" style="1491" bestFit="1" customWidth="1"/>
    <col min="347" max="348" width="10.7109375" style="1491" bestFit="1" customWidth="1"/>
    <col min="349" max="349" width="10" style="1491" bestFit="1" customWidth="1"/>
    <col min="350" max="351" width="10.42578125" style="1491" bestFit="1" customWidth="1"/>
    <col min="352" max="352" width="10.7109375" style="1491" bestFit="1" customWidth="1"/>
    <col min="353" max="353" width="10.42578125" style="1491" bestFit="1" customWidth="1"/>
    <col min="354" max="356" width="10.7109375" style="1491" bestFit="1" customWidth="1"/>
    <col min="357" max="358" width="0" style="1491" hidden="1" customWidth="1"/>
    <col min="359" max="359" width="10.7109375" style="1491" bestFit="1" customWidth="1"/>
    <col min="360" max="361" width="10.42578125" style="1491" bestFit="1" customWidth="1"/>
    <col min="362" max="364" width="10.7109375" style="1491" bestFit="1" customWidth="1"/>
    <col min="365" max="366" width="10.42578125" style="1491" bestFit="1" customWidth="1"/>
    <col min="367" max="367" width="10.7109375" style="1491" bestFit="1" customWidth="1"/>
    <col min="368" max="368" width="10.42578125" style="1491" bestFit="1" customWidth="1"/>
    <col min="369" max="373" width="10.7109375" style="1491" bestFit="1" customWidth="1"/>
    <col min="374" max="375" width="10.42578125" style="1491" bestFit="1" customWidth="1"/>
    <col min="376" max="377" width="10.7109375" style="1491" bestFit="1" customWidth="1"/>
    <col min="378" max="378" width="10.42578125" style="1491" bestFit="1" customWidth="1"/>
    <col min="379" max="382" width="10.7109375" style="1491" bestFit="1" customWidth="1"/>
    <col min="383" max="383" width="10.42578125" style="1491" bestFit="1" customWidth="1"/>
    <col min="384" max="384" width="10.5703125" style="1491" customWidth="1"/>
    <col min="385" max="387" width="10.7109375" style="1491" bestFit="1" customWidth="1"/>
    <col min="388" max="388" width="10.42578125" style="1491" bestFit="1" customWidth="1"/>
    <col min="389" max="390" width="10.7109375" style="1491" bestFit="1" customWidth="1"/>
    <col min="391" max="391" width="10.42578125" style="1491" bestFit="1" customWidth="1"/>
    <col min="392" max="394" width="10.7109375" style="1491" bestFit="1" customWidth="1"/>
    <col min="395" max="395" width="10" style="1491" bestFit="1" customWidth="1"/>
    <col min="396" max="398" width="10.7109375" style="1491" bestFit="1" customWidth="1"/>
    <col min="399" max="399" width="10.42578125" style="1491" bestFit="1" customWidth="1"/>
    <col min="400" max="400" width="10.7109375" style="1491" bestFit="1" customWidth="1"/>
    <col min="401" max="503" width="7.5703125" style="1491"/>
    <col min="504" max="504" width="44.5703125" style="1491" customWidth="1"/>
    <col min="505" max="505" width="11.42578125" style="1491" customWidth="1"/>
    <col min="506" max="506" width="9.28515625" style="1491" customWidth="1"/>
    <col min="507" max="507" width="11" style="1491" customWidth="1"/>
    <col min="508" max="508" width="11.140625" style="1491" customWidth="1"/>
    <col min="509" max="509" width="8.140625" style="1491" bestFit="1" customWidth="1"/>
    <col min="510" max="510" width="7.85546875" style="1491" bestFit="1" customWidth="1"/>
    <col min="511" max="511" width="9.5703125" style="1491" bestFit="1" customWidth="1"/>
    <col min="512" max="512" width="9" style="1491" bestFit="1" customWidth="1"/>
    <col min="513" max="513" width="9.5703125" style="1491" bestFit="1" customWidth="1"/>
    <col min="514" max="514" width="9.42578125" style="1491" bestFit="1" customWidth="1"/>
    <col min="515" max="515" width="9.140625" style="1491" bestFit="1" customWidth="1"/>
    <col min="516" max="516" width="9.42578125" style="1491" bestFit="1" customWidth="1"/>
    <col min="517" max="517" width="9.140625" style="1491" bestFit="1" customWidth="1"/>
    <col min="518" max="518" width="9.5703125" style="1491" bestFit="1" customWidth="1"/>
    <col min="519" max="519" width="9.42578125" style="1491" bestFit="1" customWidth="1"/>
    <col min="520" max="522" width="9.140625" style="1491" bestFit="1" customWidth="1"/>
    <col min="523" max="523" width="10" style="1491" bestFit="1" customWidth="1"/>
    <col min="524" max="524" width="9.140625" style="1491" bestFit="1" customWidth="1"/>
    <col min="525" max="525" width="9.42578125" style="1491" bestFit="1" customWidth="1"/>
    <col min="526" max="526" width="8.7109375" style="1491" bestFit="1" customWidth="1"/>
    <col min="527" max="527" width="9" style="1491" bestFit="1" customWidth="1"/>
    <col min="528" max="528" width="9.42578125" style="1491" bestFit="1" customWidth="1"/>
    <col min="529" max="529" width="10" style="1491" bestFit="1" customWidth="1"/>
    <col min="530" max="530" width="8.85546875" style="1491" bestFit="1" customWidth="1"/>
    <col min="531" max="531" width="10.42578125" style="1491" bestFit="1" customWidth="1"/>
    <col min="532" max="532" width="8.85546875" style="1491" bestFit="1" customWidth="1"/>
    <col min="533" max="533" width="10.42578125" style="1491" bestFit="1" customWidth="1"/>
    <col min="534" max="535" width="9.5703125" style="1491" bestFit="1" customWidth="1"/>
    <col min="536" max="536" width="9.140625" style="1491" bestFit="1" customWidth="1"/>
    <col min="537" max="537" width="10" style="1491" bestFit="1" customWidth="1"/>
    <col min="538" max="538" width="9.140625" style="1491" bestFit="1" customWidth="1"/>
    <col min="539" max="539" width="10.42578125" style="1491" bestFit="1" customWidth="1"/>
    <col min="540" max="540" width="9.5703125" style="1491" bestFit="1" customWidth="1"/>
    <col min="541" max="541" width="10.42578125" style="1491" bestFit="1" customWidth="1"/>
    <col min="542" max="542" width="9.5703125" style="1491" bestFit="1" customWidth="1"/>
    <col min="543" max="543" width="10" style="1491" bestFit="1" customWidth="1"/>
    <col min="544" max="544" width="9.5703125" style="1491" bestFit="1" customWidth="1"/>
    <col min="545" max="545" width="10" style="1491" bestFit="1" customWidth="1"/>
    <col min="546" max="546" width="9.5703125" style="1491" bestFit="1" customWidth="1"/>
    <col min="547" max="547" width="10.7109375" style="1491" bestFit="1" customWidth="1"/>
    <col min="548" max="548" width="9.5703125" style="1491" bestFit="1" customWidth="1"/>
    <col min="549" max="549" width="10.7109375" style="1491" bestFit="1" customWidth="1"/>
    <col min="550" max="550" width="9.5703125" style="1491" bestFit="1" customWidth="1"/>
    <col min="551" max="551" width="10.7109375" style="1491" bestFit="1" customWidth="1"/>
    <col min="552" max="552" width="9.5703125" style="1491" bestFit="1" customWidth="1"/>
    <col min="553" max="553" width="10.7109375" style="1491" bestFit="1" customWidth="1"/>
    <col min="554" max="554" width="9.140625" style="1491" bestFit="1" customWidth="1"/>
    <col min="555" max="555" width="10.7109375" style="1491" bestFit="1" customWidth="1"/>
    <col min="556" max="556" width="9.5703125" style="1491" bestFit="1" customWidth="1"/>
    <col min="557" max="557" width="10.42578125" style="1491" bestFit="1" customWidth="1"/>
    <col min="558" max="558" width="9.5703125" style="1491" bestFit="1" customWidth="1"/>
    <col min="559" max="559" width="10.7109375" style="1491" bestFit="1" customWidth="1"/>
    <col min="560" max="560" width="9.5703125" style="1491" bestFit="1" customWidth="1"/>
    <col min="561" max="561" width="10.7109375" style="1491" bestFit="1" customWidth="1"/>
    <col min="562" max="562" width="9.140625" style="1491" bestFit="1" customWidth="1"/>
    <col min="563" max="563" width="10.7109375" style="1491" bestFit="1" customWidth="1"/>
    <col min="564" max="564" width="9.5703125" style="1491" bestFit="1" customWidth="1"/>
    <col min="565" max="565" width="10.42578125" style="1491" bestFit="1" customWidth="1"/>
    <col min="566" max="566" width="9.140625" style="1491" bestFit="1" customWidth="1"/>
    <col min="567" max="567" width="10" style="1491" bestFit="1" customWidth="1"/>
    <col min="568" max="570" width="10.42578125" style="1491" bestFit="1" customWidth="1"/>
    <col min="571" max="571" width="10" style="1491" bestFit="1" customWidth="1"/>
    <col min="572" max="572" width="10.7109375" style="1491" bestFit="1" customWidth="1"/>
    <col min="573" max="573" width="10.42578125" style="1491" bestFit="1" customWidth="1"/>
    <col min="574" max="574" width="10.7109375" style="1491" bestFit="1" customWidth="1"/>
    <col min="575" max="577" width="10" style="1491" bestFit="1" customWidth="1"/>
    <col min="578" max="578" width="10.7109375" style="1491" bestFit="1" customWidth="1"/>
    <col min="579" max="579" width="10.42578125" style="1491" bestFit="1" customWidth="1"/>
    <col min="580" max="580" width="10.7109375" style="1491" bestFit="1" customWidth="1"/>
    <col min="581" max="581" width="10.42578125" style="1491" bestFit="1" customWidth="1"/>
    <col min="582" max="584" width="10" style="1491" bestFit="1" customWidth="1"/>
    <col min="585" max="585" width="10.42578125" style="1491" bestFit="1" customWidth="1"/>
    <col min="586" max="586" width="10" style="1491" bestFit="1" customWidth="1"/>
    <col min="587" max="590" width="10.42578125" style="1491" bestFit="1" customWidth="1"/>
    <col min="591" max="591" width="10" style="1491" bestFit="1" customWidth="1"/>
    <col min="592" max="592" width="10.42578125" style="1491" bestFit="1" customWidth="1"/>
    <col min="593" max="593" width="10.7109375" style="1491" bestFit="1" customWidth="1"/>
    <col min="594" max="594" width="10" style="1491" bestFit="1" customWidth="1"/>
    <col min="595" max="596" width="10.42578125" style="1491" bestFit="1" customWidth="1"/>
    <col min="597" max="599" width="10" style="1491" bestFit="1" customWidth="1"/>
    <col min="600" max="600" width="10.7109375" style="1491" bestFit="1" customWidth="1"/>
    <col min="601" max="601" width="10" style="1491" bestFit="1" customWidth="1"/>
    <col min="602" max="602" width="10.42578125" style="1491" bestFit="1" customWidth="1"/>
    <col min="603" max="604" width="10.7109375" style="1491" bestFit="1" customWidth="1"/>
    <col min="605" max="605" width="10" style="1491" bestFit="1" customWidth="1"/>
    <col min="606" max="607" width="10.42578125" style="1491" bestFit="1" customWidth="1"/>
    <col min="608" max="608" width="10.7109375" style="1491" bestFit="1" customWidth="1"/>
    <col min="609" max="609" width="10.42578125" style="1491" bestFit="1" customWidth="1"/>
    <col min="610" max="612" width="10.7109375" style="1491" bestFit="1" customWidth="1"/>
    <col min="613" max="614" width="0" style="1491" hidden="1" customWidth="1"/>
    <col min="615" max="615" width="10.7109375" style="1491" bestFit="1" customWidth="1"/>
    <col min="616" max="617" width="10.42578125" style="1491" bestFit="1" customWidth="1"/>
    <col min="618" max="620" width="10.7109375" style="1491" bestFit="1" customWidth="1"/>
    <col min="621" max="622" width="10.42578125" style="1491" bestFit="1" customWidth="1"/>
    <col min="623" max="623" width="10.7109375" style="1491" bestFit="1" customWidth="1"/>
    <col min="624" max="624" width="10.42578125" style="1491" bestFit="1" customWidth="1"/>
    <col min="625" max="629" width="10.7109375" style="1491" bestFit="1" customWidth="1"/>
    <col min="630" max="631" width="10.42578125" style="1491" bestFit="1" customWidth="1"/>
    <col min="632" max="633" width="10.7109375" style="1491" bestFit="1" customWidth="1"/>
    <col min="634" max="634" width="10.42578125" style="1491" bestFit="1" customWidth="1"/>
    <col min="635" max="638" width="10.7109375" style="1491" bestFit="1" customWidth="1"/>
    <col min="639" max="639" width="10.42578125" style="1491" bestFit="1" customWidth="1"/>
    <col min="640" max="640" width="10.5703125" style="1491" customWidth="1"/>
    <col min="641" max="643" width="10.7109375" style="1491" bestFit="1" customWidth="1"/>
    <col min="644" max="644" width="10.42578125" style="1491" bestFit="1" customWidth="1"/>
    <col min="645" max="646" width="10.7109375" style="1491" bestFit="1" customWidth="1"/>
    <col min="647" max="647" width="10.42578125" style="1491" bestFit="1" customWidth="1"/>
    <col min="648" max="650" width="10.7109375" style="1491" bestFit="1" customWidth="1"/>
    <col min="651" max="651" width="10" style="1491" bestFit="1" customWidth="1"/>
    <col min="652" max="654" width="10.7109375" style="1491" bestFit="1" customWidth="1"/>
    <col min="655" max="655" width="10.42578125" style="1491" bestFit="1" customWidth="1"/>
    <col min="656" max="656" width="10.7109375" style="1491" bestFit="1" customWidth="1"/>
    <col min="657" max="759" width="7.5703125" style="1491"/>
    <col min="760" max="760" width="44.5703125" style="1491" customWidth="1"/>
    <col min="761" max="761" width="11.42578125" style="1491" customWidth="1"/>
    <col min="762" max="762" width="9.28515625" style="1491" customWidth="1"/>
    <col min="763" max="763" width="11" style="1491" customWidth="1"/>
    <col min="764" max="764" width="11.140625" style="1491" customWidth="1"/>
    <col min="765" max="765" width="8.140625" style="1491" bestFit="1" customWidth="1"/>
    <col min="766" max="766" width="7.85546875" style="1491" bestFit="1" customWidth="1"/>
    <col min="767" max="767" width="9.5703125" style="1491" bestFit="1" customWidth="1"/>
    <col min="768" max="768" width="9" style="1491" bestFit="1" customWidth="1"/>
    <col min="769" max="769" width="9.5703125" style="1491" bestFit="1" customWidth="1"/>
    <col min="770" max="770" width="9.42578125" style="1491" bestFit="1" customWidth="1"/>
    <col min="771" max="771" width="9.140625" style="1491" bestFit="1" customWidth="1"/>
    <col min="772" max="772" width="9.42578125" style="1491" bestFit="1" customWidth="1"/>
    <col min="773" max="773" width="9.140625" style="1491" bestFit="1" customWidth="1"/>
    <col min="774" max="774" width="9.5703125" style="1491" bestFit="1" customWidth="1"/>
    <col min="775" max="775" width="9.42578125" style="1491" bestFit="1" customWidth="1"/>
    <col min="776" max="778" width="9.140625" style="1491" bestFit="1" customWidth="1"/>
    <col min="779" max="779" width="10" style="1491" bestFit="1" customWidth="1"/>
    <col min="780" max="780" width="9.140625" style="1491" bestFit="1" customWidth="1"/>
    <col min="781" max="781" width="9.42578125" style="1491" bestFit="1" customWidth="1"/>
    <col min="782" max="782" width="8.7109375" style="1491" bestFit="1" customWidth="1"/>
    <col min="783" max="783" width="9" style="1491" bestFit="1" customWidth="1"/>
    <col min="784" max="784" width="9.42578125" style="1491" bestFit="1" customWidth="1"/>
    <col min="785" max="785" width="10" style="1491" bestFit="1" customWidth="1"/>
    <col min="786" max="786" width="8.85546875" style="1491" bestFit="1" customWidth="1"/>
    <col min="787" max="787" width="10.42578125" style="1491" bestFit="1" customWidth="1"/>
    <col min="788" max="788" width="8.85546875" style="1491" bestFit="1" customWidth="1"/>
    <col min="789" max="789" width="10.42578125" style="1491" bestFit="1" customWidth="1"/>
    <col min="790" max="791" width="9.5703125" style="1491" bestFit="1" customWidth="1"/>
    <col min="792" max="792" width="9.140625" style="1491" bestFit="1" customWidth="1"/>
    <col min="793" max="793" width="10" style="1491" bestFit="1" customWidth="1"/>
    <col min="794" max="794" width="9.140625" style="1491" bestFit="1" customWidth="1"/>
    <col min="795" max="795" width="10.42578125" style="1491" bestFit="1" customWidth="1"/>
    <col min="796" max="796" width="9.5703125" style="1491" bestFit="1" customWidth="1"/>
    <col min="797" max="797" width="10.42578125" style="1491" bestFit="1" customWidth="1"/>
    <col min="798" max="798" width="9.5703125" style="1491" bestFit="1" customWidth="1"/>
    <col min="799" max="799" width="10" style="1491" bestFit="1" customWidth="1"/>
    <col min="800" max="800" width="9.5703125" style="1491" bestFit="1" customWidth="1"/>
    <col min="801" max="801" width="10" style="1491" bestFit="1" customWidth="1"/>
    <col min="802" max="802" width="9.5703125" style="1491" bestFit="1" customWidth="1"/>
    <col min="803" max="803" width="10.7109375" style="1491" bestFit="1" customWidth="1"/>
    <col min="804" max="804" width="9.5703125" style="1491" bestFit="1" customWidth="1"/>
    <col min="805" max="805" width="10.7109375" style="1491" bestFit="1" customWidth="1"/>
    <col min="806" max="806" width="9.5703125" style="1491" bestFit="1" customWidth="1"/>
    <col min="807" max="807" width="10.7109375" style="1491" bestFit="1" customWidth="1"/>
    <col min="808" max="808" width="9.5703125" style="1491" bestFit="1" customWidth="1"/>
    <col min="809" max="809" width="10.7109375" style="1491" bestFit="1" customWidth="1"/>
    <col min="810" max="810" width="9.140625" style="1491" bestFit="1" customWidth="1"/>
    <col min="811" max="811" width="10.7109375" style="1491" bestFit="1" customWidth="1"/>
    <col min="812" max="812" width="9.5703125" style="1491" bestFit="1" customWidth="1"/>
    <col min="813" max="813" width="10.42578125" style="1491" bestFit="1" customWidth="1"/>
    <col min="814" max="814" width="9.5703125" style="1491" bestFit="1" customWidth="1"/>
    <col min="815" max="815" width="10.7109375" style="1491" bestFit="1" customWidth="1"/>
    <col min="816" max="816" width="9.5703125" style="1491" bestFit="1" customWidth="1"/>
    <col min="817" max="817" width="10.7109375" style="1491" bestFit="1" customWidth="1"/>
    <col min="818" max="818" width="9.140625" style="1491" bestFit="1" customWidth="1"/>
    <col min="819" max="819" width="10.7109375" style="1491" bestFit="1" customWidth="1"/>
    <col min="820" max="820" width="9.5703125" style="1491" bestFit="1" customWidth="1"/>
    <col min="821" max="821" width="10.42578125" style="1491" bestFit="1" customWidth="1"/>
    <col min="822" max="822" width="9.140625" style="1491" bestFit="1" customWidth="1"/>
    <col min="823" max="823" width="10" style="1491" bestFit="1" customWidth="1"/>
    <col min="824" max="826" width="10.42578125" style="1491" bestFit="1" customWidth="1"/>
    <col min="827" max="827" width="10" style="1491" bestFit="1" customWidth="1"/>
    <col min="828" max="828" width="10.7109375" style="1491" bestFit="1" customWidth="1"/>
    <col min="829" max="829" width="10.42578125" style="1491" bestFit="1" customWidth="1"/>
    <col min="830" max="830" width="10.7109375" style="1491" bestFit="1" customWidth="1"/>
    <col min="831" max="833" width="10" style="1491" bestFit="1" customWidth="1"/>
    <col min="834" max="834" width="10.7109375" style="1491" bestFit="1" customWidth="1"/>
    <col min="835" max="835" width="10.42578125" style="1491" bestFit="1" customWidth="1"/>
    <col min="836" max="836" width="10.7109375" style="1491" bestFit="1" customWidth="1"/>
    <col min="837" max="837" width="10.42578125" style="1491" bestFit="1" customWidth="1"/>
    <col min="838" max="840" width="10" style="1491" bestFit="1" customWidth="1"/>
    <col min="841" max="841" width="10.42578125" style="1491" bestFit="1" customWidth="1"/>
    <col min="842" max="842" width="10" style="1491" bestFit="1" customWidth="1"/>
    <col min="843" max="846" width="10.42578125" style="1491" bestFit="1" customWidth="1"/>
    <col min="847" max="847" width="10" style="1491" bestFit="1" customWidth="1"/>
    <col min="848" max="848" width="10.42578125" style="1491" bestFit="1" customWidth="1"/>
    <col min="849" max="849" width="10.7109375" style="1491" bestFit="1" customWidth="1"/>
    <col min="850" max="850" width="10" style="1491" bestFit="1" customWidth="1"/>
    <col min="851" max="852" width="10.42578125" style="1491" bestFit="1" customWidth="1"/>
    <col min="853" max="855" width="10" style="1491" bestFit="1" customWidth="1"/>
    <col min="856" max="856" width="10.7109375" style="1491" bestFit="1" customWidth="1"/>
    <col min="857" max="857" width="10" style="1491" bestFit="1" customWidth="1"/>
    <col min="858" max="858" width="10.42578125" style="1491" bestFit="1" customWidth="1"/>
    <col min="859" max="860" width="10.7109375" style="1491" bestFit="1" customWidth="1"/>
    <col min="861" max="861" width="10" style="1491" bestFit="1" customWidth="1"/>
    <col min="862" max="863" width="10.42578125" style="1491" bestFit="1" customWidth="1"/>
    <col min="864" max="864" width="10.7109375" style="1491" bestFit="1" customWidth="1"/>
    <col min="865" max="865" width="10.42578125" style="1491" bestFit="1" customWidth="1"/>
    <col min="866" max="868" width="10.7109375" style="1491" bestFit="1" customWidth="1"/>
    <col min="869" max="870" width="0" style="1491" hidden="1" customWidth="1"/>
    <col min="871" max="871" width="10.7109375" style="1491" bestFit="1" customWidth="1"/>
    <col min="872" max="873" width="10.42578125" style="1491" bestFit="1" customWidth="1"/>
    <col min="874" max="876" width="10.7109375" style="1491" bestFit="1" customWidth="1"/>
    <col min="877" max="878" width="10.42578125" style="1491" bestFit="1" customWidth="1"/>
    <col min="879" max="879" width="10.7109375" style="1491" bestFit="1" customWidth="1"/>
    <col min="880" max="880" width="10.42578125" style="1491" bestFit="1" customWidth="1"/>
    <col min="881" max="885" width="10.7109375" style="1491" bestFit="1" customWidth="1"/>
    <col min="886" max="887" width="10.42578125" style="1491" bestFit="1" customWidth="1"/>
    <col min="888" max="889" width="10.7109375" style="1491" bestFit="1" customWidth="1"/>
    <col min="890" max="890" width="10.42578125" style="1491" bestFit="1" customWidth="1"/>
    <col min="891" max="894" width="10.7109375" style="1491" bestFit="1" customWidth="1"/>
    <col min="895" max="895" width="10.42578125" style="1491" bestFit="1" customWidth="1"/>
    <col min="896" max="896" width="10.5703125" style="1491" customWidth="1"/>
    <col min="897" max="899" width="10.7109375" style="1491" bestFit="1" customWidth="1"/>
    <col min="900" max="900" width="10.42578125" style="1491" bestFit="1" customWidth="1"/>
    <col min="901" max="902" width="10.7109375" style="1491" bestFit="1" customWidth="1"/>
    <col min="903" max="903" width="10.42578125" style="1491" bestFit="1" customWidth="1"/>
    <col min="904" max="906" width="10.7109375" style="1491" bestFit="1" customWidth="1"/>
    <col min="907" max="907" width="10" style="1491" bestFit="1" customWidth="1"/>
    <col min="908" max="910" width="10.7109375" style="1491" bestFit="1" customWidth="1"/>
    <col min="911" max="911" width="10.42578125" style="1491" bestFit="1" customWidth="1"/>
    <col min="912" max="912" width="10.7109375" style="1491" bestFit="1" customWidth="1"/>
    <col min="913" max="1015" width="7.5703125" style="1491"/>
    <col min="1016" max="1016" width="44.5703125" style="1491" customWidth="1"/>
    <col min="1017" max="1017" width="11.42578125" style="1491" customWidth="1"/>
    <col min="1018" max="1018" width="9.28515625" style="1491" customWidth="1"/>
    <col min="1019" max="1019" width="11" style="1491" customWidth="1"/>
    <col min="1020" max="1020" width="11.140625" style="1491" customWidth="1"/>
    <col min="1021" max="1021" width="8.140625" style="1491" bestFit="1" customWidth="1"/>
    <col min="1022" max="1022" width="7.85546875" style="1491" bestFit="1" customWidth="1"/>
    <col min="1023" max="1023" width="9.5703125" style="1491" bestFit="1" customWidth="1"/>
    <col min="1024" max="1024" width="9" style="1491" bestFit="1" customWidth="1"/>
    <col min="1025" max="1025" width="9.5703125" style="1491" bestFit="1" customWidth="1"/>
    <col min="1026" max="1026" width="9.42578125" style="1491" bestFit="1" customWidth="1"/>
    <col min="1027" max="1027" width="9.140625" style="1491" bestFit="1" customWidth="1"/>
    <col min="1028" max="1028" width="9.42578125" style="1491" bestFit="1" customWidth="1"/>
    <col min="1029" max="1029" width="9.140625" style="1491" bestFit="1" customWidth="1"/>
    <col min="1030" max="1030" width="9.5703125" style="1491" bestFit="1" customWidth="1"/>
    <col min="1031" max="1031" width="9.42578125" style="1491" bestFit="1" customWidth="1"/>
    <col min="1032" max="1034" width="9.140625" style="1491" bestFit="1" customWidth="1"/>
    <col min="1035" max="1035" width="10" style="1491" bestFit="1" customWidth="1"/>
    <col min="1036" max="1036" width="9.140625" style="1491" bestFit="1" customWidth="1"/>
    <col min="1037" max="1037" width="9.42578125" style="1491" bestFit="1" customWidth="1"/>
    <col min="1038" max="1038" width="8.7109375" style="1491" bestFit="1" customWidth="1"/>
    <col min="1039" max="1039" width="9" style="1491" bestFit="1" customWidth="1"/>
    <col min="1040" max="1040" width="9.42578125" style="1491" bestFit="1" customWidth="1"/>
    <col min="1041" max="1041" width="10" style="1491" bestFit="1" customWidth="1"/>
    <col min="1042" max="1042" width="8.85546875" style="1491" bestFit="1" customWidth="1"/>
    <col min="1043" max="1043" width="10.42578125" style="1491" bestFit="1" customWidth="1"/>
    <col min="1044" max="1044" width="8.85546875" style="1491" bestFit="1" customWidth="1"/>
    <col min="1045" max="1045" width="10.42578125" style="1491" bestFit="1" customWidth="1"/>
    <col min="1046" max="1047" width="9.5703125" style="1491" bestFit="1" customWidth="1"/>
    <col min="1048" max="1048" width="9.140625" style="1491" bestFit="1" customWidth="1"/>
    <col min="1049" max="1049" width="10" style="1491" bestFit="1" customWidth="1"/>
    <col min="1050" max="1050" width="9.140625" style="1491" bestFit="1" customWidth="1"/>
    <col min="1051" max="1051" width="10.42578125" style="1491" bestFit="1" customWidth="1"/>
    <col min="1052" max="1052" width="9.5703125" style="1491" bestFit="1" customWidth="1"/>
    <col min="1053" max="1053" width="10.42578125" style="1491" bestFit="1" customWidth="1"/>
    <col min="1054" max="1054" width="9.5703125" style="1491" bestFit="1" customWidth="1"/>
    <col min="1055" max="1055" width="10" style="1491" bestFit="1" customWidth="1"/>
    <col min="1056" max="1056" width="9.5703125" style="1491" bestFit="1" customWidth="1"/>
    <col min="1057" max="1057" width="10" style="1491" bestFit="1" customWidth="1"/>
    <col min="1058" max="1058" width="9.5703125" style="1491" bestFit="1" customWidth="1"/>
    <col min="1059" max="1059" width="10.7109375" style="1491" bestFit="1" customWidth="1"/>
    <col min="1060" max="1060" width="9.5703125" style="1491" bestFit="1" customWidth="1"/>
    <col min="1061" max="1061" width="10.7109375" style="1491" bestFit="1" customWidth="1"/>
    <col min="1062" max="1062" width="9.5703125" style="1491" bestFit="1" customWidth="1"/>
    <col min="1063" max="1063" width="10.7109375" style="1491" bestFit="1" customWidth="1"/>
    <col min="1064" max="1064" width="9.5703125" style="1491" bestFit="1" customWidth="1"/>
    <col min="1065" max="1065" width="10.7109375" style="1491" bestFit="1" customWidth="1"/>
    <col min="1066" max="1066" width="9.140625" style="1491" bestFit="1" customWidth="1"/>
    <col min="1067" max="1067" width="10.7109375" style="1491" bestFit="1" customWidth="1"/>
    <col min="1068" max="1068" width="9.5703125" style="1491" bestFit="1" customWidth="1"/>
    <col min="1069" max="1069" width="10.42578125" style="1491" bestFit="1" customWidth="1"/>
    <col min="1070" max="1070" width="9.5703125" style="1491" bestFit="1" customWidth="1"/>
    <col min="1071" max="1071" width="10.7109375" style="1491" bestFit="1" customWidth="1"/>
    <col min="1072" max="1072" width="9.5703125" style="1491" bestFit="1" customWidth="1"/>
    <col min="1073" max="1073" width="10.7109375" style="1491" bestFit="1" customWidth="1"/>
    <col min="1074" max="1074" width="9.140625" style="1491" bestFit="1" customWidth="1"/>
    <col min="1075" max="1075" width="10.7109375" style="1491" bestFit="1" customWidth="1"/>
    <col min="1076" max="1076" width="9.5703125" style="1491" bestFit="1" customWidth="1"/>
    <col min="1077" max="1077" width="10.42578125" style="1491" bestFit="1" customWidth="1"/>
    <col min="1078" max="1078" width="9.140625" style="1491" bestFit="1" customWidth="1"/>
    <col min="1079" max="1079" width="10" style="1491" bestFit="1" customWidth="1"/>
    <col min="1080" max="1082" width="10.42578125" style="1491" bestFit="1" customWidth="1"/>
    <col min="1083" max="1083" width="10" style="1491" bestFit="1" customWidth="1"/>
    <col min="1084" max="1084" width="10.7109375" style="1491" bestFit="1" customWidth="1"/>
    <col min="1085" max="1085" width="10.42578125" style="1491" bestFit="1" customWidth="1"/>
    <col min="1086" max="1086" width="10.7109375" style="1491" bestFit="1" customWidth="1"/>
    <col min="1087" max="1089" width="10" style="1491" bestFit="1" customWidth="1"/>
    <col min="1090" max="1090" width="10.7109375" style="1491" bestFit="1" customWidth="1"/>
    <col min="1091" max="1091" width="10.42578125" style="1491" bestFit="1" customWidth="1"/>
    <col min="1092" max="1092" width="10.7109375" style="1491" bestFit="1" customWidth="1"/>
    <col min="1093" max="1093" width="10.42578125" style="1491" bestFit="1" customWidth="1"/>
    <col min="1094" max="1096" width="10" style="1491" bestFit="1" customWidth="1"/>
    <col min="1097" max="1097" width="10.42578125" style="1491" bestFit="1" customWidth="1"/>
    <col min="1098" max="1098" width="10" style="1491" bestFit="1" customWidth="1"/>
    <col min="1099" max="1102" width="10.42578125" style="1491" bestFit="1" customWidth="1"/>
    <col min="1103" max="1103" width="10" style="1491" bestFit="1" customWidth="1"/>
    <col min="1104" max="1104" width="10.42578125" style="1491" bestFit="1" customWidth="1"/>
    <col min="1105" max="1105" width="10.7109375" style="1491" bestFit="1" customWidth="1"/>
    <col min="1106" max="1106" width="10" style="1491" bestFit="1" customWidth="1"/>
    <col min="1107" max="1108" width="10.42578125" style="1491" bestFit="1" customWidth="1"/>
    <col min="1109" max="1111" width="10" style="1491" bestFit="1" customWidth="1"/>
    <col min="1112" max="1112" width="10.7109375" style="1491" bestFit="1" customWidth="1"/>
    <col min="1113" max="1113" width="10" style="1491" bestFit="1" customWidth="1"/>
    <col min="1114" max="1114" width="10.42578125" style="1491" bestFit="1" customWidth="1"/>
    <col min="1115" max="1116" width="10.7109375" style="1491" bestFit="1" customWidth="1"/>
    <col min="1117" max="1117" width="10" style="1491" bestFit="1" customWidth="1"/>
    <col min="1118" max="1119" width="10.42578125" style="1491" bestFit="1" customWidth="1"/>
    <col min="1120" max="1120" width="10.7109375" style="1491" bestFit="1" customWidth="1"/>
    <col min="1121" max="1121" width="10.42578125" style="1491" bestFit="1" customWidth="1"/>
    <col min="1122" max="1124" width="10.7109375" style="1491" bestFit="1" customWidth="1"/>
    <col min="1125" max="1126" width="0" style="1491" hidden="1" customWidth="1"/>
    <col min="1127" max="1127" width="10.7109375" style="1491" bestFit="1" customWidth="1"/>
    <col min="1128" max="1129" width="10.42578125" style="1491" bestFit="1" customWidth="1"/>
    <col min="1130" max="1132" width="10.7109375" style="1491" bestFit="1" customWidth="1"/>
    <col min="1133" max="1134" width="10.42578125" style="1491" bestFit="1" customWidth="1"/>
    <col min="1135" max="1135" width="10.7109375" style="1491" bestFit="1" customWidth="1"/>
    <col min="1136" max="1136" width="10.42578125" style="1491" bestFit="1" customWidth="1"/>
    <col min="1137" max="1141" width="10.7109375" style="1491" bestFit="1" customWidth="1"/>
    <col min="1142" max="1143" width="10.42578125" style="1491" bestFit="1" customWidth="1"/>
    <col min="1144" max="1145" width="10.7109375" style="1491" bestFit="1" customWidth="1"/>
    <col min="1146" max="1146" width="10.42578125" style="1491" bestFit="1" customWidth="1"/>
    <col min="1147" max="1150" width="10.7109375" style="1491" bestFit="1" customWidth="1"/>
    <col min="1151" max="1151" width="10.42578125" style="1491" bestFit="1" customWidth="1"/>
    <col min="1152" max="1152" width="10.5703125" style="1491" customWidth="1"/>
    <col min="1153" max="1155" width="10.7109375" style="1491" bestFit="1" customWidth="1"/>
    <col min="1156" max="1156" width="10.42578125" style="1491" bestFit="1" customWidth="1"/>
    <col min="1157" max="1158" width="10.7109375" style="1491" bestFit="1" customWidth="1"/>
    <col min="1159" max="1159" width="10.42578125" style="1491" bestFit="1" customWidth="1"/>
    <col min="1160" max="1162" width="10.7109375" style="1491" bestFit="1" customWidth="1"/>
    <col min="1163" max="1163" width="10" style="1491" bestFit="1" customWidth="1"/>
    <col min="1164" max="1166" width="10.7109375" style="1491" bestFit="1" customWidth="1"/>
    <col min="1167" max="1167" width="10.42578125" style="1491" bestFit="1" customWidth="1"/>
    <col min="1168" max="1168" width="10.7109375" style="1491" bestFit="1" customWidth="1"/>
    <col min="1169" max="1271" width="7.5703125" style="1491"/>
    <col min="1272" max="1272" width="44.5703125" style="1491" customWidth="1"/>
    <col min="1273" max="1273" width="11.42578125" style="1491" customWidth="1"/>
    <col min="1274" max="1274" width="9.28515625" style="1491" customWidth="1"/>
    <col min="1275" max="1275" width="11" style="1491" customWidth="1"/>
    <col min="1276" max="1276" width="11.140625" style="1491" customWidth="1"/>
    <col min="1277" max="1277" width="8.140625" style="1491" bestFit="1" customWidth="1"/>
    <col min="1278" max="1278" width="7.85546875" style="1491" bestFit="1" customWidth="1"/>
    <col min="1279" max="1279" width="9.5703125" style="1491" bestFit="1" customWidth="1"/>
    <col min="1280" max="1280" width="9" style="1491" bestFit="1" customWidth="1"/>
    <col min="1281" max="1281" width="9.5703125" style="1491" bestFit="1" customWidth="1"/>
    <col min="1282" max="1282" width="9.42578125" style="1491" bestFit="1" customWidth="1"/>
    <col min="1283" max="1283" width="9.140625" style="1491" bestFit="1" customWidth="1"/>
    <col min="1284" max="1284" width="9.42578125" style="1491" bestFit="1" customWidth="1"/>
    <col min="1285" max="1285" width="9.140625" style="1491" bestFit="1" customWidth="1"/>
    <col min="1286" max="1286" width="9.5703125" style="1491" bestFit="1" customWidth="1"/>
    <col min="1287" max="1287" width="9.42578125" style="1491" bestFit="1" customWidth="1"/>
    <col min="1288" max="1290" width="9.140625" style="1491" bestFit="1" customWidth="1"/>
    <col min="1291" max="1291" width="10" style="1491" bestFit="1" customWidth="1"/>
    <col min="1292" max="1292" width="9.140625" style="1491" bestFit="1" customWidth="1"/>
    <col min="1293" max="1293" width="9.42578125" style="1491" bestFit="1" customWidth="1"/>
    <col min="1294" max="1294" width="8.7109375" style="1491" bestFit="1" customWidth="1"/>
    <col min="1295" max="1295" width="9" style="1491" bestFit="1" customWidth="1"/>
    <col min="1296" max="1296" width="9.42578125" style="1491" bestFit="1" customWidth="1"/>
    <col min="1297" max="1297" width="10" style="1491" bestFit="1" customWidth="1"/>
    <col min="1298" max="1298" width="8.85546875" style="1491" bestFit="1" customWidth="1"/>
    <col min="1299" max="1299" width="10.42578125" style="1491" bestFit="1" customWidth="1"/>
    <col min="1300" max="1300" width="8.85546875" style="1491" bestFit="1" customWidth="1"/>
    <col min="1301" max="1301" width="10.42578125" style="1491" bestFit="1" customWidth="1"/>
    <col min="1302" max="1303" width="9.5703125" style="1491" bestFit="1" customWidth="1"/>
    <col min="1304" max="1304" width="9.140625" style="1491" bestFit="1" customWidth="1"/>
    <col min="1305" max="1305" width="10" style="1491" bestFit="1" customWidth="1"/>
    <col min="1306" max="1306" width="9.140625" style="1491" bestFit="1" customWidth="1"/>
    <col min="1307" max="1307" width="10.42578125" style="1491" bestFit="1" customWidth="1"/>
    <col min="1308" max="1308" width="9.5703125" style="1491" bestFit="1" customWidth="1"/>
    <col min="1309" max="1309" width="10.42578125" style="1491" bestFit="1" customWidth="1"/>
    <col min="1310" max="1310" width="9.5703125" style="1491" bestFit="1" customWidth="1"/>
    <col min="1311" max="1311" width="10" style="1491" bestFit="1" customWidth="1"/>
    <col min="1312" max="1312" width="9.5703125" style="1491" bestFit="1" customWidth="1"/>
    <col min="1313" max="1313" width="10" style="1491" bestFit="1" customWidth="1"/>
    <col min="1314" max="1314" width="9.5703125" style="1491" bestFit="1" customWidth="1"/>
    <col min="1315" max="1315" width="10.7109375" style="1491" bestFit="1" customWidth="1"/>
    <col min="1316" max="1316" width="9.5703125" style="1491" bestFit="1" customWidth="1"/>
    <col min="1317" max="1317" width="10.7109375" style="1491" bestFit="1" customWidth="1"/>
    <col min="1318" max="1318" width="9.5703125" style="1491" bestFit="1" customWidth="1"/>
    <col min="1319" max="1319" width="10.7109375" style="1491" bestFit="1" customWidth="1"/>
    <col min="1320" max="1320" width="9.5703125" style="1491" bestFit="1" customWidth="1"/>
    <col min="1321" max="1321" width="10.7109375" style="1491" bestFit="1" customWidth="1"/>
    <col min="1322" max="1322" width="9.140625" style="1491" bestFit="1" customWidth="1"/>
    <col min="1323" max="1323" width="10.7109375" style="1491" bestFit="1" customWidth="1"/>
    <col min="1324" max="1324" width="9.5703125" style="1491" bestFit="1" customWidth="1"/>
    <col min="1325" max="1325" width="10.42578125" style="1491" bestFit="1" customWidth="1"/>
    <col min="1326" max="1326" width="9.5703125" style="1491" bestFit="1" customWidth="1"/>
    <col min="1327" max="1327" width="10.7109375" style="1491" bestFit="1" customWidth="1"/>
    <col min="1328" max="1328" width="9.5703125" style="1491" bestFit="1" customWidth="1"/>
    <col min="1329" max="1329" width="10.7109375" style="1491" bestFit="1" customWidth="1"/>
    <col min="1330" max="1330" width="9.140625" style="1491" bestFit="1" customWidth="1"/>
    <col min="1331" max="1331" width="10.7109375" style="1491" bestFit="1" customWidth="1"/>
    <col min="1332" max="1332" width="9.5703125" style="1491" bestFit="1" customWidth="1"/>
    <col min="1333" max="1333" width="10.42578125" style="1491" bestFit="1" customWidth="1"/>
    <col min="1334" max="1334" width="9.140625" style="1491" bestFit="1" customWidth="1"/>
    <col min="1335" max="1335" width="10" style="1491" bestFit="1" customWidth="1"/>
    <col min="1336" max="1338" width="10.42578125" style="1491" bestFit="1" customWidth="1"/>
    <col min="1339" max="1339" width="10" style="1491" bestFit="1" customWidth="1"/>
    <col min="1340" max="1340" width="10.7109375" style="1491" bestFit="1" customWidth="1"/>
    <col min="1341" max="1341" width="10.42578125" style="1491" bestFit="1" customWidth="1"/>
    <col min="1342" max="1342" width="10.7109375" style="1491" bestFit="1" customWidth="1"/>
    <col min="1343" max="1345" width="10" style="1491" bestFit="1" customWidth="1"/>
    <col min="1346" max="1346" width="10.7109375" style="1491" bestFit="1" customWidth="1"/>
    <col min="1347" max="1347" width="10.42578125" style="1491" bestFit="1" customWidth="1"/>
    <col min="1348" max="1348" width="10.7109375" style="1491" bestFit="1" customWidth="1"/>
    <col min="1349" max="1349" width="10.42578125" style="1491" bestFit="1" customWidth="1"/>
    <col min="1350" max="1352" width="10" style="1491" bestFit="1" customWidth="1"/>
    <col min="1353" max="1353" width="10.42578125" style="1491" bestFit="1" customWidth="1"/>
    <col min="1354" max="1354" width="10" style="1491" bestFit="1" customWidth="1"/>
    <col min="1355" max="1358" width="10.42578125" style="1491" bestFit="1" customWidth="1"/>
    <col min="1359" max="1359" width="10" style="1491" bestFit="1" customWidth="1"/>
    <col min="1360" max="1360" width="10.42578125" style="1491" bestFit="1" customWidth="1"/>
    <col min="1361" max="1361" width="10.7109375" style="1491" bestFit="1" customWidth="1"/>
    <col min="1362" max="1362" width="10" style="1491" bestFit="1" customWidth="1"/>
    <col min="1363" max="1364" width="10.42578125" style="1491" bestFit="1" customWidth="1"/>
    <col min="1365" max="1367" width="10" style="1491" bestFit="1" customWidth="1"/>
    <col min="1368" max="1368" width="10.7109375" style="1491" bestFit="1" customWidth="1"/>
    <col min="1369" max="1369" width="10" style="1491" bestFit="1" customWidth="1"/>
    <col min="1370" max="1370" width="10.42578125" style="1491" bestFit="1" customWidth="1"/>
    <col min="1371" max="1372" width="10.7109375" style="1491" bestFit="1" customWidth="1"/>
    <col min="1373" max="1373" width="10" style="1491" bestFit="1" customWidth="1"/>
    <col min="1374" max="1375" width="10.42578125" style="1491" bestFit="1" customWidth="1"/>
    <col min="1376" max="1376" width="10.7109375" style="1491" bestFit="1" customWidth="1"/>
    <col min="1377" max="1377" width="10.42578125" style="1491" bestFit="1" customWidth="1"/>
    <col min="1378" max="1380" width="10.7109375" style="1491" bestFit="1" customWidth="1"/>
    <col min="1381" max="1382" width="0" style="1491" hidden="1" customWidth="1"/>
    <col min="1383" max="1383" width="10.7109375" style="1491" bestFit="1" customWidth="1"/>
    <col min="1384" max="1385" width="10.42578125" style="1491" bestFit="1" customWidth="1"/>
    <col min="1386" max="1388" width="10.7109375" style="1491" bestFit="1" customWidth="1"/>
    <col min="1389" max="1390" width="10.42578125" style="1491" bestFit="1" customWidth="1"/>
    <col min="1391" max="1391" width="10.7109375" style="1491" bestFit="1" customWidth="1"/>
    <col min="1392" max="1392" width="10.42578125" style="1491" bestFit="1" customWidth="1"/>
    <col min="1393" max="1397" width="10.7109375" style="1491" bestFit="1" customWidth="1"/>
    <col min="1398" max="1399" width="10.42578125" style="1491" bestFit="1" customWidth="1"/>
    <col min="1400" max="1401" width="10.7109375" style="1491" bestFit="1" customWidth="1"/>
    <col min="1402" max="1402" width="10.42578125" style="1491" bestFit="1" customWidth="1"/>
    <col min="1403" max="1406" width="10.7109375" style="1491" bestFit="1" customWidth="1"/>
    <col min="1407" max="1407" width="10.42578125" style="1491" bestFit="1" customWidth="1"/>
    <col min="1408" max="1408" width="10.5703125" style="1491" customWidth="1"/>
    <col min="1409" max="1411" width="10.7109375" style="1491" bestFit="1" customWidth="1"/>
    <col min="1412" max="1412" width="10.42578125" style="1491" bestFit="1" customWidth="1"/>
    <col min="1413" max="1414" width="10.7109375" style="1491" bestFit="1" customWidth="1"/>
    <col min="1415" max="1415" width="10.42578125" style="1491" bestFit="1" customWidth="1"/>
    <col min="1416" max="1418" width="10.7109375" style="1491" bestFit="1" customWidth="1"/>
    <col min="1419" max="1419" width="10" style="1491" bestFit="1" customWidth="1"/>
    <col min="1420" max="1422" width="10.7109375" style="1491" bestFit="1" customWidth="1"/>
    <col min="1423" max="1423" width="10.42578125" style="1491" bestFit="1" customWidth="1"/>
    <col min="1424" max="1424" width="10.7109375" style="1491" bestFit="1" customWidth="1"/>
    <col min="1425" max="1527" width="7.5703125" style="1491"/>
    <col min="1528" max="1528" width="44.5703125" style="1491" customWidth="1"/>
    <col min="1529" max="1529" width="11.42578125" style="1491" customWidth="1"/>
    <col min="1530" max="1530" width="9.28515625" style="1491" customWidth="1"/>
    <col min="1531" max="1531" width="11" style="1491" customWidth="1"/>
    <col min="1532" max="1532" width="11.140625" style="1491" customWidth="1"/>
    <col min="1533" max="1533" width="8.140625" style="1491" bestFit="1" customWidth="1"/>
    <col min="1534" max="1534" width="7.85546875" style="1491" bestFit="1" customWidth="1"/>
    <col min="1535" max="1535" width="9.5703125" style="1491" bestFit="1" customWidth="1"/>
    <col min="1536" max="1536" width="9" style="1491" bestFit="1" customWidth="1"/>
    <col min="1537" max="1537" width="9.5703125" style="1491" bestFit="1" customWidth="1"/>
    <col min="1538" max="1538" width="9.42578125" style="1491" bestFit="1" customWidth="1"/>
    <col min="1539" max="1539" width="9.140625" style="1491" bestFit="1" customWidth="1"/>
    <col min="1540" max="1540" width="9.42578125" style="1491" bestFit="1" customWidth="1"/>
    <col min="1541" max="1541" width="9.140625" style="1491" bestFit="1" customWidth="1"/>
    <col min="1542" max="1542" width="9.5703125" style="1491" bestFit="1" customWidth="1"/>
    <col min="1543" max="1543" width="9.42578125" style="1491" bestFit="1" customWidth="1"/>
    <col min="1544" max="1546" width="9.140625" style="1491" bestFit="1" customWidth="1"/>
    <col min="1547" max="1547" width="10" style="1491" bestFit="1" customWidth="1"/>
    <col min="1548" max="1548" width="9.140625" style="1491" bestFit="1" customWidth="1"/>
    <col min="1549" max="1549" width="9.42578125" style="1491" bestFit="1" customWidth="1"/>
    <col min="1550" max="1550" width="8.7109375" style="1491" bestFit="1" customWidth="1"/>
    <col min="1551" max="1551" width="9" style="1491" bestFit="1" customWidth="1"/>
    <col min="1552" max="1552" width="9.42578125" style="1491" bestFit="1" customWidth="1"/>
    <col min="1553" max="1553" width="10" style="1491" bestFit="1" customWidth="1"/>
    <col min="1554" max="1554" width="8.85546875" style="1491" bestFit="1" customWidth="1"/>
    <col min="1555" max="1555" width="10.42578125" style="1491" bestFit="1" customWidth="1"/>
    <col min="1556" max="1556" width="8.85546875" style="1491" bestFit="1" customWidth="1"/>
    <col min="1557" max="1557" width="10.42578125" style="1491" bestFit="1" customWidth="1"/>
    <col min="1558" max="1559" width="9.5703125" style="1491" bestFit="1" customWidth="1"/>
    <col min="1560" max="1560" width="9.140625" style="1491" bestFit="1" customWidth="1"/>
    <col min="1561" max="1561" width="10" style="1491" bestFit="1" customWidth="1"/>
    <col min="1562" max="1562" width="9.140625" style="1491" bestFit="1" customWidth="1"/>
    <col min="1563" max="1563" width="10.42578125" style="1491" bestFit="1" customWidth="1"/>
    <col min="1564" max="1564" width="9.5703125" style="1491" bestFit="1" customWidth="1"/>
    <col min="1565" max="1565" width="10.42578125" style="1491" bestFit="1" customWidth="1"/>
    <col min="1566" max="1566" width="9.5703125" style="1491" bestFit="1" customWidth="1"/>
    <col min="1567" max="1567" width="10" style="1491" bestFit="1" customWidth="1"/>
    <col min="1568" max="1568" width="9.5703125" style="1491" bestFit="1" customWidth="1"/>
    <col min="1569" max="1569" width="10" style="1491" bestFit="1" customWidth="1"/>
    <col min="1570" max="1570" width="9.5703125" style="1491" bestFit="1" customWidth="1"/>
    <col min="1571" max="1571" width="10.7109375" style="1491" bestFit="1" customWidth="1"/>
    <col min="1572" max="1572" width="9.5703125" style="1491" bestFit="1" customWidth="1"/>
    <col min="1573" max="1573" width="10.7109375" style="1491" bestFit="1" customWidth="1"/>
    <col min="1574" max="1574" width="9.5703125" style="1491" bestFit="1" customWidth="1"/>
    <col min="1575" max="1575" width="10.7109375" style="1491" bestFit="1" customWidth="1"/>
    <col min="1576" max="1576" width="9.5703125" style="1491" bestFit="1" customWidth="1"/>
    <col min="1577" max="1577" width="10.7109375" style="1491" bestFit="1" customWidth="1"/>
    <col min="1578" max="1578" width="9.140625" style="1491" bestFit="1" customWidth="1"/>
    <col min="1579" max="1579" width="10.7109375" style="1491" bestFit="1" customWidth="1"/>
    <col min="1580" max="1580" width="9.5703125" style="1491" bestFit="1" customWidth="1"/>
    <col min="1581" max="1581" width="10.42578125" style="1491" bestFit="1" customWidth="1"/>
    <col min="1582" max="1582" width="9.5703125" style="1491" bestFit="1" customWidth="1"/>
    <col min="1583" max="1583" width="10.7109375" style="1491" bestFit="1" customWidth="1"/>
    <col min="1584" max="1584" width="9.5703125" style="1491" bestFit="1" customWidth="1"/>
    <col min="1585" max="1585" width="10.7109375" style="1491" bestFit="1" customWidth="1"/>
    <col min="1586" max="1586" width="9.140625" style="1491" bestFit="1" customWidth="1"/>
    <col min="1587" max="1587" width="10.7109375" style="1491" bestFit="1" customWidth="1"/>
    <col min="1588" max="1588" width="9.5703125" style="1491" bestFit="1" customWidth="1"/>
    <col min="1589" max="1589" width="10.42578125" style="1491" bestFit="1" customWidth="1"/>
    <col min="1590" max="1590" width="9.140625" style="1491" bestFit="1" customWidth="1"/>
    <col min="1591" max="1591" width="10" style="1491" bestFit="1" customWidth="1"/>
    <col min="1592" max="1594" width="10.42578125" style="1491" bestFit="1" customWidth="1"/>
    <col min="1595" max="1595" width="10" style="1491" bestFit="1" customWidth="1"/>
    <col min="1596" max="1596" width="10.7109375" style="1491" bestFit="1" customWidth="1"/>
    <col min="1597" max="1597" width="10.42578125" style="1491" bestFit="1" customWidth="1"/>
    <col min="1598" max="1598" width="10.7109375" style="1491" bestFit="1" customWidth="1"/>
    <col min="1599" max="1601" width="10" style="1491" bestFit="1" customWidth="1"/>
    <col min="1602" max="1602" width="10.7109375" style="1491" bestFit="1" customWidth="1"/>
    <col min="1603" max="1603" width="10.42578125" style="1491" bestFit="1" customWidth="1"/>
    <col min="1604" max="1604" width="10.7109375" style="1491" bestFit="1" customWidth="1"/>
    <col min="1605" max="1605" width="10.42578125" style="1491" bestFit="1" customWidth="1"/>
    <col min="1606" max="1608" width="10" style="1491" bestFit="1" customWidth="1"/>
    <col min="1609" max="1609" width="10.42578125" style="1491" bestFit="1" customWidth="1"/>
    <col min="1610" max="1610" width="10" style="1491" bestFit="1" customWidth="1"/>
    <col min="1611" max="1614" width="10.42578125" style="1491" bestFit="1" customWidth="1"/>
    <col min="1615" max="1615" width="10" style="1491" bestFit="1" customWidth="1"/>
    <col min="1616" max="1616" width="10.42578125" style="1491" bestFit="1" customWidth="1"/>
    <col min="1617" max="1617" width="10.7109375" style="1491" bestFit="1" customWidth="1"/>
    <col min="1618" max="1618" width="10" style="1491" bestFit="1" customWidth="1"/>
    <col min="1619" max="1620" width="10.42578125" style="1491" bestFit="1" customWidth="1"/>
    <col min="1621" max="1623" width="10" style="1491" bestFit="1" customWidth="1"/>
    <col min="1624" max="1624" width="10.7109375" style="1491" bestFit="1" customWidth="1"/>
    <col min="1625" max="1625" width="10" style="1491" bestFit="1" customWidth="1"/>
    <col min="1626" max="1626" width="10.42578125" style="1491" bestFit="1" customWidth="1"/>
    <col min="1627" max="1628" width="10.7109375" style="1491" bestFit="1" customWidth="1"/>
    <col min="1629" max="1629" width="10" style="1491" bestFit="1" customWidth="1"/>
    <col min="1630" max="1631" width="10.42578125" style="1491" bestFit="1" customWidth="1"/>
    <col min="1632" max="1632" width="10.7109375" style="1491" bestFit="1" customWidth="1"/>
    <col min="1633" max="1633" width="10.42578125" style="1491" bestFit="1" customWidth="1"/>
    <col min="1634" max="1636" width="10.7109375" style="1491" bestFit="1" customWidth="1"/>
    <col min="1637" max="1638" width="0" style="1491" hidden="1" customWidth="1"/>
    <col min="1639" max="1639" width="10.7109375" style="1491" bestFit="1" customWidth="1"/>
    <col min="1640" max="1641" width="10.42578125" style="1491" bestFit="1" customWidth="1"/>
    <col min="1642" max="1644" width="10.7109375" style="1491" bestFit="1" customWidth="1"/>
    <col min="1645" max="1646" width="10.42578125" style="1491" bestFit="1" customWidth="1"/>
    <col min="1647" max="1647" width="10.7109375" style="1491" bestFit="1" customWidth="1"/>
    <col min="1648" max="1648" width="10.42578125" style="1491" bestFit="1" customWidth="1"/>
    <col min="1649" max="1653" width="10.7109375" style="1491" bestFit="1" customWidth="1"/>
    <col min="1654" max="1655" width="10.42578125" style="1491" bestFit="1" customWidth="1"/>
    <col min="1656" max="1657" width="10.7109375" style="1491" bestFit="1" customWidth="1"/>
    <col min="1658" max="1658" width="10.42578125" style="1491" bestFit="1" customWidth="1"/>
    <col min="1659" max="1662" width="10.7109375" style="1491" bestFit="1" customWidth="1"/>
    <col min="1663" max="1663" width="10.42578125" style="1491" bestFit="1" customWidth="1"/>
    <col min="1664" max="1664" width="10.5703125" style="1491" customWidth="1"/>
    <col min="1665" max="1667" width="10.7109375" style="1491" bestFit="1" customWidth="1"/>
    <col min="1668" max="1668" width="10.42578125" style="1491" bestFit="1" customWidth="1"/>
    <col min="1669" max="1670" width="10.7109375" style="1491" bestFit="1" customWidth="1"/>
    <col min="1671" max="1671" width="10.42578125" style="1491" bestFit="1" customWidth="1"/>
    <col min="1672" max="1674" width="10.7109375" style="1491" bestFit="1" customWidth="1"/>
    <col min="1675" max="1675" width="10" style="1491" bestFit="1" customWidth="1"/>
    <col min="1676" max="1678" width="10.7109375" style="1491" bestFit="1" customWidth="1"/>
    <col min="1679" max="1679" width="10.42578125" style="1491" bestFit="1" customWidth="1"/>
    <col min="1680" max="1680" width="10.7109375" style="1491" bestFit="1" customWidth="1"/>
    <col min="1681" max="1783" width="7.5703125" style="1491"/>
    <col min="1784" max="1784" width="44.5703125" style="1491" customWidth="1"/>
    <col min="1785" max="1785" width="11.42578125" style="1491" customWidth="1"/>
    <col min="1786" max="1786" width="9.28515625" style="1491" customWidth="1"/>
    <col min="1787" max="1787" width="11" style="1491" customWidth="1"/>
    <col min="1788" max="1788" width="11.140625" style="1491" customWidth="1"/>
    <col min="1789" max="1789" width="8.140625" style="1491" bestFit="1" customWidth="1"/>
    <col min="1790" max="1790" width="7.85546875" style="1491" bestFit="1" customWidth="1"/>
    <col min="1791" max="1791" width="9.5703125" style="1491" bestFit="1" customWidth="1"/>
    <col min="1792" max="1792" width="9" style="1491" bestFit="1" customWidth="1"/>
    <col min="1793" max="1793" width="9.5703125" style="1491" bestFit="1" customWidth="1"/>
    <col min="1794" max="1794" width="9.42578125" style="1491" bestFit="1" customWidth="1"/>
    <col min="1795" max="1795" width="9.140625" style="1491" bestFit="1" customWidth="1"/>
    <col min="1796" max="1796" width="9.42578125" style="1491" bestFit="1" customWidth="1"/>
    <col min="1797" max="1797" width="9.140625" style="1491" bestFit="1" customWidth="1"/>
    <col min="1798" max="1798" width="9.5703125" style="1491" bestFit="1" customWidth="1"/>
    <col min="1799" max="1799" width="9.42578125" style="1491" bestFit="1" customWidth="1"/>
    <col min="1800" max="1802" width="9.140625" style="1491" bestFit="1" customWidth="1"/>
    <col min="1803" max="1803" width="10" style="1491" bestFit="1" customWidth="1"/>
    <col min="1804" max="1804" width="9.140625" style="1491" bestFit="1" customWidth="1"/>
    <col min="1805" max="1805" width="9.42578125" style="1491" bestFit="1" customWidth="1"/>
    <col min="1806" max="1806" width="8.7109375" style="1491" bestFit="1" customWidth="1"/>
    <col min="1807" max="1807" width="9" style="1491" bestFit="1" customWidth="1"/>
    <col min="1808" max="1808" width="9.42578125" style="1491" bestFit="1" customWidth="1"/>
    <col min="1809" max="1809" width="10" style="1491" bestFit="1" customWidth="1"/>
    <col min="1810" max="1810" width="8.85546875" style="1491" bestFit="1" customWidth="1"/>
    <col min="1811" max="1811" width="10.42578125" style="1491" bestFit="1" customWidth="1"/>
    <col min="1812" max="1812" width="8.85546875" style="1491" bestFit="1" customWidth="1"/>
    <col min="1813" max="1813" width="10.42578125" style="1491" bestFit="1" customWidth="1"/>
    <col min="1814" max="1815" width="9.5703125" style="1491" bestFit="1" customWidth="1"/>
    <col min="1816" max="1816" width="9.140625" style="1491" bestFit="1" customWidth="1"/>
    <col min="1817" max="1817" width="10" style="1491" bestFit="1" customWidth="1"/>
    <col min="1818" max="1818" width="9.140625" style="1491" bestFit="1" customWidth="1"/>
    <col min="1819" max="1819" width="10.42578125" style="1491" bestFit="1" customWidth="1"/>
    <col min="1820" max="1820" width="9.5703125" style="1491" bestFit="1" customWidth="1"/>
    <col min="1821" max="1821" width="10.42578125" style="1491" bestFit="1" customWidth="1"/>
    <col min="1822" max="1822" width="9.5703125" style="1491" bestFit="1" customWidth="1"/>
    <col min="1823" max="1823" width="10" style="1491" bestFit="1" customWidth="1"/>
    <col min="1824" max="1824" width="9.5703125" style="1491" bestFit="1" customWidth="1"/>
    <col min="1825" max="1825" width="10" style="1491" bestFit="1" customWidth="1"/>
    <col min="1826" max="1826" width="9.5703125" style="1491" bestFit="1" customWidth="1"/>
    <col min="1827" max="1827" width="10.7109375" style="1491" bestFit="1" customWidth="1"/>
    <col min="1828" max="1828" width="9.5703125" style="1491" bestFit="1" customWidth="1"/>
    <col min="1829" max="1829" width="10.7109375" style="1491" bestFit="1" customWidth="1"/>
    <col min="1830" max="1830" width="9.5703125" style="1491" bestFit="1" customWidth="1"/>
    <col min="1831" max="1831" width="10.7109375" style="1491" bestFit="1" customWidth="1"/>
    <col min="1832" max="1832" width="9.5703125" style="1491" bestFit="1" customWidth="1"/>
    <col min="1833" max="1833" width="10.7109375" style="1491" bestFit="1" customWidth="1"/>
    <col min="1834" max="1834" width="9.140625" style="1491" bestFit="1" customWidth="1"/>
    <col min="1835" max="1835" width="10.7109375" style="1491" bestFit="1" customWidth="1"/>
    <col min="1836" max="1836" width="9.5703125" style="1491" bestFit="1" customWidth="1"/>
    <col min="1837" max="1837" width="10.42578125" style="1491" bestFit="1" customWidth="1"/>
    <col min="1838" max="1838" width="9.5703125" style="1491" bestFit="1" customWidth="1"/>
    <col min="1839" max="1839" width="10.7109375" style="1491" bestFit="1" customWidth="1"/>
    <col min="1840" max="1840" width="9.5703125" style="1491" bestFit="1" customWidth="1"/>
    <col min="1841" max="1841" width="10.7109375" style="1491" bestFit="1" customWidth="1"/>
    <col min="1842" max="1842" width="9.140625" style="1491" bestFit="1" customWidth="1"/>
    <col min="1843" max="1843" width="10.7109375" style="1491" bestFit="1" customWidth="1"/>
    <col min="1844" max="1844" width="9.5703125" style="1491" bestFit="1" customWidth="1"/>
    <col min="1845" max="1845" width="10.42578125" style="1491" bestFit="1" customWidth="1"/>
    <col min="1846" max="1846" width="9.140625" style="1491" bestFit="1" customWidth="1"/>
    <col min="1847" max="1847" width="10" style="1491" bestFit="1" customWidth="1"/>
    <col min="1848" max="1850" width="10.42578125" style="1491" bestFit="1" customWidth="1"/>
    <col min="1851" max="1851" width="10" style="1491" bestFit="1" customWidth="1"/>
    <col min="1852" max="1852" width="10.7109375" style="1491" bestFit="1" customWidth="1"/>
    <col min="1853" max="1853" width="10.42578125" style="1491" bestFit="1" customWidth="1"/>
    <col min="1854" max="1854" width="10.7109375" style="1491" bestFit="1" customWidth="1"/>
    <col min="1855" max="1857" width="10" style="1491" bestFit="1" customWidth="1"/>
    <col min="1858" max="1858" width="10.7109375" style="1491" bestFit="1" customWidth="1"/>
    <col min="1859" max="1859" width="10.42578125" style="1491" bestFit="1" customWidth="1"/>
    <col min="1860" max="1860" width="10.7109375" style="1491" bestFit="1" customWidth="1"/>
    <col min="1861" max="1861" width="10.42578125" style="1491" bestFit="1" customWidth="1"/>
    <col min="1862" max="1864" width="10" style="1491" bestFit="1" customWidth="1"/>
    <col min="1865" max="1865" width="10.42578125" style="1491" bestFit="1" customWidth="1"/>
    <col min="1866" max="1866" width="10" style="1491" bestFit="1" customWidth="1"/>
    <col min="1867" max="1870" width="10.42578125" style="1491" bestFit="1" customWidth="1"/>
    <col min="1871" max="1871" width="10" style="1491" bestFit="1" customWidth="1"/>
    <col min="1872" max="1872" width="10.42578125" style="1491" bestFit="1" customWidth="1"/>
    <col min="1873" max="1873" width="10.7109375" style="1491" bestFit="1" customWidth="1"/>
    <col min="1874" max="1874" width="10" style="1491" bestFit="1" customWidth="1"/>
    <col min="1875" max="1876" width="10.42578125" style="1491" bestFit="1" customWidth="1"/>
    <col min="1877" max="1879" width="10" style="1491" bestFit="1" customWidth="1"/>
    <col min="1880" max="1880" width="10.7109375" style="1491" bestFit="1" customWidth="1"/>
    <col min="1881" max="1881" width="10" style="1491" bestFit="1" customWidth="1"/>
    <col min="1882" max="1882" width="10.42578125" style="1491" bestFit="1" customWidth="1"/>
    <col min="1883" max="1884" width="10.7109375" style="1491" bestFit="1" customWidth="1"/>
    <col min="1885" max="1885" width="10" style="1491" bestFit="1" customWidth="1"/>
    <col min="1886" max="1887" width="10.42578125" style="1491" bestFit="1" customWidth="1"/>
    <col min="1888" max="1888" width="10.7109375" style="1491" bestFit="1" customWidth="1"/>
    <col min="1889" max="1889" width="10.42578125" style="1491" bestFit="1" customWidth="1"/>
    <col min="1890" max="1892" width="10.7109375" style="1491" bestFit="1" customWidth="1"/>
    <col min="1893" max="1894" width="0" style="1491" hidden="1" customWidth="1"/>
    <col min="1895" max="1895" width="10.7109375" style="1491" bestFit="1" customWidth="1"/>
    <col min="1896" max="1897" width="10.42578125" style="1491" bestFit="1" customWidth="1"/>
    <col min="1898" max="1900" width="10.7109375" style="1491" bestFit="1" customWidth="1"/>
    <col min="1901" max="1902" width="10.42578125" style="1491" bestFit="1" customWidth="1"/>
    <col min="1903" max="1903" width="10.7109375" style="1491" bestFit="1" customWidth="1"/>
    <col min="1904" max="1904" width="10.42578125" style="1491" bestFit="1" customWidth="1"/>
    <col min="1905" max="1909" width="10.7109375" style="1491" bestFit="1" customWidth="1"/>
    <col min="1910" max="1911" width="10.42578125" style="1491" bestFit="1" customWidth="1"/>
    <col min="1912" max="1913" width="10.7109375" style="1491" bestFit="1" customWidth="1"/>
    <col min="1914" max="1914" width="10.42578125" style="1491" bestFit="1" customWidth="1"/>
    <col min="1915" max="1918" width="10.7109375" style="1491" bestFit="1" customWidth="1"/>
    <col min="1919" max="1919" width="10.42578125" style="1491" bestFit="1" customWidth="1"/>
    <col min="1920" max="1920" width="10.5703125" style="1491" customWidth="1"/>
    <col min="1921" max="1923" width="10.7109375" style="1491" bestFit="1" customWidth="1"/>
    <col min="1924" max="1924" width="10.42578125" style="1491" bestFit="1" customWidth="1"/>
    <col min="1925" max="1926" width="10.7109375" style="1491" bestFit="1" customWidth="1"/>
    <col min="1927" max="1927" width="10.42578125" style="1491" bestFit="1" customWidth="1"/>
    <col min="1928" max="1930" width="10.7109375" style="1491" bestFit="1" customWidth="1"/>
    <col min="1931" max="1931" width="10" style="1491" bestFit="1" customWidth="1"/>
    <col min="1932" max="1934" width="10.7109375" style="1491" bestFit="1" customWidth="1"/>
    <col min="1935" max="1935" width="10.42578125" style="1491" bestFit="1" customWidth="1"/>
    <col min="1936" max="1936" width="10.7109375" style="1491" bestFit="1" customWidth="1"/>
    <col min="1937" max="2039" width="7.5703125" style="1491"/>
    <col min="2040" max="2040" width="44.5703125" style="1491" customWidth="1"/>
    <col min="2041" max="2041" width="11.42578125" style="1491" customWidth="1"/>
    <col min="2042" max="2042" width="9.28515625" style="1491" customWidth="1"/>
    <col min="2043" max="2043" width="11" style="1491" customWidth="1"/>
    <col min="2044" max="2044" width="11.140625" style="1491" customWidth="1"/>
    <col min="2045" max="2045" width="8.140625" style="1491" bestFit="1" customWidth="1"/>
    <col min="2046" max="2046" width="7.85546875" style="1491" bestFit="1" customWidth="1"/>
    <col min="2047" max="2047" width="9.5703125" style="1491" bestFit="1" customWidth="1"/>
    <col min="2048" max="2048" width="9" style="1491" bestFit="1" customWidth="1"/>
    <col min="2049" max="2049" width="9.5703125" style="1491" bestFit="1" customWidth="1"/>
    <col min="2050" max="2050" width="9.42578125" style="1491" bestFit="1" customWidth="1"/>
    <col min="2051" max="2051" width="9.140625" style="1491" bestFit="1" customWidth="1"/>
    <col min="2052" max="2052" width="9.42578125" style="1491" bestFit="1" customWidth="1"/>
    <col min="2053" max="2053" width="9.140625" style="1491" bestFit="1" customWidth="1"/>
    <col min="2054" max="2054" width="9.5703125" style="1491" bestFit="1" customWidth="1"/>
    <col min="2055" max="2055" width="9.42578125" style="1491" bestFit="1" customWidth="1"/>
    <col min="2056" max="2058" width="9.140625" style="1491" bestFit="1" customWidth="1"/>
    <col min="2059" max="2059" width="10" style="1491" bestFit="1" customWidth="1"/>
    <col min="2060" max="2060" width="9.140625" style="1491" bestFit="1" customWidth="1"/>
    <col min="2061" max="2061" width="9.42578125" style="1491" bestFit="1" customWidth="1"/>
    <col min="2062" max="2062" width="8.7109375" style="1491" bestFit="1" customWidth="1"/>
    <col min="2063" max="2063" width="9" style="1491" bestFit="1" customWidth="1"/>
    <col min="2064" max="2064" width="9.42578125" style="1491" bestFit="1" customWidth="1"/>
    <col min="2065" max="2065" width="10" style="1491" bestFit="1" customWidth="1"/>
    <col min="2066" max="2066" width="8.85546875" style="1491" bestFit="1" customWidth="1"/>
    <col min="2067" max="2067" width="10.42578125" style="1491" bestFit="1" customWidth="1"/>
    <col min="2068" max="2068" width="8.85546875" style="1491" bestFit="1" customWidth="1"/>
    <col min="2069" max="2069" width="10.42578125" style="1491" bestFit="1" customWidth="1"/>
    <col min="2070" max="2071" width="9.5703125" style="1491" bestFit="1" customWidth="1"/>
    <col min="2072" max="2072" width="9.140625" style="1491" bestFit="1" customWidth="1"/>
    <col min="2073" max="2073" width="10" style="1491" bestFit="1" customWidth="1"/>
    <col min="2074" max="2074" width="9.140625" style="1491" bestFit="1" customWidth="1"/>
    <col min="2075" max="2075" width="10.42578125" style="1491" bestFit="1" customWidth="1"/>
    <col min="2076" max="2076" width="9.5703125" style="1491" bestFit="1" customWidth="1"/>
    <col min="2077" max="2077" width="10.42578125" style="1491" bestFit="1" customWidth="1"/>
    <col min="2078" max="2078" width="9.5703125" style="1491" bestFit="1" customWidth="1"/>
    <col min="2079" max="2079" width="10" style="1491" bestFit="1" customWidth="1"/>
    <col min="2080" max="2080" width="9.5703125" style="1491" bestFit="1" customWidth="1"/>
    <col min="2081" max="2081" width="10" style="1491" bestFit="1" customWidth="1"/>
    <col min="2082" max="2082" width="9.5703125" style="1491" bestFit="1" customWidth="1"/>
    <col min="2083" max="2083" width="10.7109375" style="1491" bestFit="1" customWidth="1"/>
    <col min="2084" max="2084" width="9.5703125" style="1491" bestFit="1" customWidth="1"/>
    <col min="2085" max="2085" width="10.7109375" style="1491" bestFit="1" customWidth="1"/>
    <col min="2086" max="2086" width="9.5703125" style="1491" bestFit="1" customWidth="1"/>
    <col min="2087" max="2087" width="10.7109375" style="1491" bestFit="1" customWidth="1"/>
    <col min="2088" max="2088" width="9.5703125" style="1491" bestFit="1" customWidth="1"/>
    <col min="2089" max="2089" width="10.7109375" style="1491" bestFit="1" customWidth="1"/>
    <col min="2090" max="2090" width="9.140625" style="1491" bestFit="1" customWidth="1"/>
    <col min="2091" max="2091" width="10.7109375" style="1491" bestFit="1" customWidth="1"/>
    <col min="2092" max="2092" width="9.5703125" style="1491" bestFit="1" customWidth="1"/>
    <col min="2093" max="2093" width="10.42578125" style="1491" bestFit="1" customWidth="1"/>
    <col min="2094" max="2094" width="9.5703125" style="1491" bestFit="1" customWidth="1"/>
    <col min="2095" max="2095" width="10.7109375" style="1491" bestFit="1" customWidth="1"/>
    <col min="2096" max="2096" width="9.5703125" style="1491" bestFit="1" customWidth="1"/>
    <col min="2097" max="2097" width="10.7109375" style="1491" bestFit="1" customWidth="1"/>
    <col min="2098" max="2098" width="9.140625" style="1491" bestFit="1" customWidth="1"/>
    <col min="2099" max="2099" width="10.7109375" style="1491" bestFit="1" customWidth="1"/>
    <col min="2100" max="2100" width="9.5703125" style="1491" bestFit="1" customWidth="1"/>
    <col min="2101" max="2101" width="10.42578125" style="1491" bestFit="1" customWidth="1"/>
    <col min="2102" max="2102" width="9.140625" style="1491" bestFit="1" customWidth="1"/>
    <col min="2103" max="2103" width="10" style="1491" bestFit="1" customWidth="1"/>
    <col min="2104" max="2106" width="10.42578125" style="1491" bestFit="1" customWidth="1"/>
    <col min="2107" max="2107" width="10" style="1491" bestFit="1" customWidth="1"/>
    <col min="2108" max="2108" width="10.7109375" style="1491" bestFit="1" customWidth="1"/>
    <col min="2109" max="2109" width="10.42578125" style="1491" bestFit="1" customWidth="1"/>
    <col min="2110" max="2110" width="10.7109375" style="1491" bestFit="1" customWidth="1"/>
    <col min="2111" max="2113" width="10" style="1491" bestFit="1" customWidth="1"/>
    <col min="2114" max="2114" width="10.7109375" style="1491" bestFit="1" customWidth="1"/>
    <col min="2115" max="2115" width="10.42578125" style="1491" bestFit="1" customWidth="1"/>
    <col min="2116" max="2116" width="10.7109375" style="1491" bestFit="1" customWidth="1"/>
    <col min="2117" max="2117" width="10.42578125" style="1491" bestFit="1" customWidth="1"/>
    <col min="2118" max="2120" width="10" style="1491" bestFit="1" customWidth="1"/>
    <col min="2121" max="2121" width="10.42578125" style="1491" bestFit="1" customWidth="1"/>
    <col min="2122" max="2122" width="10" style="1491" bestFit="1" customWidth="1"/>
    <col min="2123" max="2126" width="10.42578125" style="1491" bestFit="1" customWidth="1"/>
    <col min="2127" max="2127" width="10" style="1491" bestFit="1" customWidth="1"/>
    <col min="2128" max="2128" width="10.42578125" style="1491" bestFit="1" customWidth="1"/>
    <col min="2129" max="2129" width="10.7109375" style="1491" bestFit="1" customWidth="1"/>
    <col min="2130" max="2130" width="10" style="1491" bestFit="1" customWidth="1"/>
    <col min="2131" max="2132" width="10.42578125" style="1491" bestFit="1" customWidth="1"/>
    <col min="2133" max="2135" width="10" style="1491" bestFit="1" customWidth="1"/>
    <col min="2136" max="2136" width="10.7109375" style="1491" bestFit="1" customWidth="1"/>
    <col min="2137" max="2137" width="10" style="1491" bestFit="1" customWidth="1"/>
    <col min="2138" max="2138" width="10.42578125" style="1491" bestFit="1" customWidth="1"/>
    <col min="2139" max="2140" width="10.7109375" style="1491" bestFit="1" customWidth="1"/>
    <col min="2141" max="2141" width="10" style="1491" bestFit="1" customWidth="1"/>
    <col min="2142" max="2143" width="10.42578125" style="1491" bestFit="1" customWidth="1"/>
    <col min="2144" max="2144" width="10.7109375" style="1491" bestFit="1" customWidth="1"/>
    <col min="2145" max="2145" width="10.42578125" style="1491" bestFit="1" customWidth="1"/>
    <col min="2146" max="2148" width="10.7109375" style="1491" bestFit="1" customWidth="1"/>
    <col min="2149" max="2150" width="0" style="1491" hidden="1" customWidth="1"/>
    <col min="2151" max="2151" width="10.7109375" style="1491" bestFit="1" customWidth="1"/>
    <col min="2152" max="2153" width="10.42578125" style="1491" bestFit="1" customWidth="1"/>
    <col min="2154" max="2156" width="10.7109375" style="1491" bestFit="1" customWidth="1"/>
    <col min="2157" max="2158" width="10.42578125" style="1491" bestFit="1" customWidth="1"/>
    <col min="2159" max="2159" width="10.7109375" style="1491" bestFit="1" customWidth="1"/>
    <col min="2160" max="2160" width="10.42578125" style="1491" bestFit="1" customWidth="1"/>
    <col min="2161" max="2165" width="10.7109375" style="1491" bestFit="1" customWidth="1"/>
    <col min="2166" max="2167" width="10.42578125" style="1491" bestFit="1" customWidth="1"/>
    <col min="2168" max="2169" width="10.7109375" style="1491" bestFit="1" customWidth="1"/>
    <col min="2170" max="2170" width="10.42578125" style="1491" bestFit="1" customWidth="1"/>
    <col min="2171" max="2174" width="10.7109375" style="1491" bestFit="1" customWidth="1"/>
    <col min="2175" max="2175" width="10.42578125" style="1491" bestFit="1" customWidth="1"/>
    <col min="2176" max="2176" width="10.5703125" style="1491" customWidth="1"/>
    <col min="2177" max="2179" width="10.7109375" style="1491" bestFit="1" customWidth="1"/>
    <col min="2180" max="2180" width="10.42578125" style="1491" bestFit="1" customWidth="1"/>
    <col min="2181" max="2182" width="10.7109375" style="1491" bestFit="1" customWidth="1"/>
    <col min="2183" max="2183" width="10.42578125" style="1491" bestFit="1" customWidth="1"/>
    <col min="2184" max="2186" width="10.7109375" style="1491" bestFit="1" customWidth="1"/>
    <col min="2187" max="2187" width="10" style="1491" bestFit="1" customWidth="1"/>
    <col min="2188" max="2190" width="10.7109375" style="1491" bestFit="1" customWidth="1"/>
    <col min="2191" max="2191" width="10.42578125" style="1491" bestFit="1" customWidth="1"/>
    <col min="2192" max="2192" width="10.7109375" style="1491" bestFit="1" customWidth="1"/>
    <col min="2193" max="2295" width="7.5703125" style="1491"/>
    <col min="2296" max="2296" width="44.5703125" style="1491" customWidth="1"/>
    <col min="2297" max="2297" width="11.42578125" style="1491" customWidth="1"/>
    <col min="2298" max="2298" width="9.28515625" style="1491" customWidth="1"/>
    <col min="2299" max="2299" width="11" style="1491" customWidth="1"/>
    <col min="2300" max="2300" width="11.140625" style="1491" customWidth="1"/>
    <col min="2301" max="2301" width="8.140625" style="1491" bestFit="1" customWidth="1"/>
    <col min="2302" max="2302" width="7.85546875" style="1491" bestFit="1" customWidth="1"/>
    <col min="2303" max="2303" width="9.5703125" style="1491" bestFit="1" customWidth="1"/>
    <col min="2304" max="2304" width="9" style="1491" bestFit="1" customWidth="1"/>
    <col min="2305" max="2305" width="9.5703125" style="1491" bestFit="1" customWidth="1"/>
    <col min="2306" max="2306" width="9.42578125" style="1491" bestFit="1" customWidth="1"/>
    <col min="2307" max="2307" width="9.140625" style="1491" bestFit="1" customWidth="1"/>
    <col min="2308" max="2308" width="9.42578125" style="1491" bestFit="1" customWidth="1"/>
    <col min="2309" max="2309" width="9.140625" style="1491" bestFit="1" customWidth="1"/>
    <col min="2310" max="2310" width="9.5703125" style="1491" bestFit="1" customWidth="1"/>
    <col min="2311" max="2311" width="9.42578125" style="1491" bestFit="1" customWidth="1"/>
    <col min="2312" max="2314" width="9.140625" style="1491" bestFit="1" customWidth="1"/>
    <col min="2315" max="2315" width="10" style="1491" bestFit="1" customWidth="1"/>
    <col min="2316" max="2316" width="9.140625" style="1491" bestFit="1" customWidth="1"/>
    <col min="2317" max="2317" width="9.42578125" style="1491" bestFit="1" customWidth="1"/>
    <col min="2318" max="2318" width="8.7109375" style="1491" bestFit="1" customWidth="1"/>
    <col min="2319" max="2319" width="9" style="1491" bestFit="1" customWidth="1"/>
    <col min="2320" max="2320" width="9.42578125" style="1491" bestFit="1" customWidth="1"/>
    <col min="2321" max="2321" width="10" style="1491" bestFit="1" customWidth="1"/>
    <col min="2322" max="2322" width="8.85546875" style="1491" bestFit="1" customWidth="1"/>
    <col min="2323" max="2323" width="10.42578125" style="1491" bestFit="1" customWidth="1"/>
    <col min="2324" max="2324" width="8.85546875" style="1491" bestFit="1" customWidth="1"/>
    <col min="2325" max="2325" width="10.42578125" style="1491" bestFit="1" customWidth="1"/>
    <col min="2326" max="2327" width="9.5703125" style="1491" bestFit="1" customWidth="1"/>
    <col min="2328" max="2328" width="9.140625" style="1491" bestFit="1" customWidth="1"/>
    <col min="2329" max="2329" width="10" style="1491" bestFit="1" customWidth="1"/>
    <col min="2330" max="2330" width="9.140625" style="1491" bestFit="1" customWidth="1"/>
    <col min="2331" max="2331" width="10.42578125" style="1491" bestFit="1" customWidth="1"/>
    <col min="2332" max="2332" width="9.5703125" style="1491" bestFit="1" customWidth="1"/>
    <col min="2333" max="2333" width="10.42578125" style="1491" bestFit="1" customWidth="1"/>
    <col min="2334" max="2334" width="9.5703125" style="1491" bestFit="1" customWidth="1"/>
    <col min="2335" max="2335" width="10" style="1491" bestFit="1" customWidth="1"/>
    <col min="2336" max="2336" width="9.5703125" style="1491" bestFit="1" customWidth="1"/>
    <col min="2337" max="2337" width="10" style="1491" bestFit="1" customWidth="1"/>
    <col min="2338" max="2338" width="9.5703125" style="1491" bestFit="1" customWidth="1"/>
    <col min="2339" max="2339" width="10.7109375" style="1491" bestFit="1" customWidth="1"/>
    <col min="2340" max="2340" width="9.5703125" style="1491" bestFit="1" customWidth="1"/>
    <col min="2341" max="2341" width="10.7109375" style="1491" bestFit="1" customWidth="1"/>
    <col min="2342" max="2342" width="9.5703125" style="1491" bestFit="1" customWidth="1"/>
    <col min="2343" max="2343" width="10.7109375" style="1491" bestFit="1" customWidth="1"/>
    <col min="2344" max="2344" width="9.5703125" style="1491" bestFit="1" customWidth="1"/>
    <col min="2345" max="2345" width="10.7109375" style="1491" bestFit="1" customWidth="1"/>
    <col min="2346" max="2346" width="9.140625" style="1491" bestFit="1" customWidth="1"/>
    <col min="2347" max="2347" width="10.7109375" style="1491" bestFit="1" customWidth="1"/>
    <col min="2348" max="2348" width="9.5703125" style="1491" bestFit="1" customWidth="1"/>
    <col min="2349" max="2349" width="10.42578125" style="1491" bestFit="1" customWidth="1"/>
    <col min="2350" max="2350" width="9.5703125" style="1491" bestFit="1" customWidth="1"/>
    <col min="2351" max="2351" width="10.7109375" style="1491" bestFit="1" customWidth="1"/>
    <col min="2352" max="2352" width="9.5703125" style="1491" bestFit="1" customWidth="1"/>
    <col min="2353" max="2353" width="10.7109375" style="1491" bestFit="1" customWidth="1"/>
    <col min="2354" max="2354" width="9.140625" style="1491" bestFit="1" customWidth="1"/>
    <col min="2355" max="2355" width="10.7109375" style="1491" bestFit="1" customWidth="1"/>
    <col min="2356" max="2356" width="9.5703125" style="1491" bestFit="1" customWidth="1"/>
    <col min="2357" max="2357" width="10.42578125" style="1491" bestFit="1" customWidth="1"/>
    <col min="2358" max="2358" width="9.140625" style="1491" bestFit="1" customWidth="1"/>
    <col min="2359" max="2359" width="10" style="1491" bestFit="1" customWidth="1"/>
    <col min="2360" max="2362" width="10.42578125" style="1491" bestFit="1" customWidth="1"/>
    <col min="2363" max="2363" width="10" style="1491" bestFit="1" customWidth="1"/>
    <col min="2364" max="2364" width="10.7109375" style="1491" bestFit="1" customWidth="1"/>
    <col min="2365" max="2365" width="10.42578125" style="1491" bestFit="1" customWidth="1"/>
    <col min="2366" max="2366" width="10.7109375" style="1491" bestFit="1" customWidth="1"/>
    <col min="2367" max="2369" width="10" style="1491" bestFit="1" customWidth="1"/>
    <col min="2370" max="2370" width="10.7109375" style="1491" bestFit="1" customWidth="1"/>
    <col min="2371" max="2371" width="10.42578125" style="1491" bestFit="1" customWidth="1"/>
    <col min="2372" max="2372" width="10.7109375" style="1491" bestFit="1" customWidth="1"/>
    <col min="2373" max="2373" width="10.42578125" style="1491" bestFit="1" customWidth="1"/>
    <col min="2374" max="2376" width="10" style="1491" bestFit="1" customWidth="1"/>
    <col min="2377" max="2377" width="10.42578125" style="1491" bestFit="1" customWidth="1"/>
    <col min="2378" max="2378" width="10" style="1491" bestFit="1" customWidth="1"/>
    <col min="2379" max="2382" width="10.42578125" style="1491" bestFit="1" customWidth="1"/>
    <col min="2383" max="2383" width="10" style="1491" bestFit="1" customWidth="1"/>
    <col min="2384" max="2384" width="10.42578125" style="1491" bestFit="1" customWidth="1"/>
    <col min="2385" max="2385" width="10.7109375" style="1491" bestFit="1" customWidth="1"/>
    <col min="2386" max="2386" width="10" style="1491" bestFit="1" customWidth="1"/>
    <col min="2387" max="2388" width="10.42578125" style="1491" bestFit="1" customWidth="1"/>
    <col min="2389" max="2391" width="10" style="1491" bestFit="1" customWidth="1"/>
    <col min="2392" max="2392" width="10.7109375" style="1491" bestFit="1" customWidth="1"/>
    <col min="2393" max="2393" width="10" style="1491" bestFit="1" customWidth="1"/>
    <col min="2394" max="2394" width="10.42578125" style="1491" bestFit="1" customWidth="1"/>
    <col min="2395" max="2396" width="10.7109375" style="1491" bestFit="1" customWidth="1"/>
    <col min="2397" max="2397" width="10" style="1491" bestFit="1" customWidth="1"/>
    <col min="2398" max="2399" width="10.42578125" style="1491" bestFit="1" customWidth="1"/>
    <col min="2400" max="2400" width="10.7109375" style="1491" bestFit="1" customWidth="1"/>
    <col min="2401" max="2401" width="10.42578125" style="1491" bestFit="1" customWidth="1"/>
    <col min="2402" max="2404" width="10.7109375" style="1491" bestFit="1" customWidth="1"/>
    <col min="2405" max="2406" width="0" style="1491" hidden="1" customWidth="1"/>
    <col min="2407" max="2407" width="10.7109375" style="1491" bestFit="1" customWidth="1"/>
    <col min="2408" max="2409" width="10.42578125" style="1491" bestFit="1" customWidth="1"/>
    <col min="2410" max="2412" width="10.7109375" style="1491" bestFit="1" customWidth="1"/>
    <col min="2413" max="2414" width="10.42578125" style="1491" bestFit="1" customWidth="1"/>
    <col min="2415" max="2415" width="10.7109375" style="1491" bestFit="1" customWidth="1"/>
    <col min="2416" max="2416" width="10.42578125" style="1491" bestFit="1" customWidth="1"/>
    <col min="2417" max="2421" width="10.7109375" style="1491" bestFit="1" customWidth="1"/>
    <col min="2422" max="2423" width="10.42578125" style="1491" bestFit="1" customWidth="1"/>
    <col min="2424" max="2425" width="10.7109375" style="1491" bestFit="1" customWidth="1"/>
    <col min="2426" max="2426" width="10.42578125" style="1491" bestFit="1" customWidth="1"/>
    <col min="2427" max="2430" width="10.7109375" style="1491" bestFit="1" customWidth="1"/>
    <col min="2431" max="2431" width="10.42578125" style="1491" bestFit="1" customWidth="1"/>
    <col min="2432" max="2432" width="10.5703125" style="1491" customWidth="1"/>
    <col min="2433" max="2435" width="10.7109375" style="1491" bestFit="1" customWidth="1"/>
    <col min="2436" max="2436" width="10.42578125" style="1491" bestFit="1" customWidth="1"/>
    <col min="2437" max="2438" width="10.7109375" style="1491" bestFit="1" customWidth="1"/>
    <col min="2439" max="2439" width="10.42578125" style="1491" bestFit="1" customWidth="1"/>
    <col min="2440" max="2442" width="10.7109375" style="1491" bestFit="1" customWidth="1"/>
    <col min="2443" max="2443" width="10" style="1491" bestFit="1" customWidth="1"/>
    <col min="2444" max="2446" width="10.7109375" style="1491" bestFit="1" customWidth="1"/>
    <col min="2447" max="2447" width="10.42578125" style="1491" bestFit="1" customWidth="1"/>
    <col min="2448" max="2448" width="10.7109375" style="1491" bestFit="1" customWidth="1"/>
    <col min="2449" max="2551" width="7.5703125" style="1491"/>
    <col min="2552" max="2552" width="44.5703125" style="1491" customWidth="1"/>
    <col min="2553" max="2553" width="11.42578125" style="1491" customWidth="1"/>
    <col min="2554" max="2554" width="9.28515625" style="1491" customWidth="1"/>
    <col min="2555" max="2555" width="11" style="1491" customWidth="1"/>
    <col min="2556" max="2556" width="11.140625" style="1491" customWidth="1"/>
    <col min="2557" max="2557" width="8.140625" style="1491" bestFit="1" customWidth="1"/>
    <col min="2558" max="2558" width="7.85546875" style="1491" bestFit="1" customWidth="1"/>
    <col min="2559" max="2559" width="9.5703125" style="1491" bestFit="1" customWidth="1"/>
    <col min="2560" max="2560" width="9" style="1491" bestFit="1" customWidth="1"/>
    <col min="2561" max="2561" width="9.5703125" style="1491" bestFit="1" customWidth="1"/>
    <col min="2562" max="2562" width="9.42578125" style="1491" bestFit="1" customWidth="1"/>
    <col min="2563" max="2563" width="9.140625" style="1491" bestFit="1" customWidth="1"/>
    <col min="2564" max="2564" width="9.42578125" style="1491" bestFit="1" customWidth="1"/>
    <col min="2565" max="2565" width="9.140625" style="1491" bestFit="1" customWidth="1"/>
    <col min="2566" max="2566" width="9.5703125" style="1491" bestFit="1" customWidth="1"/>
    <col min="2567" max="2567" width="9.42578125" style="1491" bestFit="1" customWidth="1"/>
    <col min="2568" max="2570" width="9.140625" style="1491" bestFit="1" customWidth="1"/>
    <col min="2571" max="2571" width="10" style="1491" bestFit="1" customWidth="1"/>
    <col min="2572" max="2572" width="9.140625" style="1491" bestFit="1" customWidth="1"/>
    <col min="2573" max="2573" width="9.42578125" style="1491" bestFit="1" customWidth="1"/>
    <col min="2574" max="2574" width="8.7109375" style="1491" bestFit="1" customWidth="1"/>
    <col min="2575" max="2575" width="9" style="1491" bestFit="1" customWidth="1"/>
    <col min="2576" max="2576" width="9.42578125" style="1491" bestFit="1" customWidth="1"/>
    <col min="2577" max="2577" width="10" style="1491" bestFit="1" customWidth="1"/>
    <col min="2578" max="2578" width="8.85546875" style="1491" bestFit="1" customWidth="1"/>
    <col min="2579" max="2579" width="10.42578125" style="1491" bestFit="1" customWidth="1"/>
    <col min="2580" max="2580" width="8.85546875" style="1491" bestFit="1" customWidth="1"/>
    <col min="2581" max="2581" width="10.42578125" style="1491" bestFit="1" customWidth="1"/>
    <col min="2582" max="2583" width="9.5703125" style="1491" bestFit="1" customWidth="1"/>
    <col min="2584" max="2584" width="9.140625" style="1491" bestFit="1" customWidth="1"/>
    <col min="2585" max="2585" width="10" style="1491" bestFit="1" customWidth="1"/>
    <col min="2586" max="2586" width="9.140625" style="1491" bestFit="1" customWidth="1"/>
    <col min="2587" max="2587" width="10.42578125" style="1491" bestFit="1" customWidth="1"/>
    <col min="2588" max="2588" width="9.5703125" style="1491" bestFit="1" customWidth="1"/>
    <col min="2589" max="2589" width="10.42578125" style="1491" bestFit="1" customWidth="1"/>
    <col min="2590" max="2590" width="9.5703125" style="1491" bestFit="1" customWidth="1"/>
    <col min="2591" max="2591" width="10" style="1491" bestFit="1" customWidth="1"/>
    <col min="2592" max="2592" width="9.5703125" style="1491" bestFit="1" customWidth="1"/>
    <col min="2593" max="2593" width="10" style="1491" bestFit="1" customWidth="1"/>
    <col min="2594" max="2594" width="9.5703125" style="1491" bestFit="1" customWidth="1"/>
    <col min="2595" max="2595" width="10.7109375" style="1491" bestFit="1" customWidth="1"/>
    <col min="2596" max="2596" width="9.5703125" style="1491" bestFit="1" customWidth="1"/>
    <col min="2597" max="2597" width="10.7109375" style="1491" bestFit="1" customWidth="1"/>
    <col min="2598" max="2598" width="9.5703125" style="1491" bestFit="1" customWidth="1"/>
    <col min="2599" max="2599" width="10.7109375" style="1491" bestFit="1" customWidth="1"/>
    <col min="2600" max="2600" width="9.5703125" style="1491" bestFit="1" customWidth="1"/>
    <col min="2601" max="2601" width="10.7109375" style="1491" bestFit="1" customWidth="1"/>
    <col min="2602" max="2602" width="9.140625" style="1491" bestFit="1" customWidth="1"/>
    <col min="2603" max="2603" width="10.7109375" style="1491" bestFit="1" customWidth="1"/>
    <col min="2604" max="2604" width="9.5703125" style="1491" bestFit="1" customWidth="1"/>
    <col min="2605" max="2605" width="10.42578125" style="1491" bestFit="1" customWidth="1"/>
    <col min="2606" max="2606" width="9.5703125" style="1491" bestFit="1" customWidth="1"/>
    <col min="2607" max="2607" width="10.7109375" style="1491" bestFit="1" customWidth="1"/>
    <col min="2608" max="2608" width="9.5703125" style="1491" bestFit="1" customWidth="1"/>
    <col min="2609" max="2609" width="10.7109375" style="1491" bestFit="1" customWidth="1"/>
    <col min="2610" max="2610" width="9.140625" style="1491" bestFit="1" customWidth="1"/>
    <col min="2611" max="2611" width="10.7109375" style="1491" bestFit="1" customWidth="1"/>
    <col min="2612" max="2612" width="9.5703125" style="1491" bestFit="1" customWidth="1"/>
    <col min="2613" max="2613" width="10.42578125" style="1491" bestFit="1" customWidth="1"/>
    <col min="2614" max="2614" width="9.140625" style="1491" bestFit="1" customWidth="1"/>
    <col min="2615" max="2615" width="10" style="1491" bestFit="1" customWidth="1"/>
    <col min="2616" max="2618" width="10.42578125" style="1491" bestFit="1" customWidth="1"/>
    <col min="2619" max="2619" width="10" style="1491" bestFit="1" customWidth="1"/>
    <col min="2620" max="2620" width="10.7109375" style="1491" bestFit="1" customWidth="1"/>
    <col min="2621" max="2621" width="10.42578125" style="1491" bestFit="1" customWidth="1"/>
    <col min="2622" max="2622" width="10.7109375" style="1491" bestFit="1" customWidth="1"/>
    <col min="2623" max="2625" width="10" style="1491" bestFit="1" customWidth="1"/>
    <col min="2626" max="2626" width="10.7109375" style="1491" bestFit="1" customWidth="1"/>
    <col min="2627" max="2627" width="10.42578125" style="1491" bestFit="1" customWidth="1"/>
    <col min="2628" max="2628" width="10.7109375" style="1491" bestFit="1" customWidth="1"/>
    <col min="2629" max="2629" width="10.42578125" style="1491" bestFit="1" customWidth="1"/>
    <col min="2630" max="2632" width="10" style="1491" bestFit="1" customWidth="1"/>
    <col min="2633" max="2633" width="10.42578125" style="1491" bestFit="1" customWidth="1"/>
    <col min="2634" max="2634" width="10" style="1491" bestFit="1" customWidth="1"/>
    <col min="2635" max="2638" width="10.42578125" style="1491" bestFit="1" customWidth="1"/>
    <col min="2639" max="2639" width="10" style="1491" bestFit="1" customWidth="1"/>
    <col min="2640" max="2640" width="10.42578125" style="1491" bestFit="1" customWidth="1"/>
    <col min="2641" max="2641" width="10.7109375" style="1491" bestFit="1" customWidth="1"/>
    <col min="2642" max="2642" width="10" style="1491" bestFit="1" customWidth="1"/>
    <col min="2643" max="2644" width="10.42578125" style="1491" bestFit="1" customWidth="1"/>
    <col min="2645" max="2647" width="10" style="1491" bestFit="1" customWidth="1"/>
    <col min="2648" max="2648" width="10.7109375" style="1491" bestFit="1" customWidth="1"/>
    <col min="2649" max="2649" width="10" style="1491" bestFit="1" customWidth="1"/>
    <col min="2650" max="2650" width="10.42578125" style="1491" bestFit="1" customWidth="1"/>
    <col min="2651" max="2652" width="10.7109375" style="1491" bestFit="1" customWidth="1"/>
    <col min="2653" max="2653" width="10" style="1491" bestFit="1" customWidth="1"/>
    <col min="2654" max="2655" width="10.42578125" style="1491" bestFit="1" customWidth="1"/>
    <col min="2656" max="2656" width="10.7109375" style="1491" bestFit="1" customWidth="1"/>
    <col min="2657" max="2657" width="10.42578125" style="1491" bestFit="1" customWidth="1"/>
    <col min="2658" max="2660" width="10.7109375" style="1491" bestFit="1" customWidth="1"/>
    <col min="2661" max="2662" width="0" style="1491" hidden="1" customWidth="1"/>
    <col min="2663" max="2663" width="10.7109375" style="1491" bestFit="1" customWidth="1"/>
    <col min="2664" max="2665" width="10.42578125" style="1491" bestFit="1" customWidth="1"/>
    <col min="2666" max="2668" width="10.7109375" style="1491" bestFit="1" customWidth="1"/>
    <col min="2669" max="2670" width="10.42578125" style="1491" bestFit="1" customWidth="1"/>
    <col min="2671" max="2671" width="10.7109375" style="1491" bestFit="1" customWidth="1"/>
    <col min="2672" max="2672" width="10.42578125" style="1491" bestFit="1" customWidth="1"/>
    <col min="2673" max="2677" width="10.7109375" style="1491" bestFit="1" customWidth="1"/>
    <col min="2678" max="2679" width="10.42578125" style="1491" bestFit="1" customWidth="1"/>
    <col min="2680" max="2681" width="10.7109375" style="1491" bestFit="1" customWidth="1"/>
    <col min="2682" max="2682" width="10.42578125" style="1491" bestFit="1" customWidth="1"/>
    <col min="2683" max="2686" width="10.7109375" style="1491" bestFit="1" customWidth="1"/>
    <col min="2687" max="2687" width="10.42578125" style="1491" bestFit="1" customWidth="1"/>
    <col min="2688" max="2688" width="10.5703125" style="1491" customWidth="1"/>
    <col min="2689" max="2691" width="10.7109375" style="1491" bestFit="1" customWidth="1"/>
    <col min="2692" max="2692" width="10.42578125" style="1491" bestFit="1" customWidth="1"/>
    <col min="2693" max="2694" width="10.7109375" style="1491" bestFit="1" customWidth="1"/>
    <col min="2695" max="2695" width="10.42578125" style="1491" bestFit="1" customWidth="1"/>
    <col min="2696" max="2698" width="10.7109375" style="1491" bestFit="1" customWidth="1"/>
    <col min="2699" max="2699" width="10" style="1491" bestFit="1" customWidth="1"/>
    <col min="2700" max="2702" width="10.7109375" style="1491" bestFit="1" customWidth="1"/>
    <col min="2703" max="2703" width="10.42578125" style="1491" bestFit="1" customWidth="1"/>
    <col min="2704" max="2704" width="10.7109375" style="1491" bestFit="1" customWidth="1"/>
    <col min="2705" max="2807" width="7.5703125" style="1491"/>
    <col min="2808" max="2808" width="44.5703125" style="1491" customWidth="1"/>
    <col min="2809" max="2809" width="11.42578125" style="1491" customWidth="1"/>
    <col min="2810" max="2810" width="9.28515625" style="1491" customWidth="1"/>
    <col min="2811" max="2811" width="11" style="1491" customWidth="1"/>
    <col min="2812" max="2812" width="11.140625" style="1491" customWidth="1"/>
    <col min="2813" max="2813" width="8.140625" style="1491" bestFit="1" customWidth="1"/>
    <col min="2814" max="2814" width="7.85546875" style="1491" bestFit="1" customWidth="1"/>
    <col min="2815" max="2815" width="9.5703125" style="1491" bestFit="1" customWidth="1"/>
    <col min="2816" max="2816" width="9" style="1491" bestFit="1" customWidth="1"/>
    <col min="2817" max="2817" width="9.5703125" style="1491" bestFit="1" customWidth="1"/>
    <col min="2818" max="2818" width="9.42578125" style="1491" bestFit="1" customWidth="1"/>
    <col min="2819" max="2819" width="9.140625" style="1491" bestFit="1" customWidth="1"/>
    <col min="2820" max="2820" width="9.42578125" style="1491" bestFit="1" customWidth="1"/>
    <col min="2821" max="2821" width="9.140625" style="1491" bestFit="1" customWidth="1"/>
    <col min="2822" max="2822" width="9.5703125" style="1491" bestFit="1" customWidth="1"/>
    <col min="2823" max="2823" width="9.42578125" style="1491" bestFit="1" customWidth="1"/>
    <col min="2824" max="2826" width="9.140625" style="1491" bestFit="1" customWidth="1"/>
    <col min="2827" max="2827" width="10" style="1491" bestFit="1" customWidth="1"/>
    <col min="2828" max="2828" width="9.140625" style="1491" bestFit="1" customWidth="1"/>
    <col min="2829" max="2829" width="9.42578125" style="1491" bestFit="1" customWidth="1"/>
    <col min="2830" max="2830" width="8.7109375" style="1491" bestFit="1" customWidth="1"/>
    <col min="2831" max="2831" width="9" style="1491" bestFit="1" customWidth="1"/>
    <col min="2832" max="2832" width="9.42578125" style="1491" bestFit="1" customWidth="1"/>
    <col min="2833" max="2833" width="10" style="1491" bestFit="1" customWidth="1"/>
    <col min="2834" max="2834" width="8.85546875" style="1491" bestFit="1" customWidth="1"/>
    <col min="2835" max="2835" width="10.42578125" style="1491" bestFit="1" customWidth="1"/>
    <col min="2836" max="2836" width="8.85546875" style="1491" bestFit="1" customWidth="1"/>
    <col min="2837" max="2837" width="10.42578125" style="1491" bestFit="1" customWidth="1"/>
    <col min="2838" max="2839" width="9.5703125" style="1491" bestFit="1" customWidth="1"/>
    <col min="2840" max="2840" width="9.140625" style="1491" bestFit="1" customWidth="1"/>
    <col min="2841" max="2841" width="10" style="1491" bestFit="1" customWidth="1"/>
    <col min="2842" max="2842" width="9.140625" style="1491" bestFit="1" customWidth="1"/>
    <col min="2843" max="2843" width="10.42578125" style="1491" bestFit="1" customWidth="1"/>
    <col min="2844" max="2844" width="9.5703125" style="1491" bestFit="1" customWidth="1"/>
    <col min="2845" max="2845" width="10.42578125" style="1491" bestFit="1" customWidth="1"/>
    <col min="2846" max="2846" width="9.5703125" style="1491" bestFit="1" customWidth="1"/>
    <col min="2847" max="2847" width="10" style="1491" bestFit="1" customWidth="1"/>
    <col min="2848" max="2848" width="9.5703125" style="1491" bestFit="1" customWidth="1"/>
    <col min="2849" max="2849" width="10" style="1491" bestFit="1" customWidth="1"/>
    <col min="2850" max="2850" width="9.5703125" style="1491" bestFit="1" customWidth="1"/>
    <col min="2851" max="2851" width="10.7109375" style="1491" bestFit="1" customWidth="1"/>
    <col min="2852" max="2852" width="9.5703125" style="1491" bestFit="1" customWidth="1"/>
    <col min="2853" max="2853" width="10.7109375" style="1491" bestFit="1" customWidth="1"/>
    <col min="2854" max="2854" width="9.5703125" style="1491" bestFit="1" customWidth="1"/>
    <col min="2855" max="2855" width="10.7109375" style="1491" bestFit="1" customWidth="1"/>
    <col min="2856" max="2856" width="9.5703125" style="1491" bestFit="1" customWidth="1"/>
    <col min="2857" max="2857" width="10.7109375" style="1491" bestFit="1" customWidth="1"/>
    <col min="2858" max="2858" width="9.140625" style="1491" bestFit="1" customWidth="1"/>
    <col min="2859" max="2859" width="10.7109375" style="1491" bestFit="1" customWidth="1"/>
    <col min="2860" max="2860" width="9.5703125" style="1491" bestFit="1" customWidth="1"/>
    <col min="2861" max="2861" width="10.42578125" style="1491" bestFit="1" customWidth="1"/>
    <col min="2862" max="2862" width="9.5703125" style="1491" bestFit="1" customWidth="1"/>
    <col min="2863" max="2863" width="10.7109375" style="1491" bestFit="1" customWidth="1"/>
    <col min="2864" max="2864" width="9.5703125" style="1491" bestFit="1" customWidth="1"/>
    <col min="2865" max="2865" width="10.7109375" style="1491" bestFit="1" customWidth="1"/>
    <col min="2866" max="2866" width="9.140625" style="1491" bestFit="1" customWidth="1"/>
    <col min="2867" max="2867" width="10.7109375" style="1491" bestFit="1" customWidth="1"/>
    <col min="2868" max="2868" width="9.5703125" style="1491" bestFit="1" customWidth="1"/>
    <col min="2869" max="2869" width="10.42578125" style="1491" bestFit="1" customWidth="1"/>
    <col min="2870" max="2870" width="9.140625" style="1491" bestFit="1" customWidth="1"/>
    <col min="2871" max="2871" width="10" style="1491" bestFit="1" customWidth="1"/>
    <col min="2872" max="2874" width="10.42578125" style="1491" bestFit="1" customWidth="1"/>
    <col min="2875" max="2875" width="10" style="1491" bestFit="1" customWidth="1"/>
    <col min="2876" max="2876" width="10.7109375" style="1491" bestFit="1" customWidth="1"/>
    <col min="2877" max="2877" width="10.42578125" style="1491" bestFit="1" customWidth="1"/>
    <col min="2878" max="2878" width="10.7109375" style="1491" bestFit="1" customWidth="1"/>
    <col min="2879" max="2881" width="10" style="1491" bestFit="1" customWidth="1"/>
    <col min="2882" max="2882" width="10.7109375" style="1491" bestFit="1" customWidth="1"/>
    <col min="2883" max="2883" width="10.42578125" style="1491" bestFit="1" customWidth="1"/>
    <col min="2884" max="2884" width="10.7109375" style="1491" bestFit="1" customWidth="1"/>
    <col min="2885" max="2885" width="10.42578125" style="1491" bestFit="1" customWidth="1"/>
    <col min="2886" max="2888" width="10" style="1491" bestFit="1" customWidth="1"/>
    <col min="2889" max="2889" width="10.42578125" style="1491" bestFit="1" customWidth="1"/>
    <col min="2890" max="2890" width="10" style="1491" bestFit="1" customWidth="1"/>
    <col min="2891" max="2894" width="10.42578125" style="1491" bestFit="1" customWidth="1"/>
    <col min="2895" max="2895" width="10" style="1491" bestFit="1" customWidth="1"/>
    <col min="2896" max="2896" width="10.42578125" style="1491" bestFit="1" customWidth="1"/>
    <col min="2897" max="2897" width="10.7109375" style="1491" bestFit="1" customWidth="1"/>
    <col min="2898" max="2898" width="10" style="1491" bestFit="1" customWidth="1"/>
    <col min="2899" max="2900" width="10.42578125" style="1491" bestFit="1" customWidth="1"/>
    <col min="2901" max="2903" width="10" style="1491" bestFit="1" customWidth="1"/>
    <col min="2904" max="2904" width="10.7109375" style="1491" bestFit="1" customWidth="1"/>
    <col min="2905" max="2905" width="10" style="1491" bestFit="1" customWidth="1"/>
    <col min="2906" max="2906" width="10.42578125" style="1491" bestFit="1" customWidth="1"/>
    <col min="2907" max="2908" width="10.7109375" style="1491" bestFit="1" customWidth="1"/>
    <col min="2909" max="2909" width="10" style="1491" bestFit="1" customWidth="1"/>
    <col min="2910" max="2911" width="10.42578125" style="1491" bestFit="1" customWidth="1"/>
    <col min="2912" max="2912" width="10.7109375" style="1491" bestFit="1" customWidth="1"/>
    <col min="2913" max="2913" width="10.42578125" style="1491" bestFit="1" customWidth="1"/>
    <col min="2914" max="2916" width="10.7109375" style="1491" bestFit="1" customWidth="1"/>
    <col min="2917" max="2918" width="0" style="1491" hidden="1" customWidth="1"/>
    <col min="2919" max="2919" width="10.7109375" style="1491" bestFit="1" customWidth="1"/>
    <col min="2920" max="2921" width="10.42578125" style="1491" bestFit="1" customWidth="1"/>
    <col min="2922" max="2924" width="10.7109375" style="1491" bestFit="1" customWidth="1"/>
    <col min="2925" max="2926" width="10.42578125" style="1491" bestFit="1" customWidth="1"/>
    <col min="2927" max="2927" width="10.7109375" style="1491" bestFit="1" customWidth="1"/>
    <col min="2928" max="2928" width="10.42578125" style="1491" bestFit="1" customWidth="1"/>
    <col min="2929" max="2933" width="10.7109375" style="1491" bestFit="1" customWidth="1"/>
    <col min="2934" max="2935" width="10.42578125" style="1491" bestFit="1" customWidth="1"/>
    <col min="2936" max="2937" width="10.7109375" style="1491" bestFit="1" customWidth="1"/>
    <col min="2938" max="2938" width="10.42578125" style="1491" bestFit="1" customWidth="1"/>
    <col min="2939" max="2942" width="10.7109375" style="1491" bestFit="1" customWidth="1"/>
    <col min="2943" max="2943" width="10.42578125" style="1491" bestFit="1" customWidth="1"/>
    <col min="2944" max="2944" width="10.5703125" style="1491" customWidth="1"/>
    <col min="2945" max="2947" width="10.7109375" style="1491" bestFit="1" customWidth="1"/>
    <col min="2948" max="2948" width="10.42578125" style="1491" bestFit="1" customWidth="1"/>
    <col min="2949" max="2950" width="10.7109375" style="1491" bestFit="1" customWidth="1"/>
    <col min="2951" max="2951" width="10.42578125" style="1491" bestFit="1" customWidth="1"/>
    <col min="2952" max="2954" width="10.7109375" style="1491" bestFit="1" customWidth="1"/>
    <col min="2955" max="2955" width="10" style="1491" bestFit="1" customWidth="1"/>
    <col min="2956" max="2958" width="10.7109375" style="1491" bestFit="1" customWidth="1"/>
    <col min="2959" max="2959" width="10.42578125" style="1491" bestFit="1" customWidth="1"/>
    <col min="2960" max="2960" width="10.7109375" style="1491" bestFit="1" customWidth="1"/>
    <col min="2961" max="3063" width="7.5703125" style="1491"/>
    <col min="3064" max="3064" width="44.5703125" style="1491" customWidth="1"/>
    <col min="3065" max="3065" width="11.42578125" style="1491" customWidth="1"/>
    <col min="3066" max="3066" width="9.28515625" style="1491" customWidth="1"/>
    <col min="3067" max="3067" width="11" style="1491" customWidth="1"/>
    <col min="3068" max="3068" width="11.140625" style="1491" customWidth="1"/>
    <col min="3069" max="3069" width="8.140625" style="1491" bestFit="1" customWidth="1"/>
    <col min="3070" max="3070" width="7.85546875" style="1491" bestFit="1" customWidth="1"/>
    <col min="3071" max="3071" width="9.5703125" style="1491" bestFit="1" customWidth="1"/>
    <col min="3072" max="3072" width="9" style="1491" bestFit="1" customWidth="1"/>
    <col min="3073" max="3073" width="9.5703125" style="1491" bestFit="1" customWidth="1"/>
    <col min="3074" max="3074" width="9.42578125" style="1491" bestFit="1" customWidth="1"/>
    <col min="3075" max="3075" width="9.140625" style="1491" bestFit="1" customWidth="1"/>
    <col min="3076" max="3076" width="9.42578125" style="1491" bestFit="1" customWidth="1"/>
    <col min="3077" max="3077" width="9.140625" style="1491" bestFit="1" customWidth="1"/>
    <col min="3078" max="3078" width="9.5703125" style="1491" bestFit="1" customWidth="1"/>
    <col min="3079" max="3079" width="9.42578125" style="1491" bestFit="1" customWidth="1"/>
    <col min="3080" max="3082" width="9.140625" style="1491" bestFit="1" customWidth="1"/>
    <col min="3083" max="3083" width="10" style="1491" bestFit="1" customWidth="1"/>
    <col min="3084" max="3084" width="9.140625" style="1491" bestFit="1" customWidth="1"/>
    <col min="3085" max="3085" width="9.42578125" style="1491" bestFit="1" customWidth="1"/>
    <col min="3086" max="3086" width="8.7109375" style="1491" bestFit="1" customWidth="1"/>
    <col min="3087" max="3087" width="9" style="1491" bestFit="1" customWidth="1"/>
    <col min="3088" max="3088" width="9.42578125" style="1491" bestFit="1" customWidth="1"/>
    <col min="3089" max="3089" width="10" style="1491" bestFit="1" customWidth="1"/>
    <col min="3090" max="3090" width="8.85546875" style="1491" bestFit="1" customWidth="1"/>
    <col min="3091" max="3091" width="10.42578125" style="1491" bestFit="1" customWidth="1"/>
    <col min="3092" max="3092" width="8.85546875" style="1491" bestFit="1" customWidth="1"/>
    <col min="3093" max="3093" width="10.42578125" style="1491" bestFit="1" customWidth="1"/>
    <col min="3094" max="3095" width="9.5703125" style="1491" bestFit="1" customWidth="1"/>
    <col min="3096" max="3096" width="9.140625" style="1491" bestFit="1" customWidth="1"/>
    <col min="3097" max="3097" width="10" style="1491" bestFit="1" customWidth="1"/>
    <col min="3098" max="3098" width="9.140625" style="1491" bestFit="1" customWidth="1"/>
    <col min="3099" max="3099" width="10.42578125" style="1491" bestFit="1" customWidth="1"/>
    <col min="3100" max="3100" width="9.5703125" style="1491" bestFit="1" customWidth="1"/>
    <col min="3101" max="3101" width="10.42578125" style="1491" bestFit="1" customWidth="1"/>
    <col min="3102" max="3102" width="9.5703125" style="1491" bestFit="1" customWidth="1"/>
    <col min="3103" max="3103" width="10" style="1491" bestFit="1" customWidth="1"/>
    <col min="3104" max="3104" width="9.5703125" style="1491" bestFit="1" customWidth="1"/>
    <col min="3105" max="3105" width="10" style="1491" bestFit="1" customWidth="1"/>
    <col min="3106" max="3106" width="9.5703125" style="1491" bestFit="1" customWidth="1"/>
    <col min="3107" max="3107" width="10.7109375" style="1491" bestFit="1" customWidth="1"/>
    <col min="3108" max="3108" width="9.5703125" style="1491" bestFit="1" customWidth="1"/>
    <col min="3109" max="3109" width="10.7109375" style="1491" bestFit="1" customWidth="1"/>
    <col min="3110" max="3110" width="9.5703125" style="1491" bestFit="1" customWidth="1"/>
    <col min="3111" max="3111" width="10.7109375" style="1491" bestFit="1" customWidth="1"/>
    <col min="3112" max="3112" width="9.5703125" style="1491" bestFit="1" customWidth="1"/>
    <col min="3113" max="3113" width="10.7109375" style="1491" bestFit="1" customWidth="1"/>
    <col min="3114" max="3114" width="9.140625" style="1491" bestFit="1" customWidth="1"/>
    <col min="3115" max="3115" width="10.7109375" style="1491" bestFit="1" customWidth="1"/>
    <col min="3116" max="3116" width="9.5703125" style="1491" bestFit="1" customWidth="1"/>
    <col min="3117" max="3117" width="10.42578125" style="1491" bestFit="1" customWidth="1"/>
    <col min="3118" max="3118" width="9.5703125" style="1491" bestFit="1" customWidth="1"/>
    <col min="3119" max="3119" width="10.7109375" style="1491" bestFit="1" customWidth="1"/>
    <col min="3120" max="3120" width="9.5703125" style="1491" bestFit="1" customWidth="1"/>
    <col min="3121" max="3121" width="10.7109375" style="1491" bestFit="1" customWidth="1"/>
    <col min="3122" max="3122" width="9.140625" style="1491" bestFit="1" customWidth="1"/>
    <col min="3123" max="3123" width="10.7109375" style="1491" bestFit="1" customWidth="1"/>
    <col min="3124" max="3124" width="9.5703125" style="1491" bestFit="1" customWidth="1"/>
    <col min="3125" max="3125" width="10.42578125" style="1491" bestFit="1" customWidth="1"/>
    <col min="3126" max="3126" width="9.140625" style="1491" bestFit="1" customWidth="1"/>
    <col min="3127" max="3127" width="10" style="1491" bestFit="1" customWidth="1"/>
    <col min="3128" max="3130" width="10.42578125" style="1491" bestFit="1" customWidth="1"/>
    <col min="3131" max="3131" width="10" style="1491" bestFit="1" customWidth="1"/>
    <col min="3132" max="3132" width="10.7109375" style="1491" bestFit="1" customWidth="1"/>
    <col min="3133" max="3133" width="10.42578125" style="1491" bestFit="1" customWidth="1"/>
    <col min="3134" max="3134" width="10.7109375" style="1491" bestFit="1" customWidth="1"/>
    <col min="3135" max="3137" width="10" style="1491" bestFit="1" customWidth="1"/>
    <col min="3138" max="3138" width="10.7109375" style="1491" bestFit="1" customWidth="1"/>
    <col min="3139" max="3139" width="10.42578125" style="1491" bestFit="1" customWidth="1"/>
    <col min="3140" max="3140" width="10.7109375" style="1491" bestFit="1" customWidth="1"/>
    <col min="3141" max="3141" width="10.42578125" style="1491" bestFit="1" customWidth="1"/>
    <col min="3142" max="3144" width="10" style="1491" bestFit="1" customWidth="1"/>
    <col min="3145" max="3145" width="10.42578125" style="1491" bestFit="1" customWidth="1"/>
    <col min="3146" max="3146" width="10" style="1491" bestFit="1" customWidth="1"/>
    <col min="3147" max="3150" width="10.42578125" style="1491" bestFit="1" customWidth="1"/>
    <col min="3151" max="3151" width="10" style="1491" bestFit="1" customWidth="1"/>
    <col min="3152" max="3152" width="10.42578125" style="1491" bestFit="1" customWidth="1"/>
    <col min="3153" max="3153" width="10.7109375" style="1491" bestFit="1" customWidth="1"/>
    <col min="3154" max="3154" width="10" style="1491" bestFit="1" customWidth="1"/>
    <col min="3155" max="3156" width="10.42578125" style="1491" bestFit="1" customWidth="1"/>
    <col min="3157" max="3159" width="10" style="1491" bestFit="1" customWidth="1"/>
    <col min="3160" max="3160" width="10.7109375" style="1491" bestFit="1" customWidth="1"/>
    <col min="3161" max="3161" width="10" style="1491" bestFit="1" customWidth="1"/>
    <col min="3162" max="3162" width="10.42578125" style="1491" bestFit="1" customWidth="1"/>
    <col min="3163" max="3164" width="10.7109375" style="1491" bestFit="1" customWidth="1"/>
    <col min="3165" max="3165" width="10" style="1491" bestFit="1" customWidth="1"/>
    <col min="3166" max="3167" width="10.42578125" style="1491" bestFit="1" customWidth="1"/>
    <col min="3168" max="3168" width="10.7109375" style="1491" bestFit="1" customWidth="1"/>
    <col min="3169" max="3169" width="10.42578125" style="1491" bestFit="1" customWidth="1"/>
    <col min="3170" max="3172" width="10.7109375" style="1491" bestFit="1" customWidth="1"/>
    <col min="3173" max="3174" width="0" style="1491" hidden="1" customWidth="1"/>
    <col min="3175" max="3175" width="10.7109375" style="1491" bestFit="1" customWidth="1"/>
    <col min="3176" max="3177" width="10.42578125" style="1491" bestFit="1" customWidth="1"/>
    <col min="3178" max="3180" width="10.7109375" style="1491" bestFit="1" customWidth="1"/>
    <col min="3181" max="3182" width="10.42578125" style="1491" bestFit="1" customWidth="1"/>
    <col min="3183" max="3183" width="10.7109375" style="1491" bestFit="1" customWidth="1"/>
    <col min="3184" max="3184" width="10.42578125" style="1491" bestFit="1" customWidth="1"/>
    <col min="3185" max="3189" width="10.7109375" style="1491" bestFit="1" customWidth="1"/>
    <col min="3190" max="3191" width="10.42578125" style="1491" bestFit="1" customWidth="1"/>
    <col min="3192" max="3193" width="10.7109375" style="1491" bestFit="1" customWidth="1"/>
    <col min="3194" max="3194" width="10.42578125" style="1491" bestFit="1" customWidth="1"/>
    <col min="3195" max="3198" width="10.7109375" style="1491" bestFit="1" customWidth="1"/>
    <col min="3199" max="3199" width="10.42578125" style="1491" bestFit="1" customWidth="1"/>
    <col min="3200" max="3200" width="10.5703125" style="1491" customWidth="1"/>
    <col min="3201" max="3203" width="10.7109375" style="1491" bestFit="1" customWidth="1"/>
    <col min="3204" max="3204" width="10.42578125" style="1491" bestFit="1" customWidth="1"/>
    <col min="3205" max="3206" width="10.7109375" style="1491" bestFit="1" customWidth="1"/>
    <col min="3207" max="3207" width="10.42578125" style="1491" bestFit="1" customWidth="1"/>
    <col min="3208" max="3210" width="10.7109375" style="1491" bestFit="1" customWidth="1"/>
    <col min="3211" max="3211" width="10" style="1491" bestFit="1" customWidth="1"/>
    <col min="3212" max="3214" width="10.7109375" style="1491" bestFit="1" customWidth="1"/>
    <col min="3215" max="3215" width="10.42578125" style="1491" bestFit="1" customWidth="1"/>
    <col min="3216" max="3216" width="10.7109375" style="1491" bestFit="1" customWidth="1"/>
    <col min="3217" max="3319" width="7.5703125" style="1491"/>
    <col min="3320" max="3320" width="44.5703125" style="1491" customWidth="1"/>
    <col min="3321" max="3321" width="11.42578125" style="1491" customWidth="1"/>
    <col min="3322" max="3322" width="9.28515625" style="1491" customWidth="1"/>
    <col min="3323" max="3323" width="11" style="1491" customWidth="1"/>
    <col min="3324" max="3324" width="11.140625" style="1491" customWidth="1"/>
    <col min="3325" max="3325" width="8.140625" style="1491" bestFit="1" customWidth="1"/>
    <col min="3326" max="3326" width="7.85546875" style="1491" bestFit="1" customWidth="1"/>
    <col min="3327" max="3327" width="9.5703125" style="1491" bestFit="1" customWidth="1"/>
    <col min="3328" max="3328" width="9" style="1491" bestFit="1" customWidth="1"/>
    <col min="3329" max="3329" width="9.5703125" style="1491" bestFit="1" customWidth="1"/>
    <col min="3330" max="3330" width="9.42578125" style="1491" bestFit="1" customWidth="1"/>
    <col min="3331" max="3331" width="9.140625" style="1491" bestFit="1" customWidth="1"/>
    <col min="3332" max="3332" width="9.42578125" style="1491" bestFit="1" customWidth="1"/>
    <col min="3333" max="3333" width="9.140625" style="1491" bestFit="1" customWidth="1"/>
    <col min="3334" max="3334" width="9.5703125" style="1491" bestFit="1" customWidth="1"/>
    <col min="3335" max="3335" width="9.42578125" style="1491" bestFit="1" customWidth="1"/>
    <col min="3336" max="3338" width="9.140625" style="1491" bestFit="1" customWidth="1"/>
    <col min="3339" max="3339" width="10" style="1491" bestFit="1" customWidth="1"/>
    <col min="3340" max="3340" width="9.140625" style="1491" bestFit="1" customWidth="1"/>
    <col min="3341" max="3341" width="9.42578125" style="1491" bestFit="1" customWidth="1"/>
    <col min="3342" max="3342" width="8.7109375" style="1491" bestFit="1" customWidth="1"/>
    <col min="3343" max="3343" width="9" style="1491" bestFit="1" customWidth="1"/>
    <col min="3344" max="3344" width="9.42578125" style="1491" bestFit="1" customWidth="1"/>
    <col min="3345" max="3345" width="10" style="1491" bestFit="1" customWidth="1"/>
    <col min="3346" max="3346" width="8.85546875" style="1491" bestFit="1" customWidth="1"/>
    <col min="3347" max="3347" width="10.42578125" style="1491" bestFit="1" customWidth="1"/>
    <col min="3348" max="3348" width="8.85546875" style="1491" bestFit="1" customWidth="1"/>
    <col min="3349" max="3349" width="10.42578125" style="1491" bestFit="1" customWidth="1"/>
    <col min="3350" max="3351" width="9.5703125" style="1491" bestFit="1" customWidth="1"/>
    <col min="3352" max="3352" width="9.140625" style="1491" bestFit="1" customWidth="1"/>
    <col min="3353" max="3353" width="10" style="1491" bestFit="1" customWidth="1"/>
    <col min="3354" max="3354" width="9.140625" style="1491" bestFit="1" customWidth="1"/>
    <col min="3355" max="3355" width="10.42578125" style="1491" bestFit="1" customWidth="1"/>
    <col min="3356" max="3356" width="9.5703125" style="1491" bestFit="1" customWidth="1"/>
    <col min="3357" max="3357" width="10.42578125" style="1491" bestFit="1" customWidth="1"/>
    <col min="3358" max="3358" width="9.5703125" style="1491" bestFit="1" customWidth="1"/>
    <col min="3359" max="3359" width="10" style="1491" bestFit="1" customWidth="1"/>
    <col min="3360" max="3360" width="9.5703125" style="1491" bestFit="1" customWidth="1"/>
    <col min="3361" max="3361" width="10" style="1491" bestFit="1" customWidth="1"/>
    <col min="3362" max="3362" width="9.5703125" style="1491" bestFit="1" customWidth="1"/>
    <col min="3363" max="3363" width="10.7109375" style="1491" bestFit="1" customWidth="1"/>
    <col min="3364" max="3364" width="9.5703125" style="1491" bestFit="1" customWidth="1"/>
    <col min="3365" max="3365" width="10.7109375" style="1491" bestFit="1" customWidth="1"/>
    <col min="3366" max="3366" width="9.5703125" style="1491" bestFit="1" customWidth="1"/>
    <col min="3367" max="3367" width="10.7109375" style="1491" bestFit="1" customWidth="1"/>
    <col min="3368" max="3368" width="9.5703125" style="1491" bestFit="1" customWidth="1"/>
    <col min="3369" max="3369" width="10.7109375" style="1491" bestFit="1" customWidth="1"/>
    <col min="3370" max="3370" width="9.140625" style="1491" bestFit="1" customWidth="1"/>
    <col min="3371" max="3371" width="10.7109375" style="1491" bestFit="1" customWidth="1"/>
    <col min="3372" max="3372" width="9.5703125" style="1491" bestFit="1" customWidth="1"/>
    <col min="3373" max="3373" width="10.42578125" style="1491" bestFit="1" customWidth="1"/>
    <col min="3374" max="3374" width="9.5703125" style="1491" bestFit="1" customWidth="1"/>
    <col min="3375" max="3375" width="10.7109375" style="1491" bestFit="1" customWidth="1"/>
    <col min="3376" max="3376" width="9.5703125" style="1491" bestFit="1" customWidth="1"/>
    <col min="3377" max="3377" width="10.7109375" style="1491" bestFit="1" customWidth="1"/>
    <col min="3378" max="3378" width="9.140625" style="1491" bestFit="1" customWidth="1"/>
    <col min="3379" max="3379" width="10.7109375" style="1491" bestFit="1" customWidth="1"/>
    <col min="3380" max="3380" width="9.5703125" style="1491" bestFit="1" customWidth="1"/>
    <col min="3381" max="3381" width="10.42578125" style="1491" bestFit="1" customWidth="1"/>
    <col min="3382" max="3382" width="9.140625" style="1491" bestFit="1" customWidth="1"/>
    <col min="3383" max="3383" width="10" style="1491" bestFit="1" customWidth="1"/>
    <col min="3384" max="3386" width="10.42578125" style="1491" bestFit="1" customWidth="1"/>
    <col min="3387" max="3387" width="10" style="1491" bestFit="1" customWidth="1"/>
    <col min="3388" max="3388" width="10.7109375" style="1491" bestFit="1" customWidth="1"/>
    <col min="3389" max="3389" width="10.42578125" style="1491" bestFit="1" customWidth="1"/>
    <col min="3390" max="3390" width="10.7109375" style="1491" bestFit="1" customWidth="1"/>
    <col min="3391" max="3393" width="10" style="1491" bestFit="1" customWidth="1"/>
    <col min="3394" max="3394" width="10.7109375" style="1491" bestFit="1" customWidth="1"/>
    <col min="3395" max="3395" width="10.42578125" style="1491" bestFit="1" customWidth="1"/>
    <col min="3396" max="3396" width="10.7109375" style="1491" bestFit="1" customWidth="1"/>
    <col min="3397" max="3397" width="10.42578125" style="1491" bestFit="1" customWidth="1"/>
    <col min="3398" max="3400" width="10" style="1491" bestFit="1" customWidth="1"/>
    <col min="3401" max="3401" width="10.42578125" style="1491" bestFit="1" customWidth="1"/>
    <col min="3402" max="3402" width="10" style="1491" bestFit="1" customWidth="1"/>
    <col min="3403" max="3406" width="10.42578125" style="1491" bestFit="1" customWidth="1"/>
    <col min="3407" max="3407" width="10" style="1491" bestFit="1" customWidth="1"/>
    <col min="3408" max="3408" width="10.42578125" style="1491" bestFit="1" customWidth="1"/>
    <col min="3409" max="3409" width="10.7109375" style="1491" bestFit="1" customWidth="1"/>
    <col min="3410" max="3410" width="10" style="1491" bestFit="1" customWidth="1"/>
    <col min="3411" max="3412" width="10.42578125" style="1491" bestFit="1" customWidth="1"/>
    <col min="3413" max="3415" width="10" style="1491" bestFit="1" customWidth="1"/>
    <col min="3416" max="3416" width="10.7109375" style="1491" bestFit="1" customWidth="1"/>
    <col min="3417" max="3417" width="10" style="1491" bestFit="1" customWidth="1"/>
    <col min="3418" max="3418" width="10.42578125" style="1491" bestFit="1" customWidth="1"/>
    <col min="3419" max="3420" width="10.7109375" style="1491" bestFit="1" customWidth="1"/>
    <col min="3421" max="3421" width="10" style="1491" bestFit="1" customWidth="1"/>
    <col min="3422" max="3423" width="10.42578125" style="1491" bestFit="1" customWidth="1"/>
    <col min="3424" max="3424" width="10.7109375" style="1491" bestFit="1" customWidth="1"/>
    <col min="3425" max="3425" width="10.42578125" style="1491" bestFit="1" customWidth="1"/>
    <col min="3426" max="3428" width="10.7109375" style="1491" bestFit="1" customWidth="1"/>
    <col min="3429" max="3430" width="0" style="1491" hidden="1" customWidth="1"/>
    <col min="3431" max="3431" width="10.7109375" style="1491" bestFit="1" customWidth="1"/>
    <col min="3432" max="3433" width="10.42578125" style="1491" bestFit="1" customWidth="1"/>
    <col min="3434" max="3436" width="10.7109375" style="1491" bestFit="1" customWidth="1"/>
    <col min="3437" max="3438" width="10.42578125" style="1491" bestFit="1" customWidth="1"/>
    <col min="3439" max="3439" width="10.7109375" style="1491" bestFit="1" customWidth="1"/>
    <col min="3440" max="3440" width="10.42578125" style="1491" bestFit="1" customWidth="1"/>
    <col min="3441" max="3445" width="10.7109375" style="1491" bestFit="1" customWidth="1"/>
    <col min="3446" max="3447" width="10.42578125" style="1491" bestFit="1" customWidth="1"/>
    <col min="3448" max="3449" width="10.7109375" style="1491" bestFit="1" customWidth="1"/>
    <col min="3450" max="3450" width="10.42578125" style="1491" bestFit="1" customWidth="1"/>
    <col min="3451" max="3454" width="10.7109375" style="1491" bestFit="1" customWidth="1"/>
    <col min="3455" max="3455" width="10.42578125" style="1491" bestFit="1" customWidth="1"/>
    <col min="3456" max="3456" width="10.5703125" style="1491" customWidth="1"/>
    <col min="3457" max="3459" width="10.7109375" style="1491" bestFit="1" customWidth="1"/>
    <col min="3460" max="3460" width="10.42578125" style="1491" bestFit="1" customWidth="1"/>
    <col min="3461" max="3462" width="10.7109375" style="1491" bestFit="1" customWidth="1"/>
    <col min="3463" max="3463" width="10.42578125" style="1491" bestFit="1" customWidth="1"/>
    <col min="3464" max="3466" width="10.7109375" style="1491" bestFit="1" customWidth="1"/>
    <col min="3467" max="3467" width="10" style="1491" bestFit="1" customWidth="1"/>
    <col min="3468" max="3470" width="10.7109375" style="1491" bestFit="1" customWidth="1"/>
    <col min="3471" max="3471" width="10.42578125" style="1491" bestFit="1" customWidth="1"/>
    <col min="3472" max="3472" width="10.7109375" style="1491" bestFit="1" customWidth="1"/>
    <col min="3473" max="3575" width="7.5703125" style="1491"/>
    <col min="3576" max="3576" width="44.5703125" style="1491" customWidth="1"/>
    <col min="3577" max="3577" width="11.42578125" style="1491" customWidth="1"/>
    <col min="3578" max="3578" width="9.28515625" style="1491" customWidth="1"/>
    <col min="3579" max="3579" width="11" style="1491" customWidth="1"/>
    <col min="3580" max="3580" width="11.140625" style="1491" customWidth="1"/>
    <col min="3581" max="3581" width="8.140625" style="1491" bestFit="1" customWidth="1"/>
    <col min="3582" max="3582" width="7.85546875" style="1491" bestFit="1" customWidth="1"/>
    <col min="3583" max="3583" width="9.5703125" style="1491" bestFit="1" customWidth="1"/>
    <col min="3584" max="3584" width="9" style="1491" bestFit="1" customWidth="1"/>
    <col min="3585" max="3585" width="9.5703125" style="1491" bestFit="1" customWidth="1"/>
    <col min="3586" max="3586" width="9.42578125" style="1491" bestFit="1" customWidth="1"/>
    <col min="3587" max="3587" width="9.140625" style="1491" bestFit="1" customWidth="1"/>
    <col min="3588" max="3588" width="9.42578125" style="1491" bestFit="1" customWidth="1"/>
    <col min="3589" max="3589" width="9.140625" style="1491" bestFit="1" customWidth="1"/>
    <col min="3590" max="3590" width="9.5703125" style="1491" bestFit="1" customWidth="1"/>
    <col min="3591" max="3591" width="9.42578125" style="1491" bestFit="1" customWidth="1"/>
    <col min="3592" max="3594" width="9.140625" style="1491" bestFit="1" customWidth="1"/>
    <col min="3595" max="3595" width="10" style="1491" bestFit="1" customWidth="1"/>
    <col min="3596" max="3596" width="9.140625" style="1491" bestFit="1" customWidth="1"/>
    <col min="3597" max="3597" width="9.42578125" style="1491" bestFit="1" customWidth="1"/>
    <col min="3598" max="3598" width="8.7109375" style="1491" bestFit="1" customWidth="1"/>
    <col min="3599" max="3599" width="9" style="1491" bestFit="1" customWidth="1"/>
    <col min="3600" max="3600" width="9.42578125" style="1491" bestFit="1" customWidth="1"/>
    <col min="3601" max="3601" width="10" style="1491" bestFit="1" customWidth="1"/>
    <col min="3602" max="3602" width="8.85546875" style="1491" bestFit="1" customWidth="1"/>
    <col min="3603" max="3603" width="10.42578125" style="1491" bestFit="1" customWidth="1"/>
    <col min="3604" max="3604" width="8.85546875" style="1491" bestFit="1" customWidth="1"/>
    <col min="3605" max="3605" width="10.42578125" style="1491" bestFit="1" customWidth="1"/>
    <col min="3606" max="3607" width="9.5703125" style="1491" bestFit="1" customWidth="1"/>
    <col min="3608" max="3608" width="9.140625" style="1491" bestFit="1" customWidth="1"/>
    <col min="3609" max="3609" width="10" style="1491" bestFit="1" customWidth="1"/>
    <col min="3610" max="3610" width="9.140625" style="1491" bestFit="1" customWidth="1"/>
    <col min="3611" max="3611" width="10.42578125" style="1491" bestFit="1" customWidth="1"/>
    <col min="3612" max="3612" width="9.5703125" style="1491" bestFit="1" customWidth="1"/>
    <col min="3613" max="3613" width="10.42578125" style="1491" bestFit="1" customWidth="1"/>
    <col min="3614" max="3614" width="9.5703125" style="1491" bestFit="1" customWidth="1"/>
    <col min="3615" max="3615" width="10" style="1491" bestFit="1" customWidth="1"/>
    <col min="3616" max="3616" width="9.5703125" style="1491" bestFit="1" customWidth="1"/>
    <col min="3617" max="3617" width="10" style="1491" bestFit="1" customWidth="1"/>
    <col min="3618" max="3618" width="9.5703125" style="1491" bestFit="1" customWidth="1"/>
    <col min="3619" max="3619" width="10.7109375" style="1491" bestFit="1" customWidth="1"/>
    <col min="3620" max="3620" width="9.5703125" style="1491" bestFit="1" customWidth="1"/>
    <col min="3621" max="3621" width="10.7109375" style="1491" bestFit="1" customWidth="1"/>
    <col min="3622" max="3622" width="9.5703125" style="1491" bestFit="1" customWidth="1"/>
    <col min="3623" max="3623" width="10.7109375" style="1491" bestFit="1" customWidth="1"/>
    <col min="3624" max="3624" width="9.5703125" style="1491" bestFit="1" customWidth="1"/>
    <col min="3625" max="3625" width="10.7109375" style="1491" bestFit="1" customWidth="1"/>
    <col min="3626" max="3626" width="9.140625" style="1491" bestFit="1" customWidth="1"/>
    <col min="3627" max="3627" width="10.7109375" style="1491" bestFit="1" customWidth="1"/>
    <col min="3628" max="3628" width="9.5703125" style="1491" bestFit="1" customWidth="1"/>
    <col min="3629" max="3629" width="10.42578125" style="1491" bestFit="1" customWidth="1"/>
    <col min="3630" max="3630" width="9.5703125" style="1491" bestFit="1" customWidth="1"/>
    <col min="3631" max="3631" width="10.7109375" style="1491" bestFit="1" customWidth="1"/>
    <col min="3632" max="3632" width="9.5703125" style="1491" bestFit="1" customWidth="1"/>
    <col min="3633" max="3633" width="10.7109375" style="1491" bestFit="1" customWidth="1"/>
    <col min="3634" max="3634" width="9.140625" style="1491" bestFit="1" customWidth="1"/>
    <col min="3635" max="3635" width="10.7109375" style="1491" bestFit="1" customWidth="1"/>
    <col min="3636" max="3636" width="9.5703125" style="1491" bestFit="1" customWidth="1"/>
    <col min="3637" max="3637" width="10.42578125" style="1491" bestFit="1" customWidth="1"/>
    <col min="3638" max="3638" width="9.140625" style="1491" bestFit="1" customWidth="1"/>
    <col min="3639" max="3639" width="10" style="1491" bestFit="1" customWidth="1"/>
    <col min="3640" max="3642" width="10.42578125" style="1491" bestFit="1" customWidth="1"/>
    <col min="3643" max="3643" width="10" style="1491" bestFit="1" customWidth="1"/>
    <col min="3644" max="3644" width="10.7109375" style="1491" bestFit="1" customWidth="1"/>
    <col min="3645" max="3645" width="10.42578125" style="1491" bestFit="1" customWidth="1"/>
    <col min="3646" max="3646" width="10.7109375" style="1491" bestFit="1" customWidth="1"/>
    <col min="3647" max="3649" width="10" style="1491" bestFit="1" customWidth="1"/>
    <col min="3650" max="3650" width="10.7109375" style="1491" bestFit="1" customWidth="1"/>
    <col min="3651" max="3651" width="10.42578125" style="1491" bestFit="1" customWidth="1"/>
    <col min="3652" max="3652" width="10.7109375" style="1491" bestFit="1" customWidth="1"/>
    <col min="3653" max="3653" width="10.42578125" style="1491" bestFit="1" customWidth="1"/>
    <col min="3654" max="3656" width="10" style="1491" bestFit="1" customWidth="1"/>
    <col min="3657" max="3657" width="10.42578125" style="1491" bestFit="1" customWidth="1"/>
    <col min="3658" max="3658" width="10" style="1491" bestFit="1" customWidth="1"/>
    <col min="3659" max="3662" width="10.42578125" style="1491" bestFit="1" customWidth="1"/>
    <col min="3663" max="3663" width="10" style="1491" bestFit="1" customWidth="1"/>
    <col min="3664" max="3664" width="10.42578125" style="1491" bestFit="1" customWidth="1"/>
    <col min="3665" max="3665" width="10.7109375" style="1491" bestFit="1" customWidth="1"/>
    <col min="3666" max="3666" width="10" style="1491" bestFit="1" customWidth="1"/>
    <col min="3667" max="3668" width="10.42578125" style="1491" bestFit="1" customWidth="1"/>
    <col min="3669" max="3671" width="10" style="1491" bestFit="1" customWidth="1"/>
    <col min="3672" max="3672" width="10.7109375" style="1491" bestFit="1" customWidth="1"/>
    <col min="3673" max="3673" width="10" style="1491" bestFit="1" customWidth="1"/>
    <col min="3674" max="3674" width="10.42578125" style="1491" bestFit="1" customWidth="1"/>
    <col min="3675" max="3676" width="10.7109375" style="1491" bestFit="1" customWidth="1"/>
    <col min="3677" max="3677" width="10" style="1491" bestFit="1" customWidth="1"/>
    <col min="3678" max="3679" width="10.42578125" style="1491" bestFit="1" customWidth="1"/>
    <col min="3680" max="3680" width="10.7109375" style="1491" bestFit="1" customWidth="1"/>
    <col min="3681" max="3681" width="10.42578125" style="1491" bestFit="1" customWidth="1"/>
    <col min="3682" max="3684" width="10.7109375" style="1491" bestFit="1" customWidth="1"/>
    <col min="3685" max="3686" width="0" style="1491" hidden="1" customWidth="1"/>
    <col min="3687" max="3687" width="10.7109375" style="1491" bestFit="1" customWidth="1"/>
    <col min="3688" max="3689" width="10.42578125" style="1491" bestFit="1" customWidth="1"/>
    <col min="3690" max="3692" width="10.7109375" style="1491" bestFit="1" customWidth="1"/>
    <col min="3693" max="3694" width="10.42578125" style="1491" bestFit="1" customWidth="1"/>
    <col min="3695" max="3695" width="10.7109375" style="1491" bestFit="1" customWidth="1"/>
    <col min="3696" max="3696" width="10.42578125" style="1491" bestFit="1" customWidth="1"/>
    <col min="3697" max="3701" width="10.7109375" style="1491" bestFit="1" customWidth="1"/>
    <col min="3702" max="3703" width="10.42578125" style="1491" bestFit="1" customWidth="1"/>
    <col min="3704" max="3705" width="10.7109375" style="1491" bestFit="1" customWidth="1"/>
    <col min="3706" max="3706" width="10.42578125" style="1491" bestFit="1" customWidth="1"/>
    <col min="3707" max="3710" width="10.7109375" style="1491" bestFit="1" customWidth="1"/>
    <col min="3711" max="3711" width="10.42578125" style="1491" bestFit="1" customWidth="1"/>
    <col min="3712" max="3712" width="10.5703125" style="1491" customWidth="1"/>
    <col min="3713" max="3715" width="10.7109375" style="1491" bestFit="1" customWidth="1"/>
    <col min="3716" max="3716" width="10.42578125" style="1491" bestFit="1" customWidth="1"/>
    <col min="3717" max="3718" width="10.7109375" style="1491" bestFit="1" customWidth="1"/>
    <col min="3719" max="3719" width="10.42578125" style="1491" bestFit="1" customWidth="1"/>
    <col min="3720" max="3722" width="10.7109375" style="1491" bestFit="1" customWidth="1"/>
    <col min="3723" max="3723" width="10" style="1491" bestFit="1" customWidth="1"/>
    <col min="3724" max="3726" width="10.7109375" style="1491" bestFit="1" customWidth="1"/>
    <col min="3727" max="3727" width="10.42578125" style="1491" bestFit="1" customWidth="1"/>
    <col min="3728" max="3728" width="10.7109375" style="1491" bestFit="1" customWidth="1"/>
    <col min="3729" max="3831" width="7.5703125" style="1491"/>
    <col min="3832" max="3832" width="44.5703125" style="1491" customWidth="1"/>
    <col min="3833" max="3833" width="11.42578125" style="1491" customWidth="1"/>
    <col min="3834" max="3834" width="9.28515625" style="1491" customWidth="1"/>
    <col min="3835" max="3835" width="11" style="1491" customWidth="1"/>
    <col min="3836" max="3836" width="11.140625" style="1491" customWidth="1"/>
    <col min="3837" max="3837" width="8.140625" style="1491" bestFit="1" customWidth="1"/>
    <col min="3838" max="3838" width="7.85546875" style="1491" bestFit="1" customWidth="1"/>
    <col min="3839" max="3839" width="9.5703125" style="1491" bestFit="1" customWidth="1"/>
    <col min="3840" max="3840" width="9" style="1491" bestFit="1" customWidth="1"/>
    <col min="3841" max="3841" width="9.5703125" style="1491" bestFit="1" customWidth="1"/>
    <col min="3842" max="3842" width="9.42578125" style="1491" bestFit="1" customWidth="1"/>
    <col min="3843" max="3843" width="9.140625" style="1491" bestFit="1" customWidth="1"/>
    <col min="3844" max="3844" width="9.42578125" style="1491" bestFit="1" customWidth="1"/>
    <col min="3845" max="3845" width="9.140625" style="1491" bestFit="1" customWidth="1"/>
    <col min="3846" max="3846" width="9.5703125" style="1491" bestFit="1" customWidth="1"/>
    <col min="3847" max="3847" width="9.42578125" style="1491" bestFit="1" customWidth="1"/>
    <col min="3848" max="3850" width="9.140625" style="1491" bestFit="1" customWidth="1"/>
    <col min="3851" max="3851" width="10" style="1491" bestFit="1" customWidth="1"/>
    <col min="3852" max="3852" width="9.140625" style="1491" bestFit="1" customWidth="1"/>
    <col min="3853" max="3853" width="9.42578125" style="1491" bestFit="1" customWidth="1"/>
    <col min="3854" max="3854" width="8.7109375" style="1491" bestFit="1" customWidth="1"/>
    <col min="3855" max="3855" width="9" style="1491" bestFit="1" customWidth="1"/>
    <col min="3856" max="3856" width="9.42578125" style="1491" bestFit="1" customWidth="1"/>
    <col min="3857" max="3857" width="10" style="1491" bestFit="1" customWidth="1"/>
    <col min="3858" max="3858" width="8.85546875" style="1491" bestFit="1" customWidth="1"/>
    <col min="3859" max="3859" width="10.42578125" style="1491" bestFit="1" customWidth="1"/>
    <col min="3860" max="3860" width="8.85546875" style="1491" bestFit="1" customWidth="1"/>
    <col min="3861" max="3861" width="10.42578125" style="1491" bestFit="1" customWidth="1"/>
    <col min="3862" max="3863" width="9.5703125" style="1491" bestFit="1" customWidth="1"/>
    <col min="3864" max="3864" width="9.140625" style="1491" bestFit="1" customWidth="1"/>
    <col min="3865" max="3865" width="10" style="1491" bestFit="1" customWidth="1"/>
    <col min="3866" max="3866" width="9.140625" style="1491" bestFit="1" customWidth="1"/>
    <col min="3867" max="3867" width="10.42578125" style="1491" bestFit="1" customWidth="1"/>
    <col min="3868" max="3868" width="9.5703125" style="1491" bestFit="1" customWidth="1"/>
    <col min="3869" max="3869" width="10.42578125" style="1491" bestFit="1" customWidth="1"/>
    <col min="3870" max="3870" width="9.5703125" style="1491" bestFit="1" customWidth="1"/>
    <col min="3871" max="3871" width="10" style="1491" bestFit="1" customWidth="1"/>
    <col min="3872" max="3872" width="9.5703125" style="1491" bestFit="1" customWidth="1"/>
    <col min="3873" max="3873" width="10" style="1491" bestFit="1" customWidth="1"/>
    <col min="3874" max="3874" width="9.5703125" style="1491" bestFit="1" customWidth="1"/>
    <col min="3875" max="3875" width="10.7109375" style="1491" bestFit="1" customWidth="1"/>
    <col min="3876" max="3876" width="9.5703125" style="1491" bestFit="1" customWidth="1"/>
    <col min="3877" max="3877" width="10.7109375" style="1491" bestFit="1" customWidth="1"/>
    <col min="3878" max="3878" width="9.5703125" style="1491" bestFit="1" customWidth="1"/>
    <col min="3879" max="3879" width="10.7109375" style="1491" bestFit="1" customWidth="1"/>
    <col min="3880" max="3880" width="9.5703125" style="1491" bestFit="1" customWidth="1"/>
    <col min="3881" max="3881" width="10.7109375" style="1491" bestFit="1" customWidth="1"/>
    <col min="3882" max="3882" width="9.140625" style="1491" bestFit="1" customWidth="1"/>
    <col min="3883" max="3883" width="10.7109375" style="1491" bestFit="1" customWidth="1"/>
    <col min="3884" max="3884" width="9.5703125" style="1491" bestFit="1" customWidth="1"/>
    <col min="3885" max="3885" width="10.42578125" style="1491" bestFit="1" customWidth="1"/>
    <col min="3886" max="3886" width="9.5703125" style="1491" bestFit="1" customWidth="1"/>
    <col min="3887" max="3887" width="10.7109375" style="1491" bestFit="1" customWidth="1"/>
    <col min="3888" max="3888" width="9.5703125" style="1491" bestFit="1" customWidth="1"/>
    <col min="3889" max="3889" width="10.7109375" style="1491" bestFit="1" customWidth="1"/>
    <col min="3890" max="3890" width="9.140625" style="1491" bestFit="1" customWidth="1"/>
    <col min="3891" max="3891" width="10.7109375" style="1491" bestFit="1" customWidth="1"/>
    <col min="3892" max="3892" width="9.5703125" style="1491" bestFit="1" customWidth="1"/>
    <col min="3893" max="3893" width="10.42578125" style="1491" bestFit="1" customWidth="1"/>
    <col min="3894" max="3894" width="9.140625" style="1491" bestFit="1" customWidth="1"/>
    <col min="3895" max="3895" width="10" style="1491" bestFit="1" customWidth="1"/>
    <col min="3896" max="3898" width="10.42578125" style="1491" bestFit="1" customWidth="1"/>
    <col min="3899" max="3899" width="10" style="1491" bestFit="1" customWidth="1"/>
    <col min="3900" max="3900" width="10.7109375" style="1491" bestFit="1" customWidth="1"/>
    <col min="3901" max="3901" width="10.42578125" style="1491" bestFit="1" customWidth="1"/>
    <col min="3902" max="3902" width="10.7109375" style="1491" bestFit="1" customWidth="1"/>
    <col min="3903" max="3905" width="10" style="1491" bestFit="1" customWidth="1"/>
    <col min="3906" max="3906" width="10.7109375" style="1491" bestFit="1" customWidth="1"/>
    <col min="3907" max="3907" width="10.42578125" style="1491" bestFit="1" customWidth="1"/>
    <col min="3908" max="3908" width="10.7109375" style="1491" bestFit="1" customWidth="1"/>
    <col min="3909" max="3909" width="10.42578125" style="1491" bestFit="1" customWidth="1"/>
    <col min="3910" max="3912" width="10" style="1491" bestFit="1" customWidth="1"/>
    <col min="3913" max="3913" width="10.42578125" style="1491" bestFit="1" customWidth="1"/>
    <col min="3914" max="3914" width="10" style="1491" bestFit="1" customWidth="1"/>
    <col min="3915" max="3918" width="10.42578125" style="1491" bestFit="1" customWidth="1"/>
    <col min="3919" max="3919" width="10" style="1491" bestFit="1" customWidth="1"/>
    <col min="3920" max="3920" width="10.42578125" style="1491" bestFit="1" customWidth="1"/>
    <col min="3921" max="3921" width="10.7109375" style="1491" bestFit="1" customWidth="1"/>
    <col min="3922" max="3922" width="10" style="1491" bestFit="1" customWidth="1"/>
    <col min="3923" max="3924" width="10.42578125" style="1491" bestFit="1" customWidth="1"/>
    <col min="3925" max="3927" width="10" style="1491" bestFit="1" customWidth="1"/>
    <col min="3928" max="3928" width="10.7109375" style="1491" bestFit="1" customWidth="1"/>
    <col min="3929" max="3929" width="10" style="1491" bestFit="1" customWidth="1"/>
    <col min="3930" max="3930" width="10.42578125" style="1491" bestFit="1" customWidth="1"/>
    <col min="3931" max="3932" width="10.7109375" style="1491" bestFit="1" customWidth="1"/>
    <col min="3933" max="3933" width="10" style="1491" bestFit="1" customWidth="1"/>
    <col min="3934" max="3935" width="10.42578125" style="1491" bestFit="1" customWidth="1"/>
    <col min="3936" max="3936" width="10.7109375" style="1491" bestFit="1" customWidth="1"/>
    <col min="3937" max="3937" width="10.42578125" style="1491" bestFit="1" customWidth="1"/>
    <col min="3938" max="3940" width="10.7109375" style="1491" bestFit="1" customWidth="1"/>
    <col min="3941" max="3942" width="0" style="1491" hidden="1" customWidth="1"/>
    <col min="3943" max="3943" width="10.7109375" style="1491" bestFit="1" customWidth="1"/>
    <col min="3944" max="3945" width="10.42578125" style="1491" bestFit="1" customWidth="1"/>
    <col min="3946" max="3948" width="10.7109375" style="1491" bestFit="1" customWidth="1"/>
    <col min="3949" max="3950" width="10.42578125" style="1491" bestFit="1" customWidth="1"/>
    <col min="3951" max="3951" width="10.7109375" style="1491" bestFit="1" customWidth="1"/>
    <col min="3952" max="3952" width="10.42578125" style="1491" bestFit="1" customWidth="1"/>
    <col min="3953" max="3957" width="10.7109375" style="1491" bestFit="1" customWidth="1"/>
    <col min="3958" max="3959" width="10.42578125" style="1491" bestFit="1" customWidth="1"/>
    <col min="3960" max="3961" width="10.7109375" style="1491" bestFit="1" customWidth="1"/>
    <col min="3962" max="3962" width="10.42578125" style="1491" bestFit="1" customWidth="1"/>
    <col min="3963" max="3966" width="10.7109375" style="1491" bestFit="1" customWidth="1"/>
    <col min="3967" max="3967" width="10.42578125" style="1491" bestFit="1" customWidth="1"/>
    <col min="3968" max="3968" width="10.5703125" style="1491" customWidth="1"/>
    <col min="3969" max="3971" width="10.7109375" style="1491" bestFit="1" customWidth="1"/>
    <col min="3972" max="3972" width="10.42578125" style="1491" bestFit="1" customWidth="1"/>
    <col min="3973" max="3974" width="10.7109375" style="1491" bestFit="1" customWidth="1"/>
    <col min="3975" max="3975" width="10.42578125" style="1491" bestFit="1" customWidth="1"/>
    <col min="3976" max="3978" width="10.7109375" style="1491" bestFit="1" customWidth="1"/>
    <col min="3979" max="3979" width="10" style="1491" bestFit="1" customWidth="1"/>
    <col min="3980" max="3982" width="10.7109375" style="1491" bestFit="1" customWidth="1"/>
    <col min="3983" max="3983" width="10.42578125" style="1491" bestFit="1" customWidth="1"/>
    <col min="3984" max="3984" width="10.7109375" style="1491" bestFit="1" customWidth="1"/>
    <col min="3985" max="4087" width="7.5703125" style="1491"/>
    <col min="4088" max="4088" width="44.5703125" style="1491" customWidth="1"/>
    <col min="4089" max="4089" width="11.42578125" style="1491" customWidth="1"/>
    <col min="4090" max="4090" width="9.28515625" style="1491" customWidth="1"/>
    <col min="4091" max="4091" width="11" style="1491" customWidth="1"/>
    <col min="4092" max="4092" width="11.140625" style="1491" customWidth="1"/>
    <col min="4093" max="4093" width="8.140625" style="1491" bestFit="1" customWidth="1"/>
    <col min="4094" max="4094" width="7.85546875" style="1491" bestFit="1" customWidth="1"/>
    <col min="4095" max="4095" width="9.5703125" style="1491" bestFit="1" customWidth="1"/>
    <col min="4096" max="4096" width="9" style="1491" bestFit="1" customWidth="1"/>
    <col min="4097" max="4097" width="9.5703125" style="1491" bestFit="1" customWidth="1"/>
    <col min="4098" max="4098" width="9.42578125" style="1491" bestFit="1" customWidth="1"/>
    <col min="4099" max="4099" width="9.140625" style="1491" bestFit="1" customWidth="1"/>
    <col min="4100" max="4100" width="9.42578125" style="1491" bestFit="1" customWidth="1"/>
    <col min="4101" max="4101" width="9.140625" style="1491" bestFit="1" customWidth="1"/>
    <col min="4102" max="4102" width="9.5703125" style="1491" bestFit="1" customWidth="1"/>
    <col min="4103" max="4103" width="9.42578125" style="1491" bestFit="1" customWidth="1"/>
    <col min="4104" max="4106" width="9.140625" style="1491" bestFit="1" customWidth="1"/>
    <col min="4107" max="4107" width="10" style="1491" bestFit="1" customWidth="1"/>
    <col min="4108" max="4108" width="9.140625" style="1491" bestFit="1" customWidth="1"/>
    <col min="4109" max="4109" width="9.42578125" style="1491" bestFit="1" customWidth="1"/>
    <col min="4110" max="4110" width="8.7109375" style="1491" bestFit="1" customWidth="1"/>
    <col min="4111" max="4111" width="9" style="1491" bestFit="1" customWidth="1"/>
    <col min="4112" max="4112" width="9.42578125" style="1491" bestFit="1" customWidth="1"/>
    <col min="4113" max="4113" width="10" style="1491" bestFit="1" customWidth="1"/>
    <col min="4114" max="4114" width="8.85546875" style="1491" bestFit="1" customWidth="1"/>
    <col min="4115" max="4115" width="10.42578125" style="1491" bestFit="1" customWidth="1"/>
    <col min="4116" max="4116" width="8.85546875" style="1491" bestFit="1" customWidth="1"/>
    <col min="4117" max="4117" width="10.42578125" style="1491" bestFit="1" customWidth="1"/>
    <col min="4118" max="4119" width="9.5703125" style="1491" bestFit="1" customWidth="1"/>
    <col min="4120" max="4120" width="9.140625" style="1491" bestFit="1" customWidth="1"/>
    <col min="4121" max="4121" width="10" style="1491" bestFit="1" customWidth="1"/>
    <col min="4122" max="4122" width="9.140625" style="1491" bestFit="1" customWidth="1"/>
    <col min="4123" max="4123" width="10.42578125" style="1491" bestFit="1" customWidth="1"/>
    <col min="4124" max="4124" width="9.5703125" style="1491" bestFit="1" customWidth="1"/>
    <col min="4125" max="4125" width="10.42578125" style="1491" bestFit="1" customWidth="1"/>
    <col min="4126" max="4126" width="9.5703125" style="1491" bestFit="1" customWidth="1"/>
    <col min="4127" max="4127" width="10" style="1491" bestFit="1" customWidth="1"/>
    <col min="4128" max="4128" width="9.5703125" style="1491" bestFit="1" customWidth="1"/>
    <col min="4129" max="4129" width="10" style="1491" bestFit="1" customWidth="1"/>
    <col min="4130" max="4130" width="9.5703125" style="1491" bestFit="1" customWidth="1"/>
    <col min="4131" max="4131" width="10.7109375" style="1491" bestFit="1" customWidth="1"/>
    <col min="4132" max="4132" width="9.5703125" style="1491" bestFit="1" customWidth="1"/>
    <col min="4133" max="4133" width="10.7109375" style="1491" bestFit="1" customWidth="1"/>
    <col min="4134" max="4134" width="9.5703125" style="1491" bestFit="1" customWidth="1"/>
    <col min="4135" max="4135" width="10.7109375" style="1491" bestFit="1" customWidth="1"/>
    <col min="4136" max="4136" width="9.5703125" style="1491" bestFit="1" customWidth="1"/>
    <col min="4137" max="4137" width="10.7109375" style="1491" bestFit="1" customWidth="1"/>
    <col min="4138" max="4138" width="9.140625" style="1491" bestFit="1" customWidth="1"/>
    <col min="4139" max="4139" width="10.7109375" style="1491" bestFit="1" customWidth="1"/>
    <col min="4140" max="4140" width="9.5703125" style="1491" bestFit="1" customWidth="1"/>
    <col min="4141" max="4141" width="10.42578125" style="1491" bestFit="1" customWidth="1"/>
    <col min="4142" max="4142" width="9.5703125" style="1491" bestFit="1" customWidth="1"/>
    <col min="4143" max="4143" width="10.7109375" style="1491" bestFit="1" customWidth="1"/>
    <col min="4144" max="4144" width="9.5703125" style="1491" bestFit="1" customWidth="1"/>
    <col min="4145" max="4145" width="10.7109375" style="1491" bestFit="1" customWidth="1"/>
    <col min="4146" max="4146" width="9.140625" style="1491" bestFit="1" customWidth="1"/>
    <col min="4147" max="4147" width="10.7109375" style="1491" bestFit="1" customWidth="1"/>
    <col min="4148" max="4148" width="9.5703125" style="1491" bestFit="1" customWidth="1"/>
    <col min="4149" max="4149" width="10.42578125" style="1491" bestFit="1" customWidth="1"/>
    <col min="4150" max="4150" width="9.140625" style="1491" bestFit="1" customWidth="1"/>
    <col min="4151" max="4151" width="10" style="1491" bestFit="1" customWidth="1"/>
    <col min="4152" max="4154" width="10.42578125" style="1491" bestFit="1" customWidth="1"/>
    <col min="4155" max="4155" width="10" style="1491" bestFit="1" customWidth="1"/>
    <col min="4156" max="4156" width="10.7109375" style="1491" bestFit="1" customWidth="1"/>
    <col min="4157" max="4157" width="10.42578125" style="1491" bestFit="1" customWidth="1"/>
    <col min="4158" max="4158" width="10.7109375" style="1491" bestFit="1" customWidth="1"/>
    <col min="4159" max="4161" width="10" style="1491" bestFit="1" customWidth="1"/>
    <col min="4162" max="4162" width="10.7109375" style="1491" bestFit="1" customWidth="1"/>
    <col min="4163" max="4163" width="10.42578125" style="1491" bestFit="1" customWidth="1"/>
    <col min="4164" max="4164" width="10.7109375" style="1491" bestFit="1" customWidth="1"/>
    <col min="4165" max="4165" width="10.42578125" style="1491" bestFit="1" customWidth="1"/>
    <col min="4166" max="4168" width="10" style="1491" bestFit="1" customWidth="1"/>
    <col min="4169" max="4169" width="10.42578125" style="1491" bestFit="1" customWidth="1"/>
    <col min="4170" max="4170" width="10" style="1491" bestFit="1" customWidth="1"/>
    <col min="4171" max="4174" width="10.42578125" style="1491" bestFit="1" customWidth="1"/>
    <col min="4175" max="4175" width="10" style="1491" bestFit="1" customWidth="1"/>
    <col min="4176" max="4176" width="10.42578125" style="1491" bestFit="1" customWidth="1"/>
    <col min="4177" max="4177" width="10.7109375" style="1491" bestFit="1" customWidth="1"/>
    <col min="4178" max="4178" width="10" style="1491" bestFit="1" customWidth="1"/>
    <col min="4179" max="4180" width="10.42578125" style="1491" bestFit="1" customWidth="1"/>
    <col min="4181" max="4183" width="10" style="1491" bestFit="1" customWidth="1"/>
    <col min="4184" max="4184" width="10.7109375" style="1491" bestFit="1" customWidth="1"/>
    <col min="4185" max="4185" width="10" style="1491" bestFit="1" customWidth="1"/>
    <col min="4186" max="4186" width="10.42578125" style="1491" bestFit="1" customWidth="1"/>
    <col min="4187" max="4188" width="10.7109375" style="1491" bestFit="1" customWidth="1"/>
    <col min="4189" max="4189" width="10" style="1491" bestFit="1" customWidth="1"/>
    <col min="4190" max="4191" width="10.42578125" style="1491" bestFit="1" customWidth="1"/>
    <col min="4192" max="4192" width="10.7109375" style="1491" bestFit="1" customWidth="1"/>
    <col min="4193" max="4193" width="10.42578125" style="1491" bestFit="1" customWidth="1"/>
    <col min="4194" max="4196" width="10.7109375" style="1491" bestFit="1" customWidth="1"/>
    <col min="4197" max="4198" width="0" style="1491" hidden="1" customWidth="1"/>
    <col min="4199" max="4199" width="10.7109375" style="1491" bestFit="1" customWidth="1"/>
    <col min="4200" max="4201" width="10.42578125" style="1491" bestFit="1" customWidth="1"/>
    <col min="4202" max="4204" width="10.7109375" style="1491" bestFit="1" customWidth="1"/>
    <col min="4205" max="4206" width="10.42578125" style="1491" bestFit="1" customWidth="1"/>
    <col min="4207" max="4207" width="10.7109375" style="1491" bestFit="1" customWidth="1"/>
    <col min="4208" max="4208" width="10.42578125" style="1491" bestFit="1" customWidth="1"/>
    <col min="4209" max="4213" width="10.7109375" style="1491" bestFit="1" customWidth="1"/>
    <col min="4214" max="4215" width="10.42578125" style="1491" bestFit="1" customWidth="1"/>
    <col min="4216" max="4217" width="10.7109375" style="1491" bestFit="1" customWidth="1"/>
    <col min="4218" max="4218" width="10.42578125" style="1491" bestFit="1" customWidth="1"/>
    <col min="4219" max="4222" width="10.7109375" style="1491" bestFit="1" customWidth="1"/>
    <col min="4223" max="4223" width="10.42578125" style="1491" bestFit="1" customWidth="1"/>
    <col min="4224" max="4224" width="10.5703125" style="1491" customWidth="1"/>
    <col min="4225" max="4227" width="10.7109375" style="1491" bestFit="1" customWidth="1"/>
    <col min="4228" max="4228" width="10.42578125" style="1491" bestFit="1" customWidth="1"/>
    <col min="4229" max="4230" width="10.7109375" style="1491" bestFit="1" customWidth="1"/>
    <col min="4231" max="4231" width="10.42578125" style="1491" bestFit="1" customWidth="1"/>
    <col min="4232" max="4234" width="10.7109375" style="1491" bestFit="1" customWidth="1"/>
    <col min="4235" max="4235" width="10" style="1491" bestFit="1" customWidth="1"/>
    <col min="4236" max="4238" width="10.7109375" style="1491" bestFit="1" customWidth="1"/>
    <col min="4239" max="4239" width="10.42578125" style="1491" bestFit="1" customWidth="1"/>
    <col min="4240" max="4240" width="10.7109375" style="1491" bestFit="1" customWidth="1"/>
    <col min="4241" max="4343" width="7.5703125" style="1491"/>
    <col min="4344" max="4344" width="44.5703125" style="1491" customWidth="1"/>
    <col min="4345" max="4345" width="11.42578125" style="1491" customWidth="1"/>
    <col min="4346" max="4346" width="9.28515625" style="1491" customWidth="1"/>
    <col min="4347" max="4347" width="11" style="1491" customWidth="1"/>
    <col min="4348" max="4348" width="11.140625" style="1491" customWidth="1"/>
    <col min="4349" max="4349" width="8.140625" style="1491" bestFit="1" customWidth="1"/>
    <col min="4350" max="4350" width="7.85546875" style="1491" bestFit="1" customWidth="1"/>
    <col min="4351" max="4351" width="9.5703125" style="1491" bestFit="1" customWidth="1"/>
    <col min="4352" max="4352" width="9" style="1491" bestFit="1" customWidth="1"/>
    <col min="4353" max="4353" width="9.5703125" style="1491" bestFit="1" customWidth="1"/>
    <col min="4354" max="4354" width="9.42578125" style="1491" bestFit="1" customWidth="1"/>
    <col min="4355" max="4355" width="9.140625" style="1491" bestFit="1" customWidth="1"/>
    <col min="4356" max="4356" width="9.42578125" style="1491" bestFit="1" customWidth="1"/>
    <col min="4357" max="4357" width="9.140625" style="1491" bestFit="1" customWidth="1"/>
    <col min="4358" max="4358" width="9.5703125" style="1491" bestFit="1" customWidth="1"/>
    <col min="4359" max="4359" width="9.42578125" style="1491" bestFit="1" customWidth="1"/>
    <col min="4360" max="4362" width="9.140625" style="1491" bestFit="1" customWidth="1"/>
    <col min="4363" max="4363" width="10" style="1491" bestFit="1" customWidth="1"/>
    <col min="4364" max="4364" width="9.140625" style="1491" bestFit="1" customWidth="1"/>
    <col min="4365" max="4365" width="9.42578125" style="1491" bestFit="1" customWidth="1"/>
    <col min="4366" max="4366" width="8.7109375" style="1491" bestFit="1" customWidth="1"/>
    <col min="4367" max="4367" width="9" style="1491" bestFit="1" customWidth="1"/>
    <col min="4368" max="4368" width="9.42578125" style="1491" bestFit="1" customWidth="1"/>
    <col min="4369" max="4369" width="10" style="1491" bestFit="1" customWidth="1"/>
    <col min="4370" max="4370" width="8.85546875" style="1491" bestFit="1" customWidth="1"/>
    <col min="4371" max="4371" width="10.42578125" style="1491" bestFit="1" customWidth="1"/>
    <col min="4372" max="4372" width="8.85546875" style="1491" bestFit="1" customWidth="1"/>
    <col min="4373" max="4373" width="10.42578125" style="1491" bestFit="1" customWidth="1"/>
    <col min="4374" max="4375" width="9.5703125" style="1491" bestFit="1" customWidth="1"/>
    <col min="4376" max="4376" width="9.140625" style="1491" bestFit="1" customWidth="1"/>
    <col min="4377" max="4377" width="10" style="1491" bestFit="1" customWidth="1"/>
    <col min="4378" max="4378" width="9.140625" style="1491" bestFit="1" customWidth="1"/>
    <col min="4379" max="4379" width="10.42578125" style="1491" bestFit="1" customWidth="1"/>
    <col min="4380" max="4380" width="9.5703125" style="1491" bestFit="1" customWidth="1"/>
    <col min="4381" max="4381" width="10.42578125" style="1491" bestFit="1" customWidth="1"/>
    <col min="4382" max="4382" width="9.5703125" style="1491" bestFit="1" customWidth="1"/>
    <col min="4383" max="4383" width="10" style="1491" bestFit="1" customWidth="1"/>
    <col min="4384" max="4384" width="9.5703125" style="1491" bestFit="1" customWidth="1"/>
    <col min="4385" max="4385" width="10" style="1491" bestFit="1" customWidth="1"/>
    <col min="4386" max="4386" width="9.5703125" style="1491" bestFit="1" customWidth="1"/>
    <col min="4387" max="4387" width="10.7109375" style="1491" bestFit="1" customWidth="1"/>
    <col min="4388" max="4388" width="9.5703125" style="1491" bestFit="1" customWidth="1"/>
    <col min="4389" max="4389" width="10.7109375" style="1491" bestFit="1" customWidth="1"/>
    <col min="4390" max="4390" width="9.5703125" style="1491" bestFit="1" customWidth="1"/>
    <col min="4391" max="4391" width="10.7109375" style="1491" bestFit="1" customWidth="1"/>
    <col min="4392" max="4392" width="9.5703125" style="1491" bestFit="1" customWidth="1"/>
    <col min="4393" max="4393" width="10.7109375" style="1491" bestFit="1" customWidth="1"/>
    <col min="4394" max="4394" width="9.140625" style="1491" bestFit="1" customWidth="1"/>
    <col min="4395" max="4395" width="10.7109375" style="1491" bestFit="1" customWidth="1"/>
    <col min="4396" max="4396" width="9.5703125" style="1491" bestFit="1" customWidth="1"/>
    <col min="4397" max="4397" width="10.42578125" style="1491" bestFit="1" customWidth="1"/>
    <col min="4398" max="4398" width="9.5703125" style="1491" bestFit="1" customWidth="1"/>
    <col min="4399" max="4399" width="10.7109375" style="1491" bestFit="1" customWidth="1"/>
    <col min="4400" max="4400" width="9.5703125" style="1491" bestFit="1" customWidth="1"/>
    <col min="4401" max="4401" width="10.7109375" style="1491" bestFit="1" customWidth="1"/>
    <col min="4402" max="4402" width="9.140625" style="1491" bestFit="1" customWidth="1"/>
    <col min="4403" max="4403" width="10.7109375" style="1491" bestFit="1" customWidth="1"/>
    <col min="4404" max="4404" width="9.5703125" style="1491" bestFit="1" customWidth="1"/>
    <col min="4405" max="4405" width="10.42578125" style="1491" bestFit="1" customWidth="1"/>
    <col min="4406" max="4406" width="9.140625" style="1491" bestFit="1" customWidth="1"/>
    <col min="4407" max="4407" width="10" style="1491" bestFit="1" customWidth="1"/>
    <col min="4408" max="4410" width="10.42578125" style="1491" bestFit="1" customWidth="1"/>
    <col min="4411" max="4411" width="10" style="1491" bestFit="1" customWidth="1"/>
    <col min="4412" max="4412" width="10.7109375" style="1491" bestFit="1" customWidth="1"/>
    <col min="4413" max="4413" width="10.42578125" style="1491" bestFit="1" customWidth="1"/>
    <col min="4414" max="4414" width="10.7109375" style="1491" bestFit="1" customWidth="1"/>
    <col min="4415" max="4417" width="10" style="1491" bestFit="1" customWidth="1"/>
    <col min="4418" max="4418" width="10.7109375" style="1491" bestFit="1" customWidth="1"/>
    <col min="4419" max="4419" width="10.42578125" style="1491" bestFit="1" customWidth="1"/>
    <col min="4420" max="4420" width="10.7109375" style="1491" bestFit="1" customWidth="1"/>
    <col min="4421" max="4421" width="10.42578125" style="1491" bestFit="1" customWidth="1"/>
    <col min="4422" max="4424" width="10" style="1491" bestFit="1" customWidth="1"/>
    <col min="4425" max="4425" width="10.42578125" style="1491" bestFit="1" customWidth="1"/>
    <col min="4426" max="4426" width="10" style="1491" bestFit="1" customWidth="1"/>
    <col min="4427" max="4430" width="10.42578125" style="1491" bestFit="1" customWidth="1"/>
    <col min="4431" max="4431" width="10" style="1491" bestFit="1" customWidth="1"/>
    <col min="4432" max="4432" width="10.42578125" style="1491" bestFit="1" customWidth="1"/>
    <col min="4433" max="4433" width="10.7109375" style="1491" bestFit="1" customWidth="1"/>
    <col min="4434" max="4434" width="10" style="1491" bestFit="1" customWidth="1"/>
    <col min="4435" max="4436" width="10.42578125" style="1491" bestFit="1" customWidth="1"/>
    <col min="4437" max="4439" width="10" style="1491" bestFit="1" customWidth="1"/>
    <col min="4440" max="4440" width="10.7109375" style="1491" bestFit="1" customWidth="1"/>
    <col min="4441" max="4441" width="10" style="1491" bestFit="1" customWidth="1"/>
    <col min="4442" max="4442" width="10.42578125" style="1491" bestFit="1" customWidth="1"/>
    <col min="4443" max="4444" width="10.7109375" style="1491" bestFit="1" customWidth="1"/>
    <col min="4445" max="4445" width="10" style="1491" bestFit="1" customWidth="1"/>
    <col min="4446" max="4447" width="10.42578125" style="1491" bestFit="1" customWidth="1"/>
    <col min="4448" max="4448" width="10.7109375" style="1491" bestFit="1" customWidth="1"/>
    <col min="4449" max="4449" width="10.42578125" style="1491" bestFit="1" customWidth="1"/>
    <col min="4450" max="4452" width="10.7109375" style="1491" bestFit="1" customWidth="1"/>
    <col min="4453" max="4454" width="0" style="1491" hidden="1" customWidth="1"/>
    <col min="4455" max="4455" width="10.7109375" style="1491" bestFit="1" customWidth="1"/>
    <col min="4456" max="4457" width="10.42578125" style="1491" bestFit="1" customWidth="1"/>
    <col min="4458" max="4460" width="10.7109375" style="1491" bestFit="1" customWidth="1"/>
    <col min="4461" max="4462" width="10.42578125" style="1491" bestFit="1" customWidth="1"/>
    <col min="4463" max="4463" width="10.7109375" style="1491" bestFit="1" customWidth="1"/>
    <col min="4464" max="4464" width="10.42578125" style="1491" bestFit="1" customWidth="1"/>
    <col min="4465" max="4469" width="10.7109375" style="1491" bestFit="1" customWidth="1"/>
    <col min="4470" max="4471" width="10.42578125" style="1491" bestFit="1" customWidth="1"/>
    <col min="4472" max="4473" width="10.7109375" style="1491" bestFit="1" customWidth="1"/>
    <col min="4474" max="4474" width="10.42578125" style="1491" bestFit="1" customWidth="1"/>
    <col min="4475" max="4478" width="10.7109375" style="1491" bestFit="1" customWidth="1"/>
    <col min="4479" max="4479" width="10.42578125" style="1491" bestFit="1" customWidth="1"/>
    <col min="4480" max="4480" width="10.5703125" style="1491" customWidth="1"/>
    <col min="4481" max="4483" width="10.7109375" style="1491" bestFit="1" customWidth="1"/>
    <col min="4484" max="4484" width="10.42578125" style="1491" bestFit="1" customWidth="1"/>
    <col min="4485" max="4486" width="10.7109375" style="1491" bestFit="1" customWidth="1"/>
    <col min="4487" max="4487" width="10.42578125" style="1491" bestFit="1" customWidth="1"/>
    <col min="4488" max="4490" width="10.7109375" style="1491" bestFit="1" customWidth="1"/>
    <col min="4491" max="4491" width="10" style="1491" bestFit="1" customWidth="1"/>
    <col min="4492" max="4494" width="10.7109375" style="1491" bestFit="1" customWidth="1"/>
    <col min="4495" max="4495" width="10.42578125" style="1491" bestFit="1" customWidth="1"/>
    <col min="4496" max="4496" width="10.7109375" style="1491" bestFit="1" customWidth="1"/>
    <col min="4497" max="4599" width="7.5703125" style="1491"/>
    <col min="4600" max="4600" width="44.5703125" style="1491" customWidth="1"/>
    <col min="4601" max="4601" width="11.42578125" style="1491" customWidth="1"/>
    <col min="4602" max="4602" width="9.28515625" style="1491" customWidth="1"/>
    <col min="4603" max="4603" width="11" style="1491" customWidth="1"/>
    <col min="4604" max="4604" width="11.140625" style="1491" customWidth="1"/>
    <col min="4605" max="4605" width="8.140625" style="1491" bestFit="1" customWidth="1"/>
    <col min="4606" max="4606" width="7.85546875" style="1491" bestFit="1" customWidth="1"/>
    <col min="4607" max="4607" width="9.5703125" style="1491" bestFit="1" customWidth="1"/>
    <col min="4608" max="4608" width="9" style="1491" bestFit="1" customWidth="1"/>
    <col min="4609" max="4609" width="9.5703125" style="1491" bestFit="1" customWidth="1"/>
    <col min="4610" max="4610" width="9.42578125" style="1491" bestFit="1" customWidth="1"/>
    <col min="4611" max="4611" width="9.140625" style="1491" bestFit="1" customWidth="1"/>
    <col min="4612" max="4612" width="9.42578125" style="1491" bestFit="1" customWidth="1"/>
    <col min="4613" max="4613" width="9.140625" style="1491" bestFit="1" customWidth="1"/>
    <col min="4614" max="4614" width="9.5703125" style="1491" bestFit="1" customWidth="1"/>
    <col min="4615" max="4615" width="9.42578125" style="1491" bestFit="1" customWidth="1"/>
    <col min="4616" max="4618" width="9.140625" style="1491" bestFit="1" customWidth="1"/>
    <col min="4619" max="4619" width="10" style="1491" bestFit="1" customWidth="1"/>
    <col min="4620" max="4620" width="9.140625" style="1491" bestFit="1" customWidth="1"/>
    <col min="4621" max="4621" width="9.42578125" style="1491" bestFit="1" customWidth="1"/>
    <col min="4622" max="4622" width="8.7109375" style="1491" bestFit="1" customWidth="1"/>
    <col min="4623" max="4623" width="9" style="1491" bestFit="1" customWidth="1"/>
    <col min="4624" max="4624" width="9.42578125" style="1491" bestFit="1" customWidth="1"/>
    <col min="4625" max="4625" width="10" style="1491" bestFit="1" customWidth="1"/>
    <col min="4626" max="4626" width="8.85546875" style="1491" bestFit="1" customWidth="1"/>
    <col min="4627" max="4627" width="10.42578125" style="1491" bestFit="1" customWidth="1"/>
    <col min="4628" max="4628" width="8.85546875" style="1491" bestFit="1" customWidth="1"/>
    <col min="4629" max="4629" width="10.42578125" style="1491" bestFit="1" customWidth="1"/>
    <col min="4630" max="4631" width="9.5703125" style="1491" bestFit="1" customWidth="1"/>
    <col min="4632" max="4632" width="9.140625" style="1491" bestFit="1" customWidth="1"/>
    <col min="4633" max="4633" width="10" style="1491" bestFit="1" customWidth="1"/>
    <col min="4634" max="4634" width="9.140625" style="1491" bestFit="1" customWidth="1"/>
    <col min="4635" max="4635" width="10.42578125" style="1491" bestFit="1" customWidth="1"/>
    <col min="4636" max="4636" width="9.5703125" style="1491" bestFit="1" customWidth="1"/>
    <col min="4637" max="4637" width="10.42578125" style="1491" bestFit="1" customWidth="1"/>
    <col min="4638" max="4638" width="9.5703125" style="1491" bestFit="1" customWidth="1"/>
    <col min="4639" max="4639" width="10" style="1491" bestFit="1" customWidth="1"/>
    <col min="4640" max="4640" width="9.5703125" style="1491" bestFit="1" customWidth="1"/>
    <col min="4641" max="4641" width="10" style="1491" bestFit="1" customWidth="1"/>
    <col min="4642" max="4642" width="9.5703125" style="1491" bestFit="1" customWidth="1"/>
    <col min="4643" max="4643" width="10.7109375" style="1491" bestFit="1" customWidth="1"/>
    <col min="4644" max="4644" width="9.5703125" style="1491" bestFit="1" customWidth="1"/>
    <col min="4645" max="4645" width="10.7109375" style="1491" bestFit="1" customWidth="1"/>
    <col min="4646" max="4646" width="9.5703125" style="1491" bestFit="1" customWidth="1"/>
    <col min="4647" max="4647" width="10.7109375" style="1491" bestFit="1" customWidth="1"/>
    <col min="4648" max="4648" width="9.5703125" style="1491" bestFit="1" customWidth="1"/>
    <col min="4649" max="4649" width="10.7109375" style="1491" bestFit="1" customWidth="1"/>
    <col min="4650" max="4650" width="9.140625" style="1491" bestFit="1" customWidth="1"/>
    <col min="4651" max="4651" width="10.7109375" style="1491" bestFit="1" customWidth="1"/>
    <col min="4652" max="4652" width="9.5703125" style="1491" bestFit="1" customWidth="1"/>
    <col min="4653" max="4653" width="10.42578125" style="1491" bestFit="1" customWidth="1"/>
    <col min="4654" max="4654" width="9.5703125" style="1491" bestFit="1" customWidth="1"/>
    <col min="4655" max="4655" width="10.7109375" style="1491" bestFit="1" customWidth="1"/>
    <col min="4656" max="4656" width="9.5703125" style="1491" bestFit="1" customWidth="1"/>
    <col min="4657" max="4657" width="10.7109375" style="1491" bestFit="1" customWidth="1"/>
    <col min="4658" max="4658" width="9.140625" style="1491" bestFit="1" customWidth="1"/>
    <col min="4659" max="4659" width="10.7109375" style="1491" bestFit="1" customWidth="1"/>
    <col min="4660" max="4660" width="9.5703125" style="1491" bestFit="1" customWidth="1"/>
    <col min="4661" max="4661" width="10.42578125" style="1491" bestFit="1" customWidth="1"/>
    <col min="4662" max="4662" width="9.140625" style="1491" bestFit="1" customWidth="1"/>
    <col min="4663" max="4663" width="10" style="1491" bestFit="1" customWidth="1"/>
    <col min="4664" max="4666" width="10.42578125" style="1491" bestFit="1" customWidth="1"/>
    <col min="4667" max="4667" width="10" style="1491" bestFit="1" customWidth="1"/>
    <col min="4668" max="4668" width="10.7109375" style="1491" bestFit="1" customWidth="1"/>
    <col min="4669" max="4669" width="10.42578125" style="1491" bestFit="1" customWidth="1"/>
    <col min="4670" max="4670" width="10.7109375" style="1491" bestFit="1" customWidth="1"/>
    <col min="4671" max="4673" width="10" style="1491" bestFit="1" customWidth="1"/>
    <col min="4674" max="4674" width="10.7109375" style="1491" bestFit="1" customWidth="1"/>
    <col min="4675" max="4675" width="10.42578125" style="1491" bestFit="1" customWidth="1"/>
    <col min="4676" max="4676" width="10.7109375" style="1491" bestFit="1" customWidth="1"/>
    <col min="4677" max="4677" width="10.42578125" style="1491" bestFit="1" customWidth="1"/>
    <col min="4678" max="4680" width="10" style="1491" bestFit="1" customWidth="1"/>
    <col min="4681" max="4681" width="10.42578125" style="1491" bestFit="1" customWidth="1"/>
    <col min="4682" max="4682" width="10" style="1491" bestFit="1" customWidth="1"/>
    <col min="4683" max="4686" width="10.42578125" style="1491" bestFit="1" customWidth="1"/>
    <col min="4687" max="4687" width="10" style="1491" bestFit="1" customWidth="1"/>
    <col min="4688" max="4688" width="10.42578125" style="1491" bestFit="1" customWidth="1"/>
    <col min="4689" max="4689" width="10.7109375" style="1491" bestFit="1" customWidth="1"/>
    <col min="4690" max="4690" width="10" style="1491" bestFit="1" customWidth="1"/>
    <col min="4691" max="4692" width="10.42578125" style="1491" bestFit="1" customWidth="1"/>
    <col min="4693" max="4695" width="10" style="1491" bestFit="1" customWidth="1"/>
    <col min="4696" max="4696" width="10.7109375" style="1491" bestFit="1" customWidth="1"/>
    <col min="4697" max="4697" width="10" style="1491" bestFit="1" customWidth="1"/>
    <col min="4698" max="4698" width="10.42578125" style="1491" bestFit="1" customWidth="1"/>
    <col min="4699" max="4700" width="10.7109375" style="1491" bestFit="1" customWidth="1"/>
    <col min="4701" max="4701" width="10" style="1491" bestFit="1" customWidth="1"/>
    <col min="4702" max="4703" width="10.42578125" style="1491" bestFit="1" customWidth="1"/>
    <col min="4704" max="4704" width="10.7109375" style="1491" bestFit="1" customWidth="1"/>
    <col min="4705" max="4705" width="10.42578125" style="1491" bestFit="1" customWidth="1"/>
    <col min="4706" max="4708" width="10.7109375" style="1491" bestFit="1" customWidth="1"/>
    <col min="4709" max="4710" width="0" style="1491" hidden="1" customWidth="1"/>
    <col min="4711" max="4711" width="10.7109375" style="1491" bestFit="1" customWidth="1"/>
    <col min="4712" max="4713" width="10.42578125" style="1491" bestFit="1" customWidth="1"/>
    <col min="4714" max="4716" width="10.7109375" style="1491" bestFit="1" customWidth="1"/>
    <col min="4717" max="4718" width="10.42578125" style="1491" bestFit="1" customWidth="1"/>
    <col min="4719" max="4719" width="10.7109375" style="1491" bestFit="1" customWidth="1"/>
    <col min="4720" max="4720" width="10.42578125" style="1491" bestFit="1" customWidth="1"/>
    <col min="4721" max="4725" width="10.7109375" style="1491" bestFit="1" customWidth="1"/>
    <col min="4726" max="4727" width="10.42578125" style="1491" bestFit="1" customWidth="1"/>
    <col min="4728" max="4729" width="10.7109375" style="1491" bestFit="1" customWidth="1"/>
    <col min="4730" max="4730" width="10.42578125" style="1491" bestFit="1" customWidth="1"/>
    <col min="4731" max="4734" width="10.7109375" style="1491" bestFit="1" customWidth="1"/>
    <col min="4735" max="4735" width="10.42578125" style="1491" bestFit="1" customWidth="1"/>
    <col min="4736" max="4736" width="10.5703125" style="1491" customWidth="1"/>
    <col min="4737" max="4739" width="10.7109375" style="1491" bestFit="1" customWidth="1"/>
    <col min="4740" max="4740" width="10.42578125" style="1491" bestFit="1" customWidth="1"/>
    <col min="4741" max="4742" width="10.7109375" style="1491" bestFit="1" customWidth="1"/>
    <col min="4743" max="4743" width="10.42578125" style="1491" bestFit="1" customWidth="1"/>
    <col min="4744" max="4746" width="10.7109375" style="1491" bestFit="1" customWidth="1"/>
    <col min="4747" max="4747" width="10" style="1491" bestFit="1" customWidth="1"/>
    <col min="4748" max="4750" width="10.7109375" style="1491" bestFit="1" customWidth="1"/>
    <col min="4751" max="4751" width="10.42578125" style="1491" bestFit="1" customWidth="1"/>
    <col min="4752" max="4752" width="10.7109375" style="1491" bestFit="1" customWidth="1"/>
    <col min="4753" max="4855" width="7.5703125" style="1491"/>
    <col min="4856" max="4856" width="44.5703125" style="1491" customWidth="1"/>
    <col min="4857" max="4857" width="11.42578125" style="1491" customWidth="1"/>
    <col min="4858" max="4858" width="9.28515625" style="1491" customWidth="1"/>
    <col min="4859" max="4859" width="11" style="1491" customWidth="1"/>
    <col min="4860" max="4860" width="11.140625" style="1491" customWidth="1"/>
    <col min="4861" max="4861" width="8.140625" style="1491" bestFit="1" customWidth="1"/>
    <col min="4862" max="4862" width="7.85546875" style="1491" bestFit="1" customWidth="1"/>
    <col min="4863" max="4863" width="9.5703125" style="1491" bestFit="1" customWidth="1"/>
    <col min="4864" max="4864" width="9" style="1491" bestFit="1" customWidth="1"/>
    <col min="4865" max="4865" width="9.5703125" style="1491" bestFit="1" customWidth="1"/>
    <col min="4866" max="4866" width="9.42578125" style="1491" bestFit="1" customWidth="1"/>
    <col min="4867" max="4867" width="9.140625" style="1491" bestFit="1" customWidth="1"/>
    <col min="4868" max="4868" width="9.42578125" style="1491" bestFit="1" customWidth="1"/>
    <col min="4869" max="4869" width="9.140625" style="1491" bestFit="1" customWidth="1"/>
    <col min="4870" max="4870" width="9.5703125" style="1491" bestFit="1" customWidth="1"/>
    <col min="4871" max="4871" width="9.42578125" style="1491" bestFit="1" customWidth="1"/>
    <col min="4872" max="4874" width="9.140625" style="1491" bestFit="1" customWidth="1"/>
    <col min="4875" max="4875" width="10" style="1491" bestFit="1" customWidth="1"/>
    <col min="4876" max="4876" width="9.140625" style="1491" bestFit="1" customWidth="1"/>
    <col min="4877" max="4877" width="9.42578125" style="1491" bestFit="1" customWidth="1"/>
    <col min="4878" max="4878" width="8.7109375" style="1491" bestFit="1" customWidth="1"/>
    <col min="4879" max="4879" width="9" style="1491" bestFit="1" customWidth="1"/>
    <col min="4880" max="4880" width="9.42578125" style="1491" bestFit="1" customWidth="1"/>
    <col min="4881" max="4881" width="10" style="1491" bestFit="1" customWidth="1"/>
    <col min="4882" max="4882" width="8.85546875" style="1491" bestFit="1" customWidth="1"/>
    <col min="4883" max="4883" width="10.42578125" style="1491" bestFit="1" customWidth="1"/>
    <col min="4884" max="4884" width="8.85546875" style="1491" bestFit="1" customWidth="1"/>
    <col min="4885" max="4885" width="10.42578125" style="1491" bestFit="1" customWidth="1"/>
    <col min="4886" max="4887" width="9.5703125" style="1491" bestFit="1" customWidth="1"/>
    <col min="4888" max="4888" width="9.140625" style="1491" bestFit="1" customWidth="1"/>
    <col min="4889" max="4889" width="10" style="1491" bestFit="1" customWidth="1"/>
    <col min="4890" max="4890" width="9.140625" style="1491" bestFit="1" customWidth="1"/>
    <col min="4891" max="4891" width="10.42578125" style="1491" bestFit="1" customWidth="1"/>
    <col min="4892" max="4892" width="9.5703125" style="1491" bestFit="1" customWidth="1"/>
    <col min="4893" max="4893" width="10.42578125" style="1491" bestFit="1" customWidth="1"/>
    <col min="4894" max="4894" width="9.5703125" style="1491" bestFit="1" customWidth="1"/>
    <col min="4895" max="4895" width="10" style="1491" bestFit="1" customWidth="1"/>
    <col min="4896" max="4896" width="9.5703125" style="1491" bestFit="1" customWidth="1"/>
    <col min="4897" max="4897" width="10" style="1491" bestFit="1" customWidth="1"/>
    <col min="4898" max="4898" width="9.5703125" style="1491" bestFit="1" customWidth="1"/>
    <col min="4899" max="4899" width="10.7109375" style="1491" bestFit="1" customWidth="1"/>
    <col min="4900" max="4900" width="9.5703125" style="1491" bestFit="1" customWidth="1"/>
    <col min="4901" max="4901" width="10.7109375" style="1491" bestFit="1" customWidth="1"/>
    <col min="4902" max="4902" width="9.5703125" style="1491" bestFit="1" customWidth="1"/>
    <col min="4903" max="4903" width="10.7109375" style="1491" bestFit="1" customWidth="1"/>
    <col min="4904" max="4904" width="9.5703125" style="1491" bestFit="1" customWidth="1"/>
    <col min="4905" max="4905" width="10.7109375" style="1491" bestFit="1" customWidth="1"/>
    <col min="4906" max="4906" width="9.140625" style="1491" bestFit="1" customWidth="1"/>
    <col min="4907" max="4907" width="10.7109375" style="1491" bestFit="1" customWidth="1"/>
    <col min="4908" max="4908" width="9.5703125" style="1491" bestFit="1" customWidth="1"/>
    <col min="4909" max="4909" width="10.42578125" style="1491" bestFit="1" customWidth="1"/>
    <col min="4910" max="4910" width="9.5703125" style="1491" bestFit="1" customWidth="1"/>
    <col min="4911" max="4911" width="10.7109375" style="1491" bestFit="1" customWidth="1"/>
    <col min="4912" max="4912" width="9.5703125" style="1491" bestFit="1" customWidth="1"/>
    <col min="4913" max="4913" width="10.7109375" style="1491" bestFit="1" customWidth="1"/>
    <col min="4914" max="4914" width="9.140625" style="1491" bestFit="1" customWidth="1"/>
    <col min="4915" max="4915" width="10.7109375" style="1491" bestFit="1" customWidth="1"/>
    <col min="4916" max="4916" width="9.5703125" style="1491" bestFit="1" customWidth="1"/>
    <col min="4917" max="4917" width="10.42578125" style="1491" bestFit="1" customWidth="1"/>
    <col min="4918" max="4918" width="9.140625" style="1491" bestFit="1" customWidth="1"/>
    <col min="4919" max="4919" width="10" style="1491" bestFit="1" customWidth="1"/>
    <col min="4920" max="4922" width="10.42578125" style="1491" bestFit="1" customWidth="1"/>
    <col min="4923" max="4923" width="10" style="1491" bestFit="1" customWidth="1"/>
    <col min="4924" max="4924" width="10.7109375" style="1491" bestFit="1" customWidth="1"/>
    <col min="4925" max="4925" width="10.42578125" style="1491" bestFit="1" customWidth="1"/>
    <col min="4926" max="4926" width="10.7109375" style="1491" bestFit="1" customWidth="1"/>
    <col min="4927" max="4929" width="10" style="1491" bestFit="1" customWidth="1"/>
    <col min="4930" max="4930" width="10.7109375" style="1491" bestFit="1" customWidth="1"/>
    <col min="4931" max="4931" width="10.42578125" style="1491" bestFit="1" customWidth="1"/>
    <col min="4932" max="4932" width="10.7109375" style="1491" bestFit="1" customWidth="1"/>
    <col min="4933" max="4933" width="10.42578125" style="1491" bestFit="1" customWidth="1"/>
    <col min="4934" max="4936" width="10" style="1491" bestFit="1" customWidth="1"/>
    <col min="4937" max="4937" width="10.42578125" style="1491" bestFit="1" customWidth="1"/>
    <col min="4938" max="4938" width="10" style="1491" bestFit="1" customWidth="1"/>
    <col min="4939" max="4942" width="10.42578125" style="1491" bestFit="1" customWidth="1"/>
    <col min="4943" max="4943" width="10" style="1491" bestFit="1" customWidth="1"/>
    <col min="4944" max="4944" width="10.42578125" style="1491" bestFit="1" customWidth="1"/>
    <col min="4945" max="4945" width="10.7109375" style="1491" bestFit="1" customWidth="1"/>
    <col min="4946" max="4946" width="10" style="1491" bestFit="1" customWidth="1"/>
    <col min="4947" max="4948" width="10.42578125" style="1491" bestFit="1" customWidth="1"/>
    <col min="4949" max="4951" width="10" style="1491" bestFit="1" customWidth="1"/>
    <col min="4952" max="4952" width="10.7109375" style="1491" bestFit="1" customWidth="1"/>
    <col min="4953" max="4953" width="10" style="1491" bestFit="1" customWidth="1"/>
    <col min="4954" max="4954" width="10.42578125" style="1491" bestFit="1" customWidth="1"/>
    <col min="4955" max="4956" width="10.7109375" style="1491" bestFit="1" customWidth="1"/>
    <col min="4957" max="4957" width="10" style="1491" bestFit="1" customWidth="1"/>
    <col min="4958" max="4959" width="10.42578125" style="1491" bestFit="1" customWidth="1"/>
    <col min="4960" max="4960" width="10.7109375" style="1491" bestFit="1" customWidth="1"/>
    <col min="4961" max="4961" width="10.42578125" style="1491" bestFit="1" customWidth="1"/>
    <col min="4962" max="4964" width="10.7109375" style="1491" bestFit="1" customWidth="1"/>
    <col min="4965" max="4966" width="0" style="1491" hidden="1" customWidth="1"/>
    <col min="4967" max="4967" width="10.7109375" style="1491" bestFit="1" customWidth="1"/>
    <col min="4968" max="4969" width="10.42578125" style="1491" bestFit="1" customWidth="1"/>
    <col min="4970" max="4972" width="10.7109375" style="1491" bestFit="1" customWidth="1"/>
    <col min="4973" max="4974" width="10.42578125" style="1491" bestFit="1" customWidth="1"/>
    <col min="4975" max="4975" width="10.7109375" style="1491" bestFit="1" customWidth="1"/>
    <col min="4976" max="4976" width="10.42578125" style="1491" bestFit="1" customWidth="1"/>
    <col min="4977" max="4981" width="10.7109375" style="1491" bestFit="1" customWidth="1"/>
    <col min="4982" max="4983" width="10.42578125" style="1491" bestFit="1" customWidth="1"/>
    <col min="4984" max="4985" width="10.7109375" style="1491" bestFit="1" customWidth="1"/>
    <col min="4986" max="4986" width="10.42578125" style="1491" bestFit="1" customWidth="1"/>
    <col min="4987" max="4990" width="10.7109375" style="1491" bestFit="1" customWidth="1"/>
    <col min="4991" max="4991" width="10.42578125" style="1491" bestFit="1" customWidth="1"/>
    <col min="4992" max="4992" width="10.5703125" style="1491" customWidth="1"/>
    <col min="4993" max="4995" width="10.7109375" style="1491" bestFit="1" customWidth="1"/>
    <col min="4996" max="4996" width="10.42578125" style="1491" bestFit="1" customWidth="1"/>
    <col min="4997" max="4998" width="10.7109375" style="1491" bestFit="1" customWidth="1"/>
    <col min="4999" max="4999" width="10.42578125" style="1491" bestFit="1" customWidth="1"/>
    <col min="5000" max="5002" width="10.7109375" style="1491" bestFit="1" customWidth="1"/>
    <col min="5003" max="5003" width="10" style="1491" bestFit="1" customWidth="1"/>
    <col min="5004" max="5006" width="10.7109375" style="1491" bestFit="1" customWidth="1"/>
    <col min="5007" max="5007" width="10.42578125" style="1491" bestFit="1" customWidth="1"/>
    <col min="5008" max="5008" width="10.7109375" style="1491" bestFit="1" customWidth="1"/>
    <col min="5009" max="5111" width="7.5703125" style="1491"/>
    <col min="5112" max="5112" width="44.5703125" style="1491" customWidth="1"/>
    <col min="5113" max="5113" width="11.42578125" style="1491" customWidth="1"/>
    <col min="5114" max="5114" width="9.28515625" style="1491" customWidth="1"/>
    <col min="5115" max="5115" width="11" style="1491" customWidth="1"/>
    <col min="5116" max="5116" width="11.140625" style="1491" customWidth="1"/>
    <col min="5117" max="5117" width="8.140625" style="1491" bestFit="1" customWidth="1"/>
    <col min="5118" max="5118" width="7.85546875" style="1491" bestFit="1" customWidth="1"/>
    <col min="5119" max="5119" width="9.5703125" style="1491" bestFit="1" customWidth="1"/>
    <col min="5120" max="5120" width="9" style="1491" bestFit="1" customWidth="1"/>
    <col min="5121" max="5121" width="9.5703125" style="1491" bestFit="1" customWidth="1"/>
    <col min="5122" max="5122" width="9.42578125" style="1491" bestFit="1" customWidth="1"/>
    <col min="5123" max="5123" width="9.140625" style="1491" bestFit="1" customWidth="1"/>
    <col min="5124" max="5124" width="9.42578125" style="1491" bestFit="1" customWidth="1"/>
    <col min="5125" max="5125" width="9.140625" style="1491" bestFit="1" customWidth="1"/>
    <col min="5126" max="5126" width="9.5703125" style="1491" bestFit="1" customWidth="1"/>
    <col min="5127" max="5127" width="9.42578125" style="1491" bestFit="1" customWidth="1"/>
    <col min="5128" max="5130" width="9.140625" style="1491" bestFit="1" customWidth="1"/>
    <col min="5131" max="5131" width="10" style="1491" bestFit="1" customWidth="1"/>
    <col min="5132" max="5132" width="9.140625" style="1491" bestFit="1" customWidth="1"/>
    <col min="5133" max="5133" width="9.42578125" style="1491" bestFit="1" customWidth="1"/>
    <col min="5134" max="5134" width="8.7109375" style="1491" bestFit="1" customWidth="1"/>
    <col min="5135" max="5135" width="9" style="1491" bestFit="1" customWidth="1"/>
    <col min="5136" max="5136" width="9.42578125" style="1491" bestFit="1" customWidth="1"/>
    <col min="5137" max="5137" width="10" style="1491" bestFit="1" customWidth="1"/>
    <col min="5138" max="5138" width="8.85546875" style="1491" bestFit="1" customWidth="1"/>
    <col min="5139" max="5139" width="10.42578125" style="1491" bestFit="1" customWidth="1"/>
    <col min="5140" max="5140" width="8.85546875" style="1491" bestFit="1" customWidth="1"/>
    <col min="5141" max="5141" width="10.42578125" style="1491" bestFit="1" customWidth="1"/>
    <col min="5142" max="5143" width="9.5703125" style="1491" bestFit="1" customWidth="1"/>
    <col min="5144" max="5144" width="9.140625" style="1491" bestFit="1" customWidth="1"/>
    <col min="5145" max="5145" width="10" style="1491" bestFit="1" customWidth="1"/>
    <col min="5146" max="5146" width="9.140625" style="1491" bestFit="1" customWidth="1"/>
    <col min="5147" max="5147" width="10.42578125" style="1491" bestFit="1" customWidth="1"/>
    <col min="5148" max="5148" width="9.5703125" style="1491" bestFit="1" customWidth="1"/>
    <col min="5149" max="5149" width="10.42578125" style="1491" bestFit="1" customWidth="1"/>
    <col min="5150" max="5150" width="9.5703125" style="1491" bestFit="1" customWidth="1"/>
    <col min="5151" max="5151" width="10" style="1491" bestFit="1" customWidth="1"/>
    <col min="5152" max="5152" width="9.5703125" style="1491" bestFit="1" customWidth="1"/>
    <col min="5153" max="5153" width="10" style="1491" bestFit="1" customWidth="1"/>
    <col min="5154" max="5154" width="9.5703125" style="1491" bestFit="1" customWidth="1"/>
    <col min="5155" max="5155" width="10.7109375" style="1491" bestFit="1" customWidth="1"/>
    <col min="5156" max="5156" width="9.5703125" style="1491" bestFit="1" customWidth="1"/>
    <col min="5157" max="5157" width="10.7109375" style="1491" bestFit="1" customWidth="1"/>
    <col min="5158" max="5158" width="9.5703125" style="1491" bestFit="1" customWidth="1"/>
    <col min="5159" max="5159" width="10.7109375" style="1491" bestFit="1" customWidth="1"/>
    <col min="5160" max="5160" width="9.5703125" style="1491" bestFit="1" customWidth="1"/>
    <col min="5161" max="5161" width="10.7109375" style="1491" bestFit="1" customWidth="1"/>
    <col min="5162" max="5162" width="9.140625" style="1491" bestFit="1" customWidth="1"/>
    <col min="5163" max="5163" width="10.7109375" style="1491" bestFit="1" customWidth="1"/>
    <col min="5164" max="5164" width="9.5703125" style="1491" bestFit="1" customWidth="1"/>
    <col min="5165" max="5165" width="10.42578125" style="1491" bestFit="1" customWidth="1"/>
    <col min="5166" max="5166" width="9.5703125" style="1491" bestFit="1" customWidth="1"/>
    <col min="5167" max="5167" width="10.7109375" style="1491" bestFit="1" customWidth="1"/>
    <col min="5168" max="5168" width="9.5703125" style="1491" bestFit="1" customWidth="1"/>
    <col min="5169" max="5169" width="10.7109375" style="1491" bestFit="1" customWidth="1"/>
    <col min="5170" max="5170" width="9.140625" style="1491" bestFit="1" customWidth="1"/>
    <col min="5171" max="5171" width="10.7109375" style="1491" bestFit="1" customWidth="1"/>
    <col min="5172" max="5172" width="9.5703125" style="1491" bestFit="1" customWidth="1"/>
    <col min="5173" max="5173" width="10.42578125" style="1491" bestFit="1" customWidth="1"/>
    <col min="5174" max="5174" width="9.140625" style="1491" bestFit="1" customWidth="1"/>
    <col min="5175" max="5175" width="10" style="1491" bestFit="1" customWidth="1"/>
    <col min="5176" max="5178" width="10.42578125" style="1491" bestFit="1" customWidth="1"/>
    <col min="5179" max="5179" width="10" style="1491" bestFit="1" customWidth="1"/>
    <col min="5180" max="5180" width="10.7109375" style="1491" bestFit="1" customWidth="1"/>
    <col min="5181" max="5181" width="10.42578125" style="1491" bestFit="1" customWidth="1"/>
    <col min="5182" max="5182" width="10.7109375" style="1491" bestFit="1" customWidth="1"/>
    <col min="5183" max="5185" width="10" style="1491" bestFit="1" customWidth="1"/>
    <col min="5186" max="5186" width="10.7109375" style="1491" bestFit="1" customWidth="1"/>
    <col min="5187" max="5187" width="10.42578125" style="1491" bestFit="1" customWidth="1"/>
    <col min="5188" max="5188" width="10.7109375" style="1491" bestFit="1" customWidth="1"/>
    <col min="5189" max="5189" width="10.42578125" style="1491" bestFit="1" customWidth="1"/>
    <col min="5190" max="5192" width="10" style="1491" bestFit="1" customWidth="1"/>
    <col min="5193" max="5193" width="10.42578125" style="1491" bestFit="1" customWidth="1"/>
    <col min="5194" max="5194" width="10" style="1491" bestFit="1" customWidth="1"/>
    <col min="5195" max="5198" width="10.42578125" style="1491" bestFit="1" customWidth="1"/>
    <col min="5199" max="5199" width="10" style="1491" bestFit="1" customWidth="1"/>
    <col min="5200" max="5200" width="10.42578125" style="1491" bestFit="1" customWidth="1"/>
    <col min="5201" max="5201" width="10.7109375" style="1491" bestFit="1" customWidth="1"/>
    <col min="5202" max="5202" width="10" style="1491" bestFit="1" customWidth="1"/>
    <col min="5203" max="5204" width="10.42578125" style="1491" bestFit="1" customWidth="1"/>
    <col min="5205" max="5207" width="10" style="1491" bestFit="1" customWidth="1"/>
    <col min="5208" max="5208" width="10.7109375" style="1491" bestFit="1" customWidth="1"/>
    <col min="5209" max="5209" width="10" style="1491" bestFit="1" customWidth="1"/>
    <col min="5210" max="5210" width="10.42578125" style="1491" bestFit="1" customWidth="1"/>
    <col min="5211" max="5212" width="10.7109375" style="1491" bestFit="1" customWidth="1"/>
    <col min="5213" max="5213" width="10" style="1491" bestFit="1" customWidth="1"/>
    <col min="5214" max="5215" width="10.42578125" style="1491" bestFit="1" customWidth="1"/>
    <col min="5216" max="5216" width="10.7109375" style="1491" bestFit="1" customWidth="1"/>
    <col min="5217" max="5217" width="10.42578125" style="1491" bestFit="1" customWidth="1"/>
    <col min="5218" max="5220" width="10.7109375" style="1491" bestFit="1" customWidth="1"/>
    <col min="5221" max="5222" width="0" style="1491" hidden="1" customWidth="1"/>
    <col min="5223" max="5223" width="10.7109375" style="1491" bestFit="1" customWidth="1"/>
    <col min="5224" max="5225" width="10.42578125" style="1491" bestFit="1" customWidth="1"/>
    <col min="5226" max="5228" width="10.7109375" style="1491" bestFit="1" customWidth="1"/>
    <col min="5229" max="5230" width="10.42578125" style="1491" bestFit="1" customWidth="1"/>
    <col min="5231" max="5231" width="10.7109375" style="1491" bestFit="1" customWidth="1"/>
    <col min="5232" max="5232" width="10.42578125" style="1491" bestFit="1" customWidth="1"/>
    <col min="5233" max="5237" width="10.7109375" style="1491" bestFit="1" customWidth="1"/>
    <col min="5238" max="5239" width="10.42578125" style="1491" bestFit="1" customWidth="1"/>
    <col min="5240" max="5241" width="10.7109375" style="1491" bestFit="1" customWidth="1"/>
    <col min="5242" max="5242" width="10.42578125" style="1491" bestFit="1" customWidth="1"/>
    <col min="5243" max="5246" width="10.7109375" style="1491" bestFit="1" customWidth="1"/>
    <col min="5247" max="5247" width="10.42578125" style="1491" bestFit="1" customWidth="1"/>
    <col min="5248" max="5248" width="10.5703125" style="1491" customWidth="1"/>
    <col min="5249" max="5251" width="10.7109375" style="1491" bestFit="1" customWidth="1"/>
    <col min="5252" max="5252" width="10.42578125" style="1491" bestFit="1" customWidth="1"/>
    <col min="5253" max="5254" width="10.7109375" style="1491" bestFit="1" customWidth="1"/>
    <col min="5255" max="5255" width="10.42578125" style="1491" bestFit="1" customWidth="1"/>
    <col min="5256" max="5258" width="10.7109375" style="1491" bestFit="1" customWidth="1"/>
    <col min="5259" max="5259" width="10" style="1491" bestFit="1" customWidth="1"/>
    <col min="5260" max="5262" width="10.7109375" style="1491" bestFit="1" customWidth="1"/>
    <col min="5263" max="5263" width="10.42578125" style="1491" bestFit="1" customWidth="1"/>
    <col min="5264" max="5264" width="10.7109375" style="1491" bestFit="1" customWidth="1"/>
    <col min="5265" max="5367" width="7.5703125" style="1491"/>
    <col min="5368" max="5368" width="44.5703125" style="1491" customWidth="1"/>
    <col min="5369" max="5369" width="11.42578125" style="1491" customWidth="1"/>
    <col min="5370" max="5370" width="9.28515625" style="1491" customWidth="1"/>
    <col min="5371" max="5371" width="11" style="1491" customWidth="1"/>
    <col min="5372" max="5372" width="11.140625" style="1491" customWidth="1"/>
    <col min="5373" max="5373" width="8.140625" style="1491" bestFit="1" customWidth="1"/>
    <col min="5374" max="5374" width="7.85546875" style="1491" bestFit="1" customWidth="1"/>
    <col min="5375" max="5375" width="9.5703125" style="1491" bestFit="1" customWidth="1"/>
    <col min="5376" max="5376" width="9" style="1491" bestFit="1" customWidth="1"/>
    <col min="5377" max="5377" width="9.5703125" style="1491" bestFit="1" customWidth="1"/>
    <col min="5378" max="5378" width="9.42578125" style="1491" bestFit="1" customWidth="1"/>
    <col min="5379" max="5379" width="9.140625" style="1491" bestFit="1" customWidth="1"/>
    <col min="5380" max="5380" width="9.42578125" style="1491" bestFit="1" customWidth="1"/>
    <col min="5381" max="5381" width="9.140625" style="1491" bestFit="1" customWidth="1"/>
    <col min="5382" max="5382" width="9.5703125" style="1491" bestFit="1" customWidth="1"/>
    <col min="5383" max="5383" width="9.42578125" style="1491" bestFit="1" customWidth="1"/>
    <col min="5384" max="5386" width="9.140625" style="1491" bestFit="1" customWidth="1"/>
    <col min="5387" max="5387" width="10" style="1491" bestFit="1" customWidth="1"/>
    <col min="5388" max="5388" width="9.140625" style="1491" bestFit="1" customWidth="1"/>
    <col min="5389" max="5389" width="9.42578125" style="1491" bestFit="1" customWidth="1"/>
    <col min="5390" max="5390" width="8.7109375" style="1491" bestFit="1" customWidth="1"/>
    <col min="5391" max="5391" width="9" style="1491" bestFit="1" customWidth="1"/>
    <col min="5392" max="5392" width="9.42578125" style="1491" bestFit="1" customWidth="1"/>
    <col min="5393" max="5393" width="10" style="1491" bestFit="1" customWidth="1"/>
    <col min="5394" max="5394" width="8.85546875" style="1491" bestFit="1" customWidth="1"/>
    <col min="5395" max="5395" width="10.42578125" style="1491" bestFit="1" customWidth="1"/>
    <col min="5396" max="5396" width="8.85546875" style="1491" bestFit="1" customWidth="1"/>
    <col min="5397" max="5397" width="10.42578125" style="1491" bestFit="1" customWidth="1"/>
    <col min="5398" max="5399" width="9.5703125" style="1491" bestFit="1" customWidth="1"/>
    <col min="5400" max="5400" width="9.140625" style="1491" bestFit="1" customWidth="1"/>
    <col min="5401" max="5401" width="10" style="1491" bestFit="1" customWidth="1"/>
    <col min="5402" max="5402" width="9.140625" style="1491" bestFit="1" customWidth="1"/>
    <col min="5403" max="5403" width="10.42578125" style="1491" bestFit="1" customWidth="1"/>
    <col min="5404" max="5404" width="9.5703125" style="1491" bestFit="1" customWidth="1"/>
    <col min="5405" max="5405" width="10.42578125" style="1491" bestFit="1" customWidth="1"/>
    <col min="5406" max="5406" width="9.5703125" style="1491" bestFit="1" customWidth="1"/>
    <col min="5407" max="5407" width="10" style="1491" bestFit="1" customWidth="1"/>
    <col min="5408" max="5408" width="9.5703125" style="1491" bestFit="1" customWidth="1"/>
    <col min="5409" max="5409" width="10" style="1491" bestFit="1" customWidth="1"/>
    <col min="5410" max="5410" width="9.5703125" style="1491" bestFit="1" customWidth="1"/>
    <col min="5411" max="5411" width="10.7109375" style="1491" bestFit="1" customWidth="1"/>
    <col min="5412" max="5412" width="9.5703125" style="1491" bestFit="1" customWidth="1"/>
    <col min="5413" max="5413" width="10.7109375" style="1491" bestFit="1" customWidth="1"/>
    <col min="5414" max="5414" width="9.5703125" style="1491" bestFit="1" customWidth="1"/>
    <col min="5415" max="5415" width="10.7109375" style="1491" bestFit="1" customWidth="1"/>
    <col min="5416" max="5416" width="9.5703125" style="1491" bestFit="1" customWidth="1"/>
    <col min="5417" max="5417" width="10.7109375" style="1491" bestFit="1" customWidth="1"/>
    <col min="5418" max="5418" width="9.140625" style="1491" bestFit="1" customWidth="1"/>
    <col min="5419" max="5419" width="10.7109375" style="1491" bestFit="1" customWidth="1"/>
    <col min="5420" max="5420" width="9.5703125" style="1491" bestFit="1" customWidth="1"/>
    <col min="5421" max="5421" width="10.42578125" style="1491" bestFit="1" customWidth="1"/>
    <col min="5422" max="5422" width="9.5703125" style="1491" bestFit="1" customWidth="1"/>
    <col min="5423" max="5423" width="10.7109375" style="1491" bestFit="1" customWidth="1"/>
    <col min="5424" max="5424" width="9.5703125" style="1491" bestFit="1" customWidth="1"/>
    <col min="5425" max="5425" width="10.7109375" style="1491" bestFit="1" customWidth="1"/>
    <col min="5426" max="5426" width="9.140625" style="1491" bestFit="1" customWidth="1"/>
    <col min="5427" max="5427" width="10.7109375" style="1491" bestFit="1" customWidth="1"/>
    <col min="5428" max="5428" width="9.5703125" style="1491" bestFit="1" customWidth="1"/>
    <col min="5429" max="5429" width="10.42578125" style="1491" bestFit="1" customWidth="1"/>
    <col min="5430" max="5430" width="9.140625" style="1491" bestFit="1" customWidth="1"/>
    <col min="5431" max="5431" width="10" style="1491" bestFit="1" customWidth="1"/>
    <col min="5432" max="5434" width="10.42578125" style="1491" bestFit="1" customWidth="1"/>
    <col min="5435" max="5435" width="10" style="1491" bestFit="1" customWidth="1"/>
    <col min="5436" max="5436" width="10.7109375" style="1491" bestFit="1" customWidth="1"/>
    <col min="5437" max="5437" width="10.42578125" style="1491" bestFit="1" customWidth="1"/>
    <col min="5438" max="5438" width="10.7109375" style="1491" bestFit="1" customWidth="1"/>
    <col min="5439" max="5441" width="10" style="1491" bestFit="1" customWidth="1"/>
    <col min="5442" max="5442" width="10.7109375" style="1491" bestFit="1" customWidth="1"/>
    <col min="5443" max="5443" width="10.42578125" style="1491" bestFit="1" customWidth="1"/>
    <col min="5444" max="5444" width="10.7109375" style="1491" bestFit="1" customWidth="1"/>
    <col min="5445" max="5445" width="10.42578125" style="1491" bestFit="1" customWidth="1"/>
    <col min="5446" max="5448" width="10" style="1491" bestFit="1" customWidth="1"/>
    <col min="5449" max="5449" width="10.42578125" style="1491" bestFit="1" customWidth="1"/>
    <col min="5450" max="5450" width="10" style="1491" bestFit="1" customWidth="1"/>
    <col min="5451" max="5454" width="10.42578125" style="1491" bestFit="1" customWidth="1"/>
    <col min="5455" max="5455" width="10" style="1491" bestFit="1" customWidth="1"/>
    <col min="5456" max="5456" width="10.42578125" style="1491" bestFit="1" customWidth="1"/>
    <col min="5457" max="5457" width="10.7109375" style="1491" bestFit="1" customWidth="1"/>
    <col min="5458" max="5458" width="10" style="1491" bestFit="1" customWidth="1"/>
    <col min="5459" max="5460" width="10.42578125" style="1491" bestFit="1" customWidth="1"/>
    <col min="5461" max="5463" width="10" style="1491" bestFit="1" customWidth="1"/>
    <col min="5464" max="5464" width="10.7109375" style="1491" bestFit="1" customWidth="1"/>
    <col min="5465" max="5465" width="10" style="1491" bestFit="1" customWidth="1"/>
    <col min="5466" max="5466" width="10.42578125" style="1491" bestFit="1" customWidth="1"/>
    <col min="5467" max="5468" width="10.7109375" style="1491" bestFit="1" customWidth="1"/>
    <col min="5469" max="5469" width="10" style="1491" bestFit="1" customWidth="1"/>
    <col min="5470" max="5471" width="10.42578125" style="1491" bestFit="1" customWidth="1"/>
    <col min="5472" max="5472" width="10.7109375" style="1491" bestFit="1" customWidth="1"/>
    <col min="5473" max="5473" width="10.42578125" style="1491" bestFit="1" customWidth="1"/>
    <col min="5474" max="5476" width="10.7109375" style="1491" bestFit="1" customWidth="1"/>
    <col min="5477" max="5478" width="0" style="1491" hidden="1" customWidth="1"/>
    <col min="5479" max="5479" width="10.7109375" style="1491" bestFit="1" customWidth="1"/>
    <col min="5480" max="5481" width="10.42578125" style="1491" bestFit="1" customWidth="1"/>
    <col min="5482" max="5484" width="10.7109375" style="1491" bestFit="1" customWidth="1"/>
    <col min="5485" max="5486" width="10.42578125" style="1491" bestFit="1" customWidth="1"/>
    <col min="5487" max="5487" width="10.7109375" style="1491" bestFit="1" customWidth="1"/>
    <col min="5488" max="5488" width="10.42578125" style="1491" bestFit="1" customWidth="1"/>
    <col min="5489" max="5493" width="10.7109375" style="1491" bestFit="1" customWidth="1"/>
    <col min="5494" max="5495" width="10.42578125" style="1491" bestFit="1" customWidth="1"/>
    <col min="5496" max="5497" width="10.7109375" style="1491" bestFit="1" customWidth="1"/>
    <col min="5498" max="5498" width="10.42578125" style="1491" bestFit="1" customWidth="1"/>
    <col min="5499" max="5502" width="10.7109375" style="1491" bestFit="1" customWidth="1"/>
    <col min="5503" max="5503" width="10.42578125" style="1491" bestFit="1" customWidth="1"/>
    <col min="5504" max="5504" width="10.5703125" style="1491" customWidth="1"/>
    <col min="5505" max="5507" width="10.7109375" style="1491" bestFit="1" customWidth="1"/>
    <col min="5508" max="5508" width="10.42578125" style="1491" bestFit="1" customWidth="1"/>
    <col min="5509" max="5510" width="10.7109375" style="1491" bestFit="1" customWidth="1"/>
    <col min="5511" max="5511" width="10.42578125" style="1491" bestFit="1" customWidth="1"/>
    <col min="5512" max="5514" width="10.7109375" style="1491" bestFit="1" customWidth="1"/>
    <col min="5515" max="5515" width="10" style="1491" bestFit="1" customWidth="1"/>
    <col min="5516" max="5518" width="10.7109375" style="1491" bestFit="1" customWidth="1"/>
    <col min="5519" max="5519" width="10.42578125" style="1491" bestFit="1" customWidth="1"/>
    <col min="5520" max="5520" width="10.7109375" style="1491" bestFit="1" customWidth="1"/>
    <col min="5521" max="5623" width="7.5703125" style="1491"/>
    <col min="5624" max="5624" width="44.5703125" style="1491" customWidth="1"/>
    <col min="5625" max="5625" width="11.42578125" style="1491" customWidth="1"/>
    <col min="5626" max="5626" width="9.28515625" style="1491" customWidth="1"/>
    <col min="5627" max="5627" width="11" style="1491" customWidth="1"/>
    <col min="5628" max="5628" width="11.140625" style="1491" customWidth="1"/>
    <col min="5629" max="5629" width="8.140625" style="1491" bestFit="1" customWidth="1"/>
    <col min="5630" max="5630" width="7.85546875" style="1491" bestFit="1" customWidth="1"/>
    <col min="5631" max="5631" width="9.5703125" style="1491" bestFit="1" customWidth="1"/>
    <col min="5632" max="5632" width="9" style="1491" bestFit="1" customWidth="1"/>
    <col min="5633" max="5633" width="9.5703125" style="1491" bestFit="1" customWidth="1"/>
    <col min="5634" max="5634" width="9.42578125" style="1491" bestFit="1" customWidth="1"/>
    <col min="5635" max="5635" width="9.140625" style="1491" bestFit="1" customWidth="1"/>
    <col min="5636" max="5636" width="9.42578125" style="1491" bestFit="1" customWidth="1"/>
    <col min="5637" max="5637" width="9.140625" style="1491" bestFit="1" customWidth="1"/>
    <col min="5638" max="5638" width="9.5703125" style="1491" bestFit="1" customWidth="1"/>
    <col min="5639" max="5639" width="9.42578125" style="1491" bestFit="1" customWidth="1"/>
    <col min="5640" max="5642" width="9.140625" style="1491" bestFit="1" customWidth="1"/>
    <col min="5643" max="5643" width="10" style="1491" bestFit="1" customWidth="1"/>
    <col min="5644" max="5644" width="9.140625" style="1491" bestFit="1" customWidth="1"/>
    <col min="5645" max="5645" width="9.42578125" style="1491" bestFit="1" customWidth="1"/>
    <col min="5646" max="5646" width="8.7109375" style="1491" bestFit="1" customWidth="1"/>
    <col min="5647" max="5647" width="9" style="1491" bestFit="1" customWidth="1"/>
    <col min="5648" max="5648" width="9.42578125" style="1491" bestFit="1" customWidth="1"/>
    <col min="5649" max="5649" width="10" style="1491" bestFit="1" customWidth="1"/>
    <col min="5650" max="5650" width="8.85546875" style="1491" bestFit="1" customWidth="1"/>
    <col min="5651" max="5651" width="10.42578125" style="1491" bestFit="1" customWidth="1"/>
    <col min="5652" max="5652" width="8.85546875" style="1491" bestFit="1" customWidth="1"/>
    <col min="5653" max="5653" width="10.42578125" style="1491" bestFit="1" customWidth="1"/>
    <col min="5654" max="5655" width="9.5703125" style="1491" bestFit="1" customWidth="1"/>
    <col min="5656" max="5656" width="9.140625" style="1491" bestFit="1" customWidth="1"/>
    <col min="5657" max="5657" width="10" style="1491" bestFit="1" customWidth="1"/>
    <col min="5658" max="5658" width="9.140625" style="1491" bestFit="1" customWidth="1"/>
    <col min="5659" max="5659" width="10.42578125" style="1491" bestFit="1" customWidth="1"/>
    <col min="5660" max="5660" width="9.5703125" style="1491" bestFit="1" customWidth="1"/>
    <col min="5661" max="5661" width="10.42578125" style="1491" bestFit="1" customWidth="1"/>
    <col min="5662" max="5662" width="9.5703125" style="1491" bestFit="1" customWidth="1"/>
    <col min="5663" max="5663" width="10" style="1491" bestFit="1" customWidth="1"/>
    <col min="5664" max="5664" width="9.5703125" style="1491" bestFit="1" customWidth="1"/>
    <col min="5665" max="5665" width="10" style="1491" bestFit="1" customWidth="1"/>
    <col min="5666" max="5666" width="9.5703125" style="1491" bestFit="1" customWidth="1"/>
    <col min="5667" max="5667" width="10.7109375" style="1491" bestFit="1" customWidth="1"/>
    <col min="5668" max="5668" width="9.5703125" style="1491" bestFit="1" customWidth="1"/>
    <col min="5669" max="5669" width="10.7109375" style="1491" bestFit="1" customWidth="1"/>
    <col min="5670" max="5670" width="9.5703125" style="1491" bestFit="1" customWidth="1"/>
    <col min="5671" max="5671" width="10.7109375" style="1491" bestFit="1" customWidth="1"/>
    <col min="5672" max="5672" width="9.5703125" style="1491" bestFit="1" customWidth="1"/>
    <col min="5673" max="5673" width="10.7109375" style="1491" bestFit="1" customWidth="1"/>
    <col min="5674" max="5674" width="9.140625" style="1491" bestFit="1" customWidth="1"/>
    <col min="5675" max="5675" width="10.7109375" style="1491" bestFit="1" customWidth="1"/>
    <col min="5676" max="5676" width="9.5703125" style="1491" bestFit="1" customWidth="1"/>
    <col min="5677" max="5677" width="10.42578125" style="1491" bestFit="1" customWidth="1"/>
    <col min="5678" max="5678" width="9.5703125" style="1491" bestFit="1" customWidth="1"/>
    <col min="5679" max="5679" width="10.7109375" style="1491" bestFit="1" customWidth="1"/>
    <col min="5680" max="5680" width="9.5703125" style="1491" bestFit="1" customWidth="1"/>
    <col min="5681" max="5681" width="10.7109375" style="1491" bestFit="1" customWidth="1"/>
    <col min="5682" max="5682" width="9.140625" style="1491" bestFit="1" customWidth="1"/>
    <col min="5683" max="5683" width="10.7109375" style="1491" bestFit="1" customWidth="1"/>
    <col min="5684" max="5684" width="9.5703125" style="1491" bestFit="1" customWidth="1"/>
    <col min="5685" max="5685" width="10.42578125" style="1491" bestFit="1" customWidth="1"/>
    <col min="5686" max="5686" width="9.140625" style="1491" bestFit="1" customWidth="1"/>
    <col min="5687" max="5687" width="10" style="1491" bestFit="1" customWidth="1"/>
    <col min="5688" max="5690" width="10.42578125" style="1491" bestFit="1" customWidth="1"/>
    <col min="5691" max="5691" width="10" style="1491" bestFit="1" customWidth="1"/>
    <col min="5692" max="5692" width="10.7109375" style="1491" bestFit="1" customWidth="1"/>
    <col min="5693" max="5693" width="10.42578125" style="1491" bestFit="1" customWidth="1"/>
    <col min="5694" max="5694" width="10.7109375" style="1491" bestFit="1" customWidth="1"/>
    <col min="5695" max="5697" width="10" style="1491" bestFit="1" customWidth="1"/>
    <col min="5698" max="5698" width="10.7109375" style="1491" bestFit="1" customWidth="1"/>
    <col min="5699" max="5699" width="10.42578125" style="1491" bestFit="1" customWidth="1"/>
    <col min="5700" max="5700" width="10.7109375" style="1491" bestFit="1" customWidth="1"/>
    <col min="5701" max="5701" width="10.42578125" style="1491" bestFit="1" customWidth="1"/>
    <col min="5702" max="5704" width="10" style="1491" bestFit="1" customWidth="1"/>
    <col min="5705" max="5705" width="10.42578125" style="1491" bestFit="1" customWidth="1"/>
    <col min="5706" max="5706" width="10" style="1491" bestFit="1" customWidth="1"/>
    <col min="5707" max="5710" width="10.42578125" style="1491" bestFit="1" customWidth="1"/>
    <col min="5711" max="5711" width="10" style="1491" bestFit="1" customWidth="1"/>
    <col min="5712" max="5712" width="10.42578125" style="1491" bestFit="1" customWidth="1"/>
    <col min="5713" max="5713" width="10.7109375" style="1491" bestFit="1" customWidth="1"/>
    <col min="5714" max="5714" width="10" style="1491" bestFit="1" customWidth="1"/>
    <col min="5715" max="5716" width="10.42578125" style="1491" bestFit="1" customWidth="1"/>
    <col min="5717" max="5719" width="10" style="1491" bestFit="1" customWidth="1"/>
    <col min="5720" max="5720" width="10.7109375" style="1491" bestFit="1" customWidth="1"/>
    <col min="5721" max="5721" width="10" style="1491" bestFit="1" customWidth="1"/>
    <col min="5722" max="5722" width="10.42578125" style="1491" bestFit="1" customWidth="1"/>
    <col min="5723" max="5724" width="10.7109375" style="1491" bestFit="1" customWidth="1"/>
    <col min="5725" max="5725" width="10" style="1491" bestFit="1" customWidth="1"/>
    <col min="5726" max="5727" width="10.42578125" style="1491" bestFit="1" customWidth="1"/>
    <col min="5728" max="5728" width="10.7109375" style="1491" bestFit="1" customWidth="1"/>
    <col min="5729" max="5729" width="10.42578125" style="1491" bestFit="1" customWidth="1"/>
    <col min="5730" max="5732" width="10.7109375" style="1491" bestFit="1" customWidth="1"/>
    <col min="5733" max="5734" width="0" style="1491" hidden="1" customWidth="1"/>
    <col min="5735" max="5735" width="10.7109375" style="1491" bestFit="1" customWidth="1"/>
    <col min="5736" max="5737" width="10.42578125" style="1491" bestFit="1" customWidth="1"/>
    <col min="5738" max="5740" width="10.7109375" style="1491" bestFit="1" customWidth="1"/>
    <col min="5741" max="5742" width="10.42578125" style="1491" bestFit="1" customWidth="1"/>
    <col min="5743" max="5743" width="10.7109375" style="1491" bestFit="1" customWidth="1"/>
    <col min="5744" max="5744" width="10.42578125" style="1491" bestFit="1" customWidth="1"/>
    <col min="5745" max="5749" width="10.7109375" style="1491" bestFit="1" customWidth="1"/>
    <col min="5750" max="5751" width="10.42578125" style="1491" bestFit="1" customWidth="1"/>
    <col min="5752" max="5753" width="10.7109375" style="1491" bestFit="1" customWidth="1"/>
    <col min="5754" max="5754" width="10.42578125" style="1491" bestFit="1" customWidth="1"/>
    <col min="5755" max="5758" width="10.7109375" style="1491" bestFit="1" customWidth="1"/>
    <col min="5759" max="5759" width="10.42578125" style="1491" bestFit="1" customWidth="1"/>
    <col min="5760" max="5760" width="10.5703125" style="1491" customWidth="1"/>
    <col min="5761" max="5763" width="10.7109375" style="1491" bestFit="1" customWidth="1"/>
    <col min="5764" max="5764" width="10.42578125" style="1491" bestFit="1" customWidth="1"/>
    <col min="5765" max="5766" width="10.7109375" style="1491" bestFit="1" customWidth="1"/>
    <col min="5767" max="5767" width="10.42578125" style="1491" bestFit="1" customWidth="1"/>
    <col min="5768" max="5770" width="10.7109375" style="1491" bestFit="1" customWidth="1"/>
    <col min="5771" max="5771" width="10" style="1491" bestFit="1" customWidth="1"/>
    <col min="5772" max="5774" width="10.7109375" style="1491" bestFit="1" customWidth="1"/>
    <col min="5775" max="5775" width="10.42578125" style="1491" bestFit="1" customWidth="1"/>
    <col min="5776" max="5776" width="10.7109375" style="1491" bestFit="1" customWidth="1"/>
    <col min="5777" max="5879" width="7.5703125" style="1491"/>
    <col min="5880" max="5880" width="44.5703125" style="1491" customWidth="1"/>
    <col min="5881" max="5881" width="11.42578125" style="1491" customWidth="1"/>
    <col min="5882" max="5882" width="9.28515625" style="1491" customWidth="1"/>
    <col min="5883" max="5883" width="11" style="1491" customWidth="1"/>
    <col min="5884" max="5884" width="11.140625" style="1491" customWidth="1"/>
    <col min="5885" max="5885" width="8.140625" style="1491" bestFit="1" customWidth="1"/>
    <col min="5886" max="5886" width="7.85546875" style="1491" bestFit="1" customWidth="1"/>
    <col min="5887" max="5887" width="9.5703125" style="1491" bestFit="1" customWidth="1"/>
    <col min="5888" max="5888" width="9" style="1491" bestFit="1" customWidth="1"/>
    <col min="5889" max="5889" width="9.5703125" style="1491" bestFit="1" customWidth="1"/>
    <col min="5890" max="5890" width="9.42578125" style="1491" bestFit="1" customWidth="1"/>
    <col min="5891" max="5891" width="9.140625" style="1491" bestFit="1" customWidth="1"/>
    <col min="5892" max="5892" width="9.42578125" style="1491" bestFit="1" customWidth="1"/>
    <col min="5893" max="5893" width="9.140625" style="1491" bestFit="1" customWidth="1"/>
    <col min="5894" max="5894" width="9.5703125" style="1491" bestFit="1" customWidth="1"/>
    <col min="5895" max="5895" width="9.42578125" style="1491" bestFit="1" customWidth="1"/>
    <col min="5896" max="5898" width="9.140625" style="1491" bestFit="1" customWidth="1"/>
    <col min="5899" max="5899" width="10" style="1491" bestFit="1" customWidth="1"/>
    <col min="5900" max="5900" width="9.140625" style="1491" bestFit="1" customWidth="1"/>
    <col min="5901" max="5901" width="9.42578125" style="1491" bestFit="1" customWidth="1"/>
    <col min="5902" max="5902" width="8.7109375" style="1491" bestFit="1" customWidth="1"/>
    <col min="5903" max="5903" width="9" style="1491" bestFit="1" customWidth="1"/>
    <col min="5904" max="5904" width="9.42578125" style="1491" bestFit="1" customWidth="1"/>
    <col min="5905" max="5905" width="10" style="1491" bestFit="1" customWidth="1"/>
    <col min="5906" max="5906" width="8.85546875" style="1491" bestFit="1" customWidth="1"/>
    <col min="5907" max="5907" width="10.42578125" style="1491" bestFit="1" customWidth="1"/>
    <col min="5908" max="5908" width="8.85546875" style="1491" bestFit="1" customWidth="1"/>
    <col min="5909" max="5909" width="10.42578125" style="1491" bestFit="1" customWidth="1"/>
    <col min="5910" max="5911" width="9.5703125" style="1491" bestFit="1" customWidth="1"/>
    <col min="5912" max="5912" width="9.140625" style="1491" bestFit="1" customWidth="1"/>
    <col min="5913" max="5913" width="10" style="1491" bestFit="1" customWidth="1"/>
    <col min="5914" max="5914" width="9.140625" style="1491" bestFit="1" customWidth="1"/>
    <col min="5915" max="5915" width="10.42578125" style="1491" bestFit="1" customWidth="1"/>
    <col min="5916" max="5916" width="9.5703125" style="1491" bestFit="1" customWidth="1"/>
    <col min="5917" max="5917" width="10.42578125" style="1491" bestFit="1" customWidth="1"/>
    <col min="5918" max="5918" width="9.5703125" style="1491" bestFit="1" customWidth="1"/>
    <col min="5919" max="5919" width="10" style="1491" bestFit="1" customWidth="1"/>
    <col min="5920" max="5920" width="9.5703125" style="1491" bestFit="1" customWidth="1"/>
    <col min="5921" max="5921" width="10" style="1491" bestFit="1" customWidth="1"/>
    <col min="5922" max="5922" width="9.5703125" style="1491" bestFit="1" customWidth="1"/>
    <col min="5923" max="5923" width="10.7109375" style="1491" bestFit="1" customWidth="1"/>
    <col min="5924" max="5924" width="9.5703125" style="1491" bestFit="1" customWidth="1"/>
    <col min="5925" max="5925" width="10.7109375" style="1491" bestFit="1" customWidth="1"/>
    <col min="5926" max="5926" width="9.5703125" style="1491" bestFit="1" customWidth="1"/>
    <col min="5927" max="5927" width="10.7109375" style="1491" bestFit="1" customWidth="1"/>
    <col min="5928" max="5928" width="9.5703125" style="1491" bestFit="1" customWidth="1"/>
    <col min="5929" max="5929" width="10.7109375" style="1491" bestFit="1" customWidth="1"/>
    <col min="5930" max="5930" width="9.140625" style="1491" bestFit="1" customWidth="1"/>
    <col min="5931" max="5931" width="10.7109375" style="1491" bestFit="1" customWidth="1"/>
    <col min="5932" max="5932" width="9.5703125" style="1491" bestFit="1" customWidth="1"/>
    <col min="5933" max="5933" width="10.42578125" style="1491" bestFit="1" customWidth="1"/>
    <col min="5934" max="5934" width="9.5703125" style="1491" bestFit="1" customWidth="1"/>
    <col min="5935" max="5935" width="10.7109375" style="1491" bestFit="1" customWidth="1"/>
    <col min="5936" max="5936" width="9.5703125" style="1491" bestFit="1" customWidth="1"/>
    <col min="5937" max="5937" width="10.7109375" style="1491" bestFit="1" customWidth="1"/>
    <col min="5938" max="5938" width="9.140625" style="1491" bestFit="1" customWidth="1"/>
    <col min="5939" max="5939" width="10.7109375" style="1491" bestFit="1" customWidth="1"/>
    <col min="5940" max="5940" width="9.5703125" style="1491" bestFit="1" customWidth="1"/>
    <col min="5941" max="5941" width="10.42578125" style="1491" bestFit="1" customWidth="1"/>
    <col min="5942" max="5942" width="9.140625" style="1491" bestFit="1" customWidth="1"/>
    <col min="5943" max="5943" width="10" style="1491" bestFit="1" customWidth="1"/>
    <col min="5944" max="5946" width="10.42578125" style="1491" bestFit="1" customWidth="1"/>
    <col min="5947" max="5947" width="10" style="1491" bestFit="1" customWidth="1"/>
    <col min="5948" max="5948" width="10.7109375" style="1491" bestFit="1" customWidth="1"/>
    <col min="5949" max="5949" width="10.42578125" style="1491" bestFit="1" customWidth="1"/>
    <col min="5950" max="5950" width="10.7109375" style="1491" bestFit="1" customWidth="1"/>
    <col min="5951" max="5953" width="10" style="1491" bestFit="1" customWidth="1"/>
    <col min="5954" max="5954" width="10.7109375" style="1491" bestFit="1" customWidth="1"/>
    <col min="5955" max="5955" width="10.42578125" style="1491" bestFit="1" customWidth="1"/>
    <col min="5956" max="5956" width="10.7109375" style="1491" bestFit="1" customWidth="1"/>
    <col min="5957" max="5957" width="10.42578125" style="1491" bestFit="1" customWidth="1"/>
    <col min="5958" max="5960" width="10" style="1491" bestFit="1" customWidth="1"/>
    <col min="5961" max="5961" width="10.42578125" style="1491" bestFit="1" customWidth="1"/>
    <col min="5962" max="5962" width="10" style="1491" bestFit="1" customWidth="1"/>
    <col min="5963" max="5966" width="10.42578125" style="1491" bestFit="1" customWidth="1"/>
    <col min="5967" max="5967" width="10" style="1491" bestFit="1" customWidth="1"/>
    <col min="5968" max="5968" width="10.42578125" style="1491" bestFit="1" customWidth="1"/>
    <col min="5969" max="5969" width="10.7109375" style="1491" bestFit="1" customWidth="1"/>
    <col min="5970" max="5970" width="10" style="1491" bestFit="1" customWidth="1"/>
    <col min="5971" max="5972" width="10.42578125" style="1491" bestFit="1" customWidth="1"/>
    <col min="5973" max="5975" width="10" style="1491" bestFit="1" customWidth="1"/>
    <col min="5976" max="5976" width="10.7109375" style="1491" bestFit="1" customWidth="1"/>
    <col min="5977" max="5977" width="10" style="1491" bestFit="1" customWidth="1"/>
    <col min="5978" max="5978" width="10.42578125" style="1491" bestFit="1" customWidth="1"/>
    <col min="5979" max="5980" width="10.7109375" style="1491" bestFit="1" customWidth="1"/>
    <col min="5981" max="5981" width="10" style="1491" bestFit="1" customWidth="1"/>
    <col min="5982" max="5983" width="10.42578125" style="1491" bestFit="1" customWidth="1"/>
    <col min="5984" max="5984" width="10.7109375" style="1491" bestFit="1" customWidth="1"/>
    <col min="5985" max="5985" width="10.42578125" style="1491" bestFit="1" customWidth="1"/>
    <col min="5986" max="5988" width="10.7109375" style="1491" bestFit="1" customWidth="1"/>
    <col min="5989" max="5990" width="0" style="1491" hidden="1" customWidth="1"/>
    <col min="5991" max="5991" width="10.7109375" style="1491" bestFit="1" customWidth="1"/>
    <col min="5992" max="5993" width="10.42578125" style="1491" bestFit="1" customWidth="1"/>
    <col min="5994" max="5996" width="10.7109375" style="1491" bestFit="1" customWidth="1"/>
    <col min="5997" max="5998" width="10.42578125" style="1491" bestFit="1" customWidth="1"/>
    <col min="5999" max="5999" width="10.7109375" style="1491" bestFit="1" customWidth="1"/>
    <col min="6000" max="6000" width="10.42578125" style="1491" bestFit="1" customWidth="1"/>
    <col min="6001" max="6005" width="10.7109375" style="1491" bestFit="1" customWidth="1"/>
    <col min="6006" max="6007" width="10.42578125" style="1491" bestFit="1" customWidth="1"/>
    <col min="6008" max="6009" width="10.7109375" style="1491" bestFit="1" customWidth="1"/>
    <col min="6010" max="6010" width="10.42578125" style="1491" bestFit="1" customWidth="1"/>
    <col min="6011" max="6014" width="10.7109375" style="1491" bestFit="1" customWidth="1"/>
    <col min="6015" max="6015" width="10.42578125" style="1491" bestFit="1" customWidth="1"/>
    <col min="6016" max="6016" width="10.5703125" style="1491" customWidth="1"/>
    <col min="6017" max="6019" width="10.7109375" style="1491" bestFit="1" customWidth="1"/>
    <col min="6020" max="6020" width="10.42578125" style="1491" bestFit="1" customWidth="1"/>
    <col min="6021" max="6022" width="10.7109375" style="1491" bestFit="1" customWidth="1"/>
    <col min="6023" max="6023" width="10.42578125" style="1491" bestFit="1" customWidth="1"/>
    <col min="6024" max="6026" width="10.7109375" style="1491" bestFit="1" customWidth="1"/>
    <col min="6027" max="6027" width="10" style="1491" bestFit="1" customWidth="1"/>
    <col min="6028" max="6030" width="10.7109375" style="1491" bestFit="1" customWidth="1"/>
    <col min="6031" max="6031" width="10.42578125" style="1491" bestFit="1" customWidth="1"/>
    <col min="6032" max="6032" width="10.7109375" style="1491" bestFit="1" customWidth="1"/>
    <col min="6033" max="6135" width="7.5703125" style="1491"/>
    <col min="6136" max="6136" width="44.5703125" style="1491" customWidth="1"/>
    <col min="6137" max="6137" width="11.42578125" style="1491" customWidth="1"/>
    <col min="6138" max="6138" width="9.28515625" style="1491" customWidth="1"/>
    <col min="6139" max="6139" width="11" style="1491" customWidth="1"/>
    <col min="6140" max="6140" width="11.140625" style="1491" customWidth="1"/>
    <col min="6141" max="6141" width="8.140625" style="1491" bestFit="1" customWidth="1"/>
    <col min="6142" max="6142" width="7.85546875" style="1491" bestFit="1" customWidth="1"/>
    <col min="6143" max="6143" width="9.5703125" style="1491" bestFit="1" customWidth="1"/>
    <col min="6144" max="6144" width="9" style="1491" bestFit="1" customWidth="1"/>
    <col min="6145" max="6145" width="9.5703125" style="1491" bestFit="1" customWidth="1"/>
    <col min="6146" max="6146" width="9.42578125" style="1491" bestFit="1" customWidth="1"/>
    <col min="6147" max="6147" width="9.140625" style="1491" bestFit="1" customWidth="1"/>
    <col min="6148" max="6148" width="9.42578125" style="1491" bestFit="1" customWidth="1"/>
    <col min="6149" max="6149" width="9.140625" style="1491" bestFit="1" customWidth="1"/>
    <col min="6150" max="6150" width="9.5703125" style="1491" bestFit="1" customWidth="1"/>
    <col min="6151" max="6151" width="9.42578125" style="1491" bestFit="1" customWidth="1"/>
    <col min="6152" max="6154" width="9.140625" style="1491" bestFit="1" customWidth="1"/>
    <col min="6155" max="6155" width="10" style="1491" bestFit="1" customWidth="1"/>
    <col min="6156" max="6156" width="9.140625" style="1491" bestFit="1" customWidth="1"/>
    <col min="6157" max="6157" width="9.42578125" style="1491" bestFit="1" customWidth="1"/>
    <col min="6158" max="6158" width="8.7109375" style="1491" bestFit="1" customWidth="1"/>
    <col min="6159" max="6159" width="9" style="1491" bestFit="1" customWidth="1"/>
    <col min="6160" max="6160" width="9.42578125" style="1491" bestFit="1" customWidth="1"/>
    <col min="6161" max="6161" width="10" style="1491" bestFit="1" customWidth="1"/>
    <col min="6162" max="6162" width="8.85546875" style="1491" bestFit="1" customWidth="1"/>
    <col min="6163" max="6163" width="10.42578125" style="1491" bestFit="1" customWidth="1"/>
    <col min="6164" max="6164" width="8.85546875" style="1491" bestFit="1" customWidth="1"/>
    <col min="6165" max="6165" width="10.42578125" style="1491" bestFit="1" customWidth="1"/>
    <col min="6166" max="6167" width="9.5703125" style="1491" bestFit="1" customWidth="1"/>
    <col min="6168" max="6168" width="9.140625" style="1491" bestFit="1" customWidth="1"/>
    <col min="6169" max="6169" width="10" style="1491" bestFit="1" customWidth="1"/>
    <col min="6170" max="6170" width="9.140625" style="1491" bestFit="1" customWidth="1"/>
    <col min="6171" max="6171" width="10.42578125" style="1491" bestFit="1" customWidth="1"/>
    <col min="6172" max="6172" width="9.5703125" style="1491" bestFit="1" customWidth="1"/>
    <col min="6173" max="6173" width="10.42578125" style="1491" bestFit="1" customWidth="1"/>
    <col min="6174" max="6174" width="9.5703125" style="1491" bestFit="1" customWidth="1"/>
    <col min="6175" max="6175" width="10" style="1491" bestFit="1" customWidth="1"/>
    <col min="6176" max="6176" width="9.5703125" style="1491" bestFit="1" customWidth="1"/>
    <col min="6177" max="6177" width="10" style="1491" bestFit="1" customWidth="1"/>
    <col min="6178" max="6178" width="9.5703125" style="1491" bestFit="1" customWidth="1"/>
    <col min="6179" max="6179" width="10.7109375" style="1491" bestFit="1" customWidth="1"/>
    <col min="6180" max="6180" width="9.5703125" style="1491" bestFit="1" customWidth="1"/>
    <col min="6181" max="6181" width="10.7109375" style="1491" bestFit="1" customWidth="1"/>
    <col min="6182" max="6182" width="9.5703125" style="1491" bestFit="1" customWidth="1"/>
    <col min="6183" max="6183" width="10.7109375" style="1491" bestFit="1" customWidth="1"/>
    <col min="6184" max="6184" width="9.5703125" style="1491" bestFit="1" customWidth="1"/>
    <col min="6185" max="6185" width="10.7109375" style="1491" bestFit="1" customWidth="1"/>
    <col min="6186" max="6186" width="9.140625" style="1491" bestFit="1" customWidth="1"/>
    <col min="6187" max="6187" width="10.7109375" style="1491" bestFit="1" customWidth="1"/>
    <col min="6188" max="6188" width="9.5703125" style="1491" bestFit="1" customWidth="1"/>
    <col min="6189" max="6189" width="10.42578125" style="1491" bestFit="1" customWidth="1"/>
    <col min="6190" max="6190" width="9.5703125" style="1491" bestFit="1" customWidth="1"/>
    <col min="6191" max="6191" width="10.7109375" style="1491" bestFit="1" customWidth="1"/>
    <col min="6192" max="6192" width="9.5703125" style="1491" bestFit="1" customWidth="1"/>
    <col min="6193" max="6193" width="10.7109375" style="1491" bestFit="1" customWidth="1"/>
    <col min="6194" max="6194" width="9.140625" style="1491" bestFit="1" customWidth="1"/>
    <col min="6195" max="6195" width="10.7109375" style="1491" bestFit="1" customWidth="1"/>
    <col min="6196" max="6196" width="9.5703125" style="1491" bestFit="1" customWidth="1"/>
    <col min="6197" max="6197" width="10.42578125" style="1491" bestFit="1" customWidth="1"/>
    <col min="6198" max="6198" width="9.140625" style="1491" bestFit="1" customWidth="1"/>
    <col min="6199" max="6199" width="10" style="1491" bestFit="1" customWidth="1"/>
    <col min="6200" max="6202" width="10.42578125" style="1491" bestFit="1" customWidth="1"/>
    <col min="6203" max="6203" width="10" style="1491" bestFit="1" customWidth="1"/>
    <col min="6204" max="6204" width="10.7109375" style="1491" bestFit="1" customWidth="1"/>
    <col min="6205" max="6205" width="10.42578125" style="1491" bestFit="1" customWidth="1"/>
    <col min="6206" max="6206" width="10.7109375" style="1491" bestFit="1" customWidth="1"/>
    <col min="6207" max="6209" width="10" style="1491" bestFit="1" customWidth="1"/>
    <col min="6210" max="6210" width="10.7109375" style="1491" bestFit="1" customWidth="1"/>
    <col min="6211" max="6211" width="10.42578125" style="1491" bestFit="1" customWidth="1"/>
    <col min="6212" max="6212" width="10.7109375" style="1491" bestFit="1" customWidth="1"/>
    <col min="6213" max="6213" width="10.42578125" style="1491" bestFit="1" customWidth="1"/>
    <col min="6214" max="6216" width="10" style="1491" bestFit="1" customWidth="1"/>
    <col min="6217" max="6217" width="10.42578125" style="1491" bestFit="1" customWidth="1"/>
    <col min="6218" max="6218" width="10" style="1491" bestFit="1" customWidth="1"/>
    <col min="6219" max="6222" width="10.42578125" style="1491" bestFit="1" customWidth="1"/>
    <col min="6223" max="6223" width="10" style="1491" bestFit="1" customWidth="1"/>
    <col min="6224" max="6224" width="10.42578125" style="1491" bestFit="1" customWidth="1"/>
    <col min="6225" max="6225" width="10.7109375" style="1491" bestFit="1" customWidth="1"/>
    <col min="6226" max="6226" width="10" style="1491" bestFit="1" customWidth="1"/>
    <col min="6227" max="6228" width="10.42578125" style="1491" bestFit="1" customWidth="1"/>
    <col min="6229" max="6231" width="10" style="1491" bestFit="1" customWidth="1"/>
    <col min="6232" max="6232" width="10.7109375" style="1491" bestFit="1" customWidth="1"/>
    <col min="6233" max="6233" width="10" style="1491" bestFit="1" customWidth="1"/>
    <col min="6234" max="6234" width="10.42578125" style="1491" bestFit="1" customWidth="1"/>
    <col min="6235" max="6236" width="10.7109375" style="1491" bestFit="1" customWidth="1"/>
    <col min="6237" max="6237" width="10" style="1491" bestFit="1" customWidth="1"/>
    <col min="6238" max="6239" width="10.42578125" style="1491" bestFit="1" customWidth="1"/>
    <col min="6240" max="6240" width="10.7109375" style="1491" bestFit="1" customWidth="1"/>
    <col min="6241" max="6241" width="10.42578125" style="1491" bestFit="1" customWidth="1"/>
    <col min="6242" max="6244" width="10.7109375" style="1491" bestFit="1" customWidth="1"/>
    <col min="6245" max="6246" width="0" style="1491" hidden="1" customWidth="1"/>
    <col min="6247" max="6247" width="10.7109375" style="1491" bestFit="1" customWidth="1"/>
    <col min="6248" max="6249" width="10.42578125" style="1491" bestFit="1" customWidth="1"/>
    <col min="6250" max="6252" width="10.7109375" style="1491" bestFit="1" customWidth="1"/>
    <col min="6253" max="6254" width="10.42578125" style="1491" bestFit="1" customWidth="1"/>
    <col min="6255" max="6255" width="10.7109375" style="1491" bestFit="1" customWidth="1"/>
    <col min="6256" max="6256" width="10.42578125" style="1491" bestFit="1" customWidth="1"/>
    <col min="6257" max="6261" width="10.7109375" style="1491" bestFit="1" customWidth="1"/>
    <col min="6262" max="6263" width="10.42578125" style="1491" bestFit="1" customWidth="1"/>
    <col min="6264" max="6265" width="10.7109375" style="1491" bestFit="1" customWidth="1"/>
    <col min="6266" max="6266" width="10.42578125" style="1491" bestFit="1" customWidth="1"/>
    <col min="6267" max="6270" width="10.7109375" style="1491" bestFit="1" customWidth="1"/>
    <col min="6271" max="6271" width="10.42578125" style="1491" bestFit="1" customWidth="1"/>
    <col min="6272" max="6272" width="10.5703125" style="1491" customWidth="1"/>
    <col min="6273" max="6275" width="10.7109375" style="1491" bestFit="1" customWidth="1"/>
    <col min="6276" max="6276" width="10.42578125" style="1491" bestFit="1" customWidth="1"/>
    <col min="6277" max="6278" width="10.7109375" style="1491" bestFit="1" customWidth="1"/>
    <col min="6279" max="6279" width="10.42578125" style="1491" bestFit="1" customWidth="1"/>
    <col min="6280" max="6282" width="10.7109375" style="1491" bestFit="1" customWidth="1"/>
    <col min="6283" max="6283" width="10" style="1491" bestFit="1" customWidth="1"/>
    <col min="6284" max="6286" width="10.7109375" style="1491" bestFit="1" customWidth="1"/>
    <col min="6287" max="6287" width="10.42578125" style="1491" bestFit="1" customWidth="1"/>
    <col min="6288" max="6288" width="10.7109375" style="1491" bestFit="1" customWidth="1"/>
    <col min="6289" max="6391" width="7.5703125" style="1491"/>
    <col min="6392" max="6392" width="44.5703125" style="1491" customWidth="1"/>
    <col min="6393" max="6393" width="11.42578125" style="1491" customWidth="1"/>
    <col min="6394" max="6394" width="9.28515625" style="1491" customWidth="1"/>
    <col min="6395" max="6395" width="11" style="1491" customWidth="1"/>
    <col min="6396" max="6396" width="11.140625" style="1491" customWidth="1"/>
    <col min="6397" max="6397" width="8.140625" style="1491" bestFit="1" customWidth="1"/>
    <col min="6398" max="6398" width="7.85546875" style="1491" bestFit="1" customWidth="1"/>
    <col min="6399" max="6399" width="9.5703125" style="1491" bestFit="1" customWidth="1"/>
    <col min="6400" max="6400" width="9" style="1491" bestFit="1" customWidth="1"/>
    <col min="6401" max="6401" width="9.5703125" style="1491" bestFit="1" customWidth="1"/>
    <col min="6402" max="6402" width="9.42578125" style="1491" bestFit="1" customWidth="1"/>
    <col min="6403" max="6403" width="9.140625" style="1491" bestFit="1" customWidth="1"/>
    <col min="6404" max="6404" width="9.42578125" style="1491" bestFit="1" customWidth="1"/>
    <col min="6405" max="6405" width="9.140625" style="1491" bestFit="1" customWidth="1"/>
    <col min="6406" max="6406" width="9.5703125" style="1491" bestFit="1" customWidth="1"/>
    <col min="6407" max="6407" width="9.42578125" style="1491" bestFit="1" customWidth="1"/>
    <col min="6408" max="6410" width="9.140625" style="1491" bestFit="1" customWidth="1"/>
    <col min="6411" max="6411" width="10" style="1491" bestFit="1" customWidth="1"/>
    <col min="6412" max="6412" width="9.140625" style="1491" bestFit="1" customWidth="1"/>
    <col min="6413" max="6413" width="9.42578125" style="1491" bestFit="1" customWidth="1"/>
    <col min="6414" max="6414" width="8.7109375" style="1491" bestFit="1" customWidth="1"/>
    <col min="6415" max="6415" width="9" style="1491" bestFit="1" customWidth="1"/>
    <col min="6416" max="6416" width="9.42578125" style="1491" bestFit="1" customWidth="1"/>
    <col min="6417" max="6417" width="10" style="1491" bestFit="1" customWidth="1"/>
    <col min="6418" max="6418" width="8.85546875" style="1491" bestFit="1" customWidth="1"/>
    <col min="6419" max="6419" width="10.42578125" style="1491" bestFit="1" customWidth="1"/>
    <col min="6420" max="6420" width="8.85546875" style="1491" bestFit="1" customWidth="1"/>
    <col min="6421" max="6421" width="10.42578125" style="1491" bestFit="1" customWidth="1"/>
    <col min="6422" max="6423" width="9.5703125" style="1491" bestFit="1" customWidth="1"/>
    <col min="6424" max="6424" width="9.140625" style="1491" bestFit="1" customWidth="1"/>
    <col min="6425" max="6425" width="10" style="1491" bestFit="1" customWidth="1"/>
    <col min="6426" max="6426" width="9.140625" style="1491" bestFit="1" customWidth="1"/>
    <col min="6427" max="6427" width="10.42578125" style="1491" bestFit="1" customWidth="1"/>
    <col min="6428" max="6428" width="9.5703125" style="1491" bestFit="1" customWidth="1"/>
    <col min="6429" max="6429" width="10.42578125" style="1491" bestFit="1" customWidth="1"/>
    <col min="6430" max="6430" width="9.5703125" style="1491" bestFit="1" customWidth="1"/>
    <col min="6431" max="6431" width="10" style="1491" bestFit="1" customWidth="1"/>
    <col min="6432" max="6432" width="9.5703125" style="1491" bestFit="1" customWidth="1"/>
    <col min="6433" max="6433" width="10" style="1491" bestFit="1" customWidth="1"/>
    <col min="6434" max="6434" width="9.5703125" style="1491" bestFit="1" customWidth="1"/>
    <col min="6435" max="6435" width="10.7109375" style="1491" bestFit="1" customWidth="1"/>
    <col min="6436" max="6436" width="9.5703125" style="1491" bestFit="1" customWidth="1"/>
    <col min="6437" max="6437" width="10.7109375" style="1491" bestFit="1" customWidth="1"/>
    <col min="6438" max="6438" width="9.5703125" style="1491" bestFit="1" customWidth="1"/>
    <col min="6439" max="6439" width="10.7109375" style="1491" bestFit="1" customWidth="1"/>
    <col min="6440" max="6440" width="9.5703125" style="1491" bestFit="1" customWidth="1"/>
    <col min="6441" max="6441" width="10.7109375" style="1491" bestFit="1" customWidth="1"/>
    <col min="6442" max="6442" width="9.140625" style="1491" bestFit="1" customWidth="1"/>
    <col min="6443" max="6443" width="10.7109375" style="1491" bestFit="1" customWidth="1"/>
    <col min="6444" max="6444" width="9.5703125" style="1491" bestFit="1" customWidth="1"/>
    <col min="6445" max="6445" width="10.42578125" style="1491" bestFit="1" customWidth="1"/>
    <col min="6446" max="6446" width="9.5703125" style="1491" bestFit="1" customWidth="1"/>
    <col min="6447" max="6447" width="10.7109375" style="1491" bestFit="1" customWidth="1"/>
    <col min="6448" max="6448" width="9.5703125" style="1491" bestFit="1" customWidth="1"/>
    <col min="6449" max="6449" width="10.7109375" style="1491" bestFit="1" customWidth="1"/>
    <col min="6450" max="6450" width="9.140625" style="1491" bestFit="1" customWidth="1"/>
    <col min="6451" max="6451" width="10.7109375" style="1491" bestFit="1" customWidth="1"/>
    <col min="6452" max="6452" width="9.5703125" style="1491" bestFit="1" customWidth="1"/>
    <col min="6453" max="6453" width="10.42578125" style="1491" bestFit="1" customWidth="1"/>
    <col min="6454" max="6454" width="9.140625" style="1491" bestFit="1" customWidth="1"/>
    <col min="6455" max="6455" width="10" style="1491" bestFit="1" customWidth="1"/>
    <col min="6456" max="6458" width="10.42578125" style="1491" bestFit="1" customWidth="1"/>
    <col min="6459" max="6459" width="10" style="1491" bestFit="1" customWidth="1"/>
    <col min="6460" max="6460" width="10.7109375" style="1491" bestFit="1" customWidth="1"/>
    <col min="6461" max="6461" width="10.42578125" style="1491" bestFit="1" customWidth="1"/>
    <col min="6462" max="6462" width="10.7109375" style="1491" bestFit="1" customWidth="1"/>
    <col min="6463" max="6465" width="10" style="1491" bestFit="1" customWidth="1"/>
    <col min="6466" max="6466" width="10.7109375" style="1491" bestFit="1" customWidth="1"/>
    <col min="6467" max="6467" width="10.42578125" style="1491" bestFit="1" customWidth="1"/>
    <col min="6468" max="6468" width="10.7109375" style="1491" bestFit="1" customWidth="1"/>
    <col min="6469" max="6469" width="10.42578125" style="1491" bestFit="1" customWidth="1"/>
    <col min="6470" max="6472" width="10" style="1491" bestFit="1" customWidth="1"/>
    <col min="6473" max="6473" width="10.42578125" style="1491" bestFit="1" customWidth="1"/>
    <col min="6474" max="6474" width="10" style="1491" bestFit="1" customWidth="1"/>
    <col min="6475" max="6478" width="10.42578125" style="1491" bestFit="1" customWidth="1"/>
    <col min="6479" max="6479" width="10" style="1491" bestFit="1" customWidth="1"/>
    <col min="6480" max="6480" width="10.42578125" style="1491" bestFit="1" customWidth="1"/>
    <col min="6481" max="6481" width="10.7109375" style="1491" bestFit="1" customWidth="1"/>
    <col min="6482" max="6482" width="10" style="1491" bestFit="1" customWidth="1"/>
    <col min="6483" max="6484" width="10.42578125" style="1491" bestFit="1" customWidth="1"/>
    <col min="6485" max="6487" width="10" style="1491" bestFit="1" customWidth="1"/>
    <col min="6488" max="6488" width="10.7109375" style="1491" bestFit="1" customWidth="1"/>
    <col min="6489" max="6489" width="10" style="1491" bestFit="1" customWidth="1"/>
    <col min="6490" max="6490" width="10.42578125" style="1491" bestFit="1" customWidth="1"/>
    <col min="6491" max="6492" width="10.7109375" style="1491" bestFit="1" customWidth="1"/>
    <col min="6493" max="6493" width="10" style="1491" bestFit="1" customWidth="1"/>
    <col min="6494" max="6495" width="10.42578125" style="1491" bestFit="1" customWidth="1"/>
    <col min="6496" max="6496" width="10.7109375" style="1491" bestFit="1" customWidth="1"/>
    <col min="6497" max="6497" width="10.42578125" style="1491" bestFit="1" customWidth="1"/>
    <col min="6498" max="6500" width="10.7109375" style="1491" bestFit="1" customWidth="1"/>
    <col min="6501" max="6502" width="0" style="1491" hidden="1" customWidth="1"/>
    <col min="6503" max="6503" width="10.7109375" style="1491" bestFit="1" customWidth="1"/>
    <col min="6504" max="6505" width="10.42578125" style="1491" bestFit="1" customWidth="1"/>
    <col min="6506" max="6508" width="10.7109375" style="1491" bestFit="1" customWidth="1"/>
    <col min="6509" max="6510" width="10.42578125" style="1491" bestFit="1" customWidth="1"/>
    <col min="6511" max="6511" width="10.7109375" style="1491" bestFit="1" customWidth="1"/>
    <col min="6512" max="6512" width="10.42578125" style="1491" bestFit="1" customWidth="1"/>
    <col min="6513" max="6517" width="10.7109375" style="1491" bestFit="1" customWidth="1"/>
    <col min="6518" max="6519" width="10.42578125" style="1491" bestFit="1" customWidth="1"/>
    <col min="6520" max="6521" width="10.7109375" style="1491" bestFit="1" customWidth="1"/>
    <col min="6522" max="6522" width="10.42578125" style="1491" bestFit="1" customWidth="1"/>
    <col min="6523" max="6526" width="10.7109375" style="1491" bestFit="1" customWidth="1"/>
    <col min="6527" max="6527" width="10.42578125" style="1491" bestFit="1" customWidth="1"/>
    <col min="6528" max="6528" width="10.5703125" style="1491" customWidth="1"/>
    <col min="6529" max="6531" width="10.7109375" style="1491" bestFit="1" customWidth="1"/>
    <col min="6532" max="6532" width="10.42578125" style="1491" bestFit="1" customWidth="1"/>
    <col min="6533" max="6534" width="10.7109375" style="1491" bestFit="1" customWidth="1"/>
    <col min="6535" max="6535" width="10.42578125" style="1491" bestFit="1" customWidth="1"/>
    <col min="6536" max="6538" width="10.7109375" style="1491" bestFit="1" customWidth="1"/>
    <col min="6539" max="6539" width="10" style="1491" bestFit="1" customWidth="1"/>
    <col min="6540" max="6542" width="10.7109375" style="1491" bestFit="1" customWidth="1"/>
    <col min="6543" max="6543" width="10.42578125" style="1491" bestFit="1" customWidth="1"/>
    <col min="6544" max="6544" width="10.7109375" style="1491" bestFit="1" customWidth="1"/>
    <col min="6545" max="6647" width="7.5703125" style="1491"/>
    <col min="6648" max="6648" width="44.5703125" style="1491" customWidth="1"/>
    <col min="6649" max="6649" width="11.42578125" style="1491" customWidth="1"/>
    <col min="6650" max="6650" width="9.28515625" style="1491" customWidth="1"/>
    <col min="6651" max="6651" width="11" style="1491" customWidth="1"/>
    <col min="6652" max="6652" width="11.140625" style="1491" customWidth="1"/>
    <col min="6653" max="6653" width="8.140625" style="1491" bestFit="1" customWidth="1"/>
    <col min="6654" max="6654" width="7.85546875" style="1491" bestFit="1" customWidth="1"/>
    <col min="6655" max="6655" width="9.5703125" style="1491" bestFit="1" customWidth="1"/>
    <col min="6656" max="6656" width="9" style="1491" bestFit="1" customWidth="1"/>
    <col min="6657" max="6657" width="9.5703125" style="1491" bestFit="1" customWidth="1"/>
    <col min="6658" max="6658" width="9.42578125" style="1491" bestFit="1" customWidth="1"/>
    <col min="6659" max="6659" width="9.140625" style="1491" bestFit="1" customWidth="1"/>
    <col min="6660" max="6660" width="9.42578125" style="1491" bestFit="1" customWidth="1"/>
    <col min="6661" max="6661" width="9.140625" style="1491" bestFit="1" customWidth="1"/>
    <col min="6662" max="6662" width="9.5703125" style="1491" bestFit="1" customWidth="1"/>
    <col min="6663" max="6663" width="9.42578125" style="1491" bestFit="1" customWidth="1"/>
    <col min="6664" max="6666" width="9.140625" style="1491" bestFit="1" customWidth="1"/>
    <col min="6667" max="6667" width="10" style="1491" bestFit="1" customWidth="1"/>
    <col min="6668" max="6668" width="9.140625" style="1491" bestFit="1" customWidth="1"/>
    <col min="6669" max="6669" width="9.42578125" style="1491" bestFit="1" customWidth="1"/>
    <col min="6670" max="6670" width="8.7109375" style="1491" bestFit="1" customWidth="1"/>
    <col min="6671" max="6671" width="9" style="1491" bestFit="1" customWidth="1"/>
    <col min="6672" max="6672" width="9.42578125" style="1491" bestFit="1" customWidth="1"/>
    <col min="6673" max="6673" width="10" style="1491" bestFit="1" customWidth="1"/>
    <col min="6674" max="6674" width="8.85546875" style="1491" bestFit="1" customWidth="1"/>
    <col min="6675" max="6675" width="10.42578125" style="1491" bestFit="1" customWidth="1"/>
    <col min="6676" max="6676" width="8.85546875" style="1491" bestFit="1" customWidth="1"/>
    <col min="6677" max="6677" width="10.42578125" style="1491" bestFit="1" customWidth="1"/>
    <col min="6678" max="6679" width="9.5703125" style="1491" bestFit="1" customWidth="1"/>
    <col min="6680" max="6680" width="9.140625" style="1491" bestFit="1" customWidth="1"/>
    <col min="6681" max="6681" width="10" style="1491" bestFit="1" customWidth="1"/>
    <col min="6682" max="6682" width="9.140625" style="1491" bestFit="1" customWidth="1"/>
    <col min="6683" max="6683" width="10.42578125" style="1491" bestFit="1" customWidth="1"/>
    <col min="6684" max="6684" width="9.5703125" style="1491" bestFit="1" customWidth="1"/>
    <col min="6685" max="6685" width="10.42578125" style="1491" bestFit="1" customWidth="1"/>
    <col min="6686" max="6686" width="9.5703125" style="1491" bestFit="1" customWidth="1"/>
    <col min="6687" max="6687" width="10" style="1491" bestFit="1" customWidth="1"/>
    <col min="6688" max="6688" width="9.5703125" style="1491" bestFit="1" customWidth="1"/>
    <col min="6689" max="6689" width="10" style="1491" bestFit="1" customWidth="1"/>
    <col min="6690" max="6690" width="9.5703125" style="1491" bestFit="1" customWidth="1"/>
    <col min="6691" max="6691" width="10.7109375" style="1491" bestFit="1" customWidth="1"/>
    <col min="6692" max="6692" width="9.5703125" style="1491" bestFit="1" customWidth="1"/>
    <col min="6693" max="6693" width="10.7109375" style="1491" bestFit="1" customWidth="1"/>
    <col min="6694" max="6694" width="9.5703125" style="1491" bestFit="1" customWidth="1"/>
    <col min="6695" max="6695" width="10.7109375" style="1491" bestFit="1" customWidth="1"/>
    <col min="6696" max="6696" width="9.5703125" style="1491" bestFit="1" customWidth="1"/>
    <col min="6697" max="6697" width="10.7109375" style="1491" bestFit="1" customWidth="1"/>
    <col min="6698" max="6698" width="9.140625" style="1491" bestFit="1" customWidth="1"/>
    <col min="6699" max="6699" width="10.7109375" style="1491" bestFit="1" customWidth="1"/>
    <col min="6700" max="6700" width="9.5703125" style="1491" bestFit="1" customWidth="1"/>
    <col min="6701" max="6701" width="10.42578125" style="1491" bestFit="1" customWidth="1"/>
    <col min="6702" max="6702" width="9.5703125" style="1491" bestFit="1" customWidth="1"/>
    <col min="6703" max="6703" width="10.7109375" style="1491" bestFit="1" customWidth="1"/>
    <col min="6704" max="6704" width="9.5703125" style="1491" bestFit="1" customWidth="1"/>
    <col min="6705" max="6705" width="10.7109375" style="1491" bestFit="1" customWidth="1"/>
    <col min="6706" max="6706" width="9.140625" style="1491" bestFit="1" customWidth="1"/>
    <col min="6707" max="6707" width="10.7109375" style="1491" bestFit="1" customWidth="1"/>
    <col min="6708" max="6708" width="9.5703125" style="1491" bestFit="1" customWidth="1"/>
    <col min="6709" max="6709" width="10.42578125" style="1491" bestFit="1" customWidth="1"/>
    <col min="6710" max="6710" width="9.140625" style="1491" bestFit="1" customWidth="1"/>
    <col min="6711" max="6711" width="10" style="1491" bestFit="1" customWidth="1"/>
    <col min="6712" max="6714" width="10.42578125" style="1491" bestFit="1" customWidth="1"/>
    <col min="6715" max="6715" width="10" style="1491" bestFit="1" customWidth="1"/>
    <col min="6716" max="6716" width="10.7109375" style="1491" bestFit="1" customWidth="1"/>
    <col min="6717" max="6717" width="10.42578125" style="1491" bestFit="1" customWidth="1"/>
    <col min="6718" max="6718" width="10.7109375" style="1491" bestFit="1" customWidth="1"/>
    <col min="6719" max="6721" width="10" style="1491" bestFit="1" customWidth="1"/>
    <col min="6722" max="6722" width="10.7109375" style="1491" bestFit="1" customWidth="1"/>
    <col min="6723" max="6723" width="10.42578125" style="1491" bestFit="1" customWidth="1"/>
    <col min="6724" max="6724" width="10.7109375" style="1491" bestFit="1" customWidth="1"/>
    <col min="6725" max="6725" width="10.42578125" style="1491" bestFit="1" customWidth="1"/>
    <col min="6726" max="6728" width="10" style="1491" bestFit="1" customWidth="1"/>
    <col min="6729" max="6729" width="10.42578125" style="1491" bestFit="1" customWidth="1"/>
    <col min="6730" max="6730" width="10" style="1491" bestFit="1" customWidth="1"/>
    <col min="6731" max="6734" width="10.42578125" style="1491" bestFit="1" customWidth="1"/>
    <col min="6735" max="6735" width="10" style="1491" bestFit="1" customWidth="1"/>
    <col min="6736" max="6736" width="10.42578125" style="1491" bestFit="1" customWidth="1"/>
    <col min="6737" max="6737" width="10.7109375" style="1491" bestFit="1" customWidth="1"/>
    <col min="6738" max="6738" width="10" style="1491" bestFit="1" customWidth="1"/>
    <col min="6739" max="6740" width="10.42578125" style="1491" bestFit="1" customWidth="1"/>
    <col min="6741" max="6743" width="10" style="1491" bestFit="1" customWidth="1"/>
    <col min="6744" max="6744" width="10.7109375" style="1491" bestFit="1" customWidth="1"/>
    <col min="6745" max="6745" width="10" style="1491" bestFit="1" customWidth="1"/>
    <col min="6746" max="6746" width="10.42578125" style="1491" bestFit="1" customWidth="1"/>
    <col min="6747" max="6748" width="10.7109375" style="1491" bestFit="1" customWidth="1"/>
    <col min="6749" max="6749" width="10" style="1491" bestFit="1" customWidth="1"/>
    <col min="6750" max="6751" width="10.42578125" style="1491" bestFit="1" customWidth="1"/>
    <col min="6752" max="6752" width="10.7109375" style="1491" bestFit="1" customWidth="1"/>
    <col min="6753" max="6753" width="10.42578125" style="1491" bestFit="1" customWidth="1"/>
    <col min="6754" max="6756" width="10.7109375" style="1491" bestFit="1" customWidth="1"/>
    <col min="6757" max="6758" width="0" style="1491" hidden="1" customWidth="1"/>
    <col min="6759" max="6759" width="10.7109375" style="1491" bestFit="1" customWidth="1"/>
    <col min="6760" max="6761" width="10.42578125" style="1491" bestFit="1" customWidth="1"/>
    <col min="6762" max="6764" width="10.7109375" style="1491" bestFit="1" customWidth="1"/>
    <col min="6765" max="6766" width="10.42578125" style="1491" bestFit="1" customWidth="1"/>
    <col min="6767" max="6767" width="10.7109375" style="1491" bestFit="1" customWidth="1"/>
    <col min="6768" max="6768" width="10.42578125" style="1491" bestFit="1" customWidth="1"/>
    <col min="6769" max="6773" width="10.7109375" style="1491" bestFit="1" customWidth="1"/>
    <col min="6774" max="6775" width="10.42578125" style="1491" bestFit="1" customWidth="1"/>
    <col min="6776" max="6777" width="10.7109375" style="1491" bestFit="1" customWidth="1"/>
    <col min="6778" max="6778" width="10.42578125" style="1491" bestFit="1" customWidth="1"/>
    <col min="6779" max="6782" width="10.7109375" style="1491" bestFit="1" customWidth="1"/>
    <col min="6783" max="6783" width="10.42578125" style="1491" bestFit="1" customWidth="1"/>
    <col min="6784" max="6784" width="10.5703125" style="1491" customWidth="1"/>
    <col min="6785" max="6787" width="10.7109375" style="1491" bestFit="1" customWidth="1"/>
    <col min="6788" max="6788" width="10.42578125" style="1491" bestFit="1" customWidth="1"/>
    <col min="6789" max="6790" width="10.7109375" style="1491" bestFit="1" customWidth="1"/>
    <col min="6791" max="6791" width="10.42578125" style="1491" bestFit="1" customWidth="1"/>
    <col min="6792" max="6794" width="10.7109375" style="1491" bestFit="1" customWidth="1"/>
    <col min="6795" max="6795" width="10" style="1491" bestFit="1" customWidth="1"/>
    <col min="6796" max="6798" width="10.7109375" style="1491" bestFit="1" customWidth="1"/>
    <col min="6799" max="6799" width="10.42578125" style="1491" bestFit="1" customWidth="1"/>
    <col min="6800" max="6800" width="10.7109375" style="1491" bestFit="1" customWidth="1"/>
    <col min="6801" max="6903" width="7.5703125" style="1491"/>
    <col min="6904" max="6904" width="44.5703125" style="1491" customWidth="1"/>
    <col min="6905" max="6905" width="11.42578125" style="1491" customWidth="1"/>
    <col min="6906" max="6906" width="9.28515625" style="1491" customWidth="1"/>
    <col min="6907" max="6907" width="11" style="1491" customWidth="1"/>
    <col min="6908" max="6908" width="11.140625" style="1491" customWidth="1"/>
    <col min="6909" max="6909" width="8.140625" style="1491" bestFit="1" customWidth="1"/>
    <col min="6910" max="6910" width="7.85546875" style="1491" bestFit="1" customWidth="1"/>
    <col min="6911" max="6911" width="9.5703125" style="1491" bestFit="1" customWidth="1"/>
    <col min="6912" max="6912" width="9" style="1491" bestFit="1" customWidth="1"/>
    <col min="6913" max="6913" width="9.5703125" style="1491" bestFit="1" customWidth="1"/>
    <col min="6914" max="6914" width="9.42578125" style="1491" bestFit="1" customWidth="1"/>
    <col min="6915" max="6915" width="9.140625" style="1491" bestFit="1" customWidth="1"/>
    <col min="6916" max="6916" width="9.42578125" style="1491" bestFit="1" customWidth="1"/>
    <col min="6917" max="6917" width="9.140625" style="1491" bestFit="1" customWidth="1"/>
    <col min="6918" max="6918" width="9.5703125" style="1491" bestFit="1" customWidth="1"/>
    <col min="6919" max="6919" width="9.42578125" style="1491" bestFit="1" customWidth="1"/>
    <col min="6920" max="6922" width="9.140625" style="1491" bestFit="1" customWidth="1"/>
    <col min="6923" max="6923" width="10" style="1491" bestFit="1" customWidth="1"/>
    <col min="6924" max="6924" width="9.140625" style="1491" bestFit="1" customWidth="1"/>
    <col min="6925" max="6925" width="9.42578125" style="1491" bestFit="1" customWidth="1"/>
    <col min="6926" max="6926" width="8.7109375" style="1491" bestFit="1" customWidth="1"/>
    <col min="6927" max="6927" width="9" style="1491" bestFit="1" customWidth="1"/>
    <col min="6928" max="6928" width="9.42578125" style="1491" bestFit="1" customWidth="1"/>
    <col min="6929" max="6929" width="10" style="1491" bestFit="1" customWidth="1"/>
    <col min="6930" max="6930" width="8.85546875" style="1491" bestFit="1" customWidth="1"/>
    <col min="6931" max="6931" width="10.42578125" style="1491" bestFit="1" customWidth="1"/>
    <col min="6932" max="6932" width="8.85546875" style="1491" bestFit="1" customWidth="1"/>
    <col min="6933" max="6933" width="10.42578125" style="1491" bestFit="1" customWidth="1"/>
    <col min="6934" max="6935" width="9.5703125" style="1491" bestFit="1" customWidth="1"/>
    <col min="6936" max="6936" width="9.140625" style="1491" bestFit="1" customWidth="1"/>
    <col min="6937" max="6937" width="10" style="1491" bestFit="1" customWidth="1"/>
    <col min="6938" max="6938" width="9.140625" style="1491" bestFit="1" customWidth="1"/>
    <col min="6939" max="6939" width="10.42578125" style="1491" bestFit="1" customWidth="1"/>
    <col min="6940" max="6940" width="9.5703125" style="1491" bestFit="1" customWidth="1"/>
    <col min="6941" max="6941" width="10.42578125" style="1491" bestFit="1" customWidth="1"/>
    <col min="6942" max="6942" width="9.5703125" style="1491" bestFit="1" customWidth="1"/>
    <col min="6943" max="6943" width="10" style="1491" bestFit="1" customWidth="1"/>
    <col min="6944" max="6944" width="9.5703125" style="1491" bestFit="1" customWidth="1"/>
    <col min="6945" max="6945" width="10" style="1491" bestFit="1" customWidth="1"/>
    <col min="6946" max="6946" width="9.5703125" style="1491" bestFit="1" customWidth="1"/>
    <col min="6947" max="6947" width="10.7109375" style="1491" bestFit="1" customWidth="1"/>
    <col min="6948" max="6948" width="9.5703125" style="1491" bestFit="1" customWidth="1"/>
    <col min="6949" max="6949" width="10.7109375" style="1491" bestFit="1" customWidth="1"/>
    <col min="6950" max="6950" width="9.5703125" style="1491" bestFit="1" customWidth="1"/>
    <col min="6951" max="6951" width="10.7109375" style="1491" bestFit="1" customWidth="1"/>
    <col min="6952" max="6952" width="9.5703125" style="1491" bestFit="1" customWidth="1"/>
    <col min="6953" max="6953" width="10.7109375" style="1491" bestFit="1" customWidth="1"/>
    <col min="6954" max="6954" width="9.140625" style="1491" bestFit="1" customWidth="1"/>
    <col min="6955" max="6955" width="10.7109375" style="1491" bestFit="1" customWidth="1"/>
    <col min="6956" max="6956" width="9.5703125" style="1491" bestFit="1" customWidth="1"/>
    <col min="6957" max="6957" width="10.42578125" style="1491" bestFit="1" customWidth="1"/>
    <col min="6958" max="6958" width="9.5703125" style="1491" bestFit="1" customWidth="1"/>
    <col min="6959" max="6959" width="10.7109375" style="1491" bestFit="1" customWidth="1"/>
    <col min="6960" max="6960" width="9.5703125" style="1491" bestFit="1" customWidth="1"/>
    <col min="6961" max="6961" width="10.7109375" style="1491" bestFit="1" customWidth="1"/>
    <col min="6962" max="6962" width="9.140625" style="1491" bestFit="1" customWidth="1"/>
    <col min="6963" max="6963" width="10.7109375" style="1491" bestFit="1" customWidth="1"/>
    <col min="6964" max="6964" width="9.5703125" style="1491" bestFit="1" customWidth="1"/>
    <col min="6965" max="6965" width="10.42578125" style="1491" bestFit="1" customWidth="1"/>
    <col min="6966" max="6966" width="9.140625" style="1491" bestFit="1" customWidth="1"/>
    <col min="6967" max="6967" width="10" style="1491" bestFit="1" customWidth="1"/>
    <col min="6968" max="6970" width="10.42578125" style="1491" bestFit="1" customWidth="1"/>
    <col min="6971" max="6971" width="10" style="1491" bestFit="1" customWidth="1"/>
    <col min="6972" max="6972" width="10.7109375" style="1491" bestFit="1" customWidth="1"/>
    <col min="6973" max="6973" width="10.42578125" style="1491" bestFit="1" customWidth="1"/>
    <col min="6974" max="6974" width="10.7109375" style="1491" bestFit="1" customWidth="1"/>
    <col min="6975" max="6977" width="10" style="1491" bestFit="1" customWidth="1"/>
    <col min="6978" max="6978" width="10.7109375" style="1491" bestFit="1" customWidth="1"/>
    <col min="6979" max="6979" width="10.42578125" style="1491" bestFit="1" customWidth="1"/>
    <col min="6980" max="6980" width="10.7109375" style="1491" bestFit="1" customWidth="1"/>
    <col min="6981" max="6981" width="10.42578125" style="1491" bestFit="1" customWidth="1"/>
    <col min="6982" max="6984" width="10" style="1491" bestFit="1" customWidth="1"/>
    <col min="6985" max="6985" width="10.42578125" style="1491" bestFit="1" customWidth="1"/>
    <col min="6986" max="6986" width="10" style="1491" bestFit="1" customWidth="1"/>
    <col min="6987" max="6990" width="10.42578125" style="1491" bestFit="1" customWidth="1"/>
    <col min="6991" max="6991" width="10" style="1491" bestFit="1" customWidth="1"/>
    <col min="6992" max="6992" width="10.42578125" style="1491" bestFit="1" customWidth="1"/>
    <col min="6993" max="6993" width="10.7109375" style="1491" bestFit="1" customWidth="1"/>
    <col min="6994" max="6994" width="10" style="1491" bestFit="1" customWidth="1"/>
    <col min="6995" max="6996" width="10.42578125" style="1491" bestFit="1" customWidth="1"/>
    <col min="6997" max="6999" width="10" style="1491" bestFit="1" customWidth="1"/>
    <col min="7000" max="7000" width="10.7109375" style="1491" bestFit="1" customWidth="1"/>
    <col min="7001" max="7001" width="10" style="1491" bestFit="1" customWidth="1"/>
    <col min="7002" max="7002" width="10.42578125" style="1491" bestFit="1" customWidth="1"/>
    <col min="7003" max="7004" width="10.7109375" style="1491" bestFit="1" customWidth="1"/>
    <col min="7005" max="7005" width="10" style="1491" bestFit="1" customWidth="1"/>
    <col min="7006" max="7007" width="10.42578125" style="1491" bestFit="1" customWidth="1"/>
    <col min="7008" max="7008" width="10.7109375" style="1491" bestFit="1" customWidth="1"/>
    <col min="7009" max="7009" width="10.42578125" style="1491" bestFit="1" customWidth="1"/>
    <col min="7010" max="7012" width="10.7109375" style="1491" bestFit="1" customWidth="1"/>
    <col min="7013" max="7014" width="0" style="1491" hidden="1" customWidth="1"/>
    <col min="7015" max="7015" width="10.7109375" style="1491" bestFit="1" customWidth="1"/>
    <col min="7016" max="7017" width="10.42578125" style="1491" bestFit="1" customWidth="1"/>
    <col min="7018" max="7020" width="10.7109375" style="1491" bestFit="1" customWidth="1"/>
    <col min="7021" max="7022" width="10.42578125" style="1491" bestFit="1" customWidth="1"/>
    <col min="7023" max="7023" width="10.7109375" style="1491" bestFit="1" customWidth="1"/>
    <col min="7024" max="7024" width="10.42578125" style="1491" bestFit="1" customWidth="1"/>
    <col min="7025" max="7029" width="10.7109375" style="1491" bestFit="1" customWidth="1"/>
    <col min="7030" max="7031" width="10.42578125" style="1491" bestFit="1" customWidth="1"/>
    <col min="7032" max="7033" width="10.7109375" style="1491" bestFit="1" customWidth="1"/>
    <col min="7034" max="7034" width="10.42578125" style="1491" bestFit="1" customWidth="1"/>
    <col min="7035" max="7038" width="10.7109375" style="1491" bestFit="1" customWidth="1"/>
    <col min="7039" max="7039" width="10.42578125" style="1491" bestFit="1" customWidth="1"/>
    <col min="7040" max="7040" width="10.5703125" style="1491" customWidth="1"/>
    <col min="7041" max="7043" width="10.7109375" style="1491" bestFit="1" customWidth="1"/>
    <col min="7044" max="7044" width="10.42578125" style="1491" bestFit="1" customWidth="1"/>
    <col min="7045" max="7046" width="10.7109375" style="1491" bestFit="1" customWidth="1"/>
    <col min="7047" max="7047" width="10.42578125" style="1491" bestFit="1" customWidth="1"/>
    <col min="7048" max="7050" width="10.7109375" style="1491" bestFit="1" customWidth="1"/>
    <col min="7051" max="7051" width="10" style="1491" bestFit="1" customWidth="1"/>
    <col min="7052" max="7054" width="10.7109375" style="1491" bestFit="1" customWidth="1"/>
    <col min="7055" max="7055" width="10.42578125" style="1491" bestFit="1" customWidth="1"/>
    <col min="7056" max="7056" width="10.7109375" style="1491" bestFit="1" customWidth="1"/>
    <col min="7057" max="7159" width="7.5703125" style="1491"/>
    <col min="7160" max="7160" width="44.5703125" style="1491" customWidth="1"/>
    <col min="7161" max="7161" width="11.42578125" style="1491" customWidth="1"/>
    <col min="7162" max="7162" width="9.28515625" style="1491" customWidth="1"/>
    <col min="7163" max="7163" width="11" style="1491" customWidth="1"/>
    <col min="7164" max="7164" width="11.140625" style="1491" customWidth="1"/>
    <col min="7165" max="7165" width="8.140625" style="1491" bestFit="1" customWidth="1"/>
    <col min="7166" max="7166" width="7.85546875" style="1491" bestFit="1" customWidth="1"/>
    <col min="7167" max="7167" width="9.5703125" style="1491" bestFit="1" customWidth="1"/>
    <col min="7168" max="7168" width="9" style="1491" bestFit="1" customWidth="1"/>
    <col min="7169" max="7169" width="9.5703125" style="1491" bestFit="1" customWidth="1"/>
    <col min="7170" max="7170" width="9.42578125" style="1491" bestFit="1" customWidth="1"/>
    <col min="7171" max="7171" width="9.140625" style="1491" bestFit="1" customWidth="1"/>
    <col min="7172" max="7172" width="9.42578125" style="1491" bestFit="1" customWidth="1"/>
    <col min="7173" max="7173" width="9.140625" style="1491" bestFit="1" customWidth="1"/>
    <col min="7174" max="7174" width="9.5703125" style="1491" bestFit="1" customWidth="1"/>
    <col min="7175" max="7175" width="9.42578125" style="1491" bestFit="1" customWidth="1"/>
    <col min="7176" max="7178" width="9.140625" style="1491" bestFit="1" customWidth="1"/>
    <col min="7179" max="7179" width="10" style="1491" bestFit="1" customWidth="1"/>
    <col min="7180" max="7180" width="9.140625" style="1491" bestFit="1" customWidth="1"/>
    <col min="7181" max="7181" width="9.42578125" style="1491" bestFit="1" customWidth="1"/>
    <col min="7182" max="7182" width="8.7109375" style="1491" bestFit="1" customWidth="1"/>
    <col min="7183" max="7183" width="9" style="1491" bestFit="1" customWidth="1"/>
    <col min="7184" max="7184" width="9.42578125" style="1491" bestFit="1" customWidth="1"/>
    <col min="7185" max="7185" width="10" style="1491" bestFit="1" customWidth="1"/>
    <col min="7186" max="7186" width="8.85546875" style="1491" bestFit="1" customWidth="1"/>
    <col min="7187" max="7187" width="10.42578125" style="1491" bestFit="1" customWidth="1"/>
    <col min="7188" max="7188" width="8.85546875" style="1491" bestFit="1" customWidth="1"/>
    <col min="7189" max="7189" width="10.42578125" style="1491" bestFit="1" customWidth="1"/>
    <col min="7190" max="7191" width="9.5703125" style="1491" bestFit="1" customWidth="1"/>
    <col min="7192" max="7192" width="9.140625" style="1491" bestFit="1" customWidth="1"/>
    <col min="7193" max="7193" width="10" style="1491" bestFit="1" customWidth="1"/>
    <col min="7194" max="7194" width="9.140625" style="1491" bestFit="1" customWidth="1"/>
    <col min="7195" max="7195" width="10.42578125" style="1491" bestFit="1" customWidth="1"/>
    <col min="7196" max="7196" width="9.5703125" style="1491" bestFit="1" customWidth="1"/>
    <col min="7197" max="7197" width="10.42578125" style="1491" bestFit="1" customWidth="1"/>
    <col min="7198" max="7198" width="9.5703125" style="1491" bestFit="1" customWidth="1"/>
    <col min="7199" max="7199" width="10" style="1491" bestFit="1" customWidth="1"/>
    <col min="7200" max="7200" width="9.5703125" style="1491" bestFit="1" customWidth="1"/>
    <col min="7201" max="7201" width="10" style="1491" bestFit="1" customWidth="1"/>
    <col min="7202" max="7202" width="9.5703125" style="1491" bestFit="1" customWidth="1"/>
    <col min="7203" max="7203" width="10.7109375" style="1491" bestFit="1" customWidth="1"/>
    <col min="7204" max="7204" width="9.5703125" style="1491" bestFit="1" customWidth="1"/>
    <col min="7205" max="7205" width="10.7109375" style="1491" bestFit="1" customWidth="1"/>
    <col min="7206" max="7206" width="9.5703125" style="1491" bestFit="1" customWidth="1"/>
    <col min="7207" max="7207" width="10.7109375" style="1491" bestFit="1" customWidth="1"/>
    <col min="7208" max="7208" width="9.5703125" style="1491" bestFit="1" customWidth="1"/>
    <col min="7209" max="7209" width="10.7109375" style="1491" bestFit="1" customWidth="1"/>
    <col min="7210" max="7210" width="9.140625" style="1491" bestFit="1" customWidth="1"/>
    <col min="7211" max="7211" width="10.7109375" style="1491" bestFit="1" customWidth="1"/>
    <col min="7212" max="7212" width="9.5703125" style="1491" bestFit="1" customWidth="1"/>
    <col min="7213" max="7213" width="10.42578125" style="1491" bestFit="1" customWidth="1"/>
    <col min="7214" max="7214" width="9.5703125" style="1491" bestFit="1" customWidth="1"/>
    <col min="7215" max="7215" width="10.7109375" style="1491" bestFit="1" customWidth="1"/>
    <col min="7216" max="7216" width="9.5703125" style="1491" bestFit="1" customWidth="1"/>
    <col min="7217" max="7217" width="10.7109375" style="1491" bestFit="1" customWidth="1"/>
    <col min="7218" max="7218" width="9.140625" style="1491" bestFit="1" customWidth="1"/>
    <col min="7219" max="7219" width="10.7109375" style="1491" bestFit="1" customWidth="1"/>
    <col min="7220" max="7220" width="9.5703125" style="1491" bestFit="1" customWidth="1"/>
    <col min="7221" max="7221" width="10.42578125" style="1491" bestFit="1" customWidth="1"/>
    <col min="7222" max="7222" width="9.140625" style="1491" bestFit="1" customWidth="1"/>
    <col min="7223" max="7223" width="10" style="1491" bestFit="1" customWidth="1"/>
    <col min="7224" max="7226" width="10.42578125" style="1491" bestFit="1" customWidth="1"/>
    <col min="7227" max="7227" width="10" style="1491" bestFit="1" customWidth="1"/>
    <col min="7228" max="7228" width="10.7109375" style="1491" bestFit="1" customWidth="1"/>
    <col min="7229" max="7229" width="10.42578125" style="1491" bestFit="1" customWidth="1"/>
    <col min="7230" max="7230" width="10.7109375" style="1491" bestFit="1" customWidth="1"/>
    <col min="7231" max="7233" width="10" style="1491" bestFit="1" customWidth="1"/>
    <col min="7234" max="7234" width="10.7109375" style="1491" bestFit="1" customWidth="1"/>
    <col min="7235" max="7235" width="10.42578125" style="1491" bestFit="1" customWidth="1"/>
    <col min="7236" max="7236" width="10.7109375" style="1491" bestFit="1" customWidth="1"/>
    <col min="7237" max="7237" width="10.42578125" style="1491" bestFit="1" customWidth="1"/>
    <col min="7238" max="7240" width="10" style="1491" bestFit="1" customWidth="1"/>
    <col min="7241" max="7241" width="10.42578125" style="1491" bestFit="1" customWidth="1"/>
    <col min="7242" max="7242" width="10" style="1491" bestFit="1" customWidth="1"/>
    <col min="7243" max="7246" width="10.42578125" style="1491" bestFit="1" customWidth="1"/>
    <col min="7247" max="7247" width="10" style="1491" bestFit="1" customWidth="1"/>
    <col min="7248" max="7248" width="10.42578125" style="1491" bestFit="1" customWidth="1"/>
    <col min="7249" max="7249" width="10.7109375" style="1491" bestFit="1" customWidth="1"/>
    <col min="7250" max="7250" width="10" style="1491" bestFit="1" customWidth="1"/>
    <col min="7251" max="7252" width="10.42578125" style="1491" bestFit="1" customWidth="1"/>
    <col min="7253" max="7255" width="10" style="1491" bestFit="1" customWidth="1"/>
    <col min="7256" max="7256" width="10.7109375" style="1491" bestFit="1" customWidth="1"/>
    <col min="7257" max="7257" width="10" style="1491" bestFit="1" customWidth="1"/>
    <col min="7258" max="7258" width="10.42578125" style="1491" bestFit="1" customWidth="1"/>
    <col min="7259" max="7260" width="10.7109375" style="1491" bestFit="1" customWidth="1"/>
    <col min="7261" max="7261" width="10" style="1491" bestFit="1" customWidth="1"/>
    <col min="7262" max="7263" width="10.42578125" style="1491" bestFit="1" customWidth="1"/>
    <col min="7264" max="7264" width="10.7109375" style="1491" bestFit="1" customWidth="1"/>
    <col min="7265" max="7265" width="10.42578125" style="1491" bestFit="1" customWidth="1"/>
    <col min="7266" max="7268" width="10.7109375" style="1491" bestFit="1" customWidth="1"/>
    <col min="7269" max="7270" width="0" style="1491" hidden="1" customWidth="1"/>
    <col min="7271" max="7271" width="10.7109375" style="1491" bestFit="1" customWidth="1"/>
    <col min="7272" max="7273" width="10.42578125" style="1491" bestFit="1" customWidth="1"/>
    <col min="7274" max="7276" width="10.7109375" style="1491" bestFit="1" customWidth="1"/>
    <col min="7277" max="7278" width="10.42578125" style="1491" bestFit="1" customWidth="1"/>
    <col min="7279" max="7279" width="10.7109375" style="1491" bestFit="1" customWidth="1"/>
    <col min="7280" max="7280" width="10.42578125" style="1491" bestFit="1" customWidth="1"/>
    <col min="7281" max="7285" width="10.7109375" style="1491" bestFit="1" customWidth="1"/>
    <col min="7286" max="7287" width="10.42578125" style="1491" bestFit="1" customWidth="1"/>
    <col min="7288" max="7289" width="10.7109375" style="1491" bestFit="1" customWidth="1"/>
    <col min="7290" max="7290" width="10.42578125" style="1491" bestFit="1" customWidth="1"/>
    <col min="7291" max="7294" width="10.7109375" style="1491" bestFit="1" customWidth="1"/>
    <col min="7295" max="7295" width="10.42578125" style="1491" bestFit="1" customWidth="1"/>
    <col min="7296" max="7296" width="10.5703125" style="1491" customWidth="1"/>
    <col min="7297" max="7299" width="10.7109375" style="1491" bestFit="1" customWidth="1"/>
    <col min="7300" max="7300" width="10.42578125" style="1491" bestFit="1" customWidth="1"/>
    <col min="7301" max="7302" width="10.7109375" style="1491" bestFit="1" customWidth="1"/>
    <col min="7303" max="7303" width="10.42578125" style="1491" bestFit="1" customWidth="1"/>
    <col min="7304" max="7306" width="10.7109375" style="1491" bestFit="1" customWidth="1"/>
    <col min="7307" max="7307" width="10" style="1491" bestFit="1" customWidth="1"/>
    <col min="7308" max="7310" width="10.7109375" style="1491" bestFit="1" customWidth="1"/>
    <col min="7311" max="7311" width="10.42578125" style="1491" bestFit="1" customWidth="1"/>
    <col min="7312" max="7312" width="10.7109375" style="1491" bestFit="1" customWidth="1"/>
    <col min="7313" max="7415" width="7.5703125" style="1491"/>
    <col min="7416" max="7416" width="44.5703125" style="1491" customWidth="1"/>
    <col min="7417" max="7417" width="11.42578125" style="1491" customWidth="1"/>
    <col min="7418" max="7418" width="9.28515625" style="1491" customWidth="1"/>
    <col min="7419" max="7419" width="11" style="1491" customWidth="1"/>
    <col min="7420" max="7420" width="11.140625" style="1491" customWidth="1"/>
    <col min="7421" max="7421" width="8.140625" style="1491" bestFit="1" customWidth="1"/>
    <col min="7422" max="7422" width="7.85546875" style="1491" bestFit="1" customWidth="1"/>
    <col min="7423" max="7423" width="9.5703125" style="1491" bestFit="1" customWidth="1"/>
    <col min="7424" max="7424" width="9" style="1491" bestFit="1" customWidth="1"/>
    <col min="7425" max="7425" width="9.5703125" style="1491" bestFit="1" customWidth="1"/>
    <col min="7426" max="7426" width="9.42578125" style="1491" bestFit="1" customWidth="1"/>
    <col min="7427" max="7427" width="9.140625" style="1491" bestFit="1" customWidth="1"/>
    <col min="7428" max="7428" width="9.42578125" style="1491" bestFit="1" customWidth="1"/>
    <col min="7429" max="7429" width="9.140625" style="1491" bestFit="1" customWidth="1"/>
    <col min="7430" max="7430" width="9.5703125" style="1491" bestFit="1" customWidth="1"/>
    <col min="7431" max="7431" width="9.42578125" style="1491" bestFit="1" customWidth="1"/>
    <col min="7432" max="7434" width="9.140625" style="1491" bestFit="1" customWidth="1"/>
    <col min="7435" max="7435" width="10" style="1491" bestFit="1" customWidth="1"/>
    <col min="7436" max="7436" width="9.140625" style="1491" bestFit="1" customWidth="1"/>
    <col min="7437" max="7437" width="9.42578125" style="1491" bestFit="1" customWidth="1"/>
    <col min="7438" max="7438" width="8.7109375" style="1491" bestFit="1" customWidth="1"/>
    <col min="7439" max="7439" width="9" style="1491" bestFit="1" customWidth="1"/>
    <col min="7440" max="7440" width="9.42578125" style="1491" bestFit="1" customWidth="1"/>
    <col min="7441" max="7441" width="10" style="1491" bestFit="1" customWidth="1"/>
    <col min="7442" max="7442" width="8.85546875" style="1491" bestFit="1" customWidth="1"/>
    <col min="7443" max="7443" width="10.42578125" style="1491" bestFit="1" customWidth="1"/>
    <col min="7444" max="7444" width="8.85546875" style="1491" bestFit="1" customWidth="1"/>
    <col min="7445" max="7445" width="10.42578125" style="1491" bestFit="1" customWidth="1"/>
    <col min="7446" max="7447" width="9.5703125" style="1491" bestFit="1" customWidth="1"/>
    <col min="7448" max="7448" width="9.140625" style="1491" bestFit="1" customWidth="1"/>
    <col min="7449" max="7449" width="10" style="1491" bestFit="1" customWidth="1"/>
    <col min="7450" max="7450" width="9.140625" style="1491" bestFit="1" customWidth="1"/>
    <col min="7451" max="7451" width="10.42578125" style="1491" bestFit="1" customWidth="1"/>
    <col min="7452" max="7452" width="9.5703125" style="1491" bestFit="1" customWidth="1"/>
    <col min="7453" max="7453" width="10.42578125" style="1491" bestFit="1" customWidth="1"/>
    <col min="7454" max="7454" width="9.5703125" style="1491" bestFit="1" customWidth="1"/>
    <col min="7455" max="7455" width="10" style="1491" bestFit="1" customWidth="1"/>
    <col min="7456" max="7456" width="9.5703125" style="1491" bestFit="1" customWidth="1"/>
    <col min="7457" max="7457" width="10" style="1491" bestFit="1" customWidth="1"/>
    <col min="7458" max="7458" width="9.5703125" style="1491" bestFit="1" customWidth="1"/>
    <col min="7459" max="7459" width="10.7109375" style="1491" bestFit="1" customWidth="1"/>
    <col min="7460" max="7460" width="9.5703125" style="1491" bestFit="1" customWidth="1"/>
    <col min="7461" max="7461" width="10.7109375" style="1491" bestFit="1" customWidth="1"/>
    <col min="7462" max="7462" width="9.5703125" style="1491" bestFit="1" customWidth="1"/>
    <col min="7463" max="7463" width="10.7109375" style="1491" bestFit="1" customWidth="1"/>
    <col min="7464" max="7464" width="9.5703125" style="1491" bestFit="1" customWidth="1"/>
    <col min="7465" max="7465" width="10.7109375" style="1491" bestFit="1" customWidth="1"/>
    <col min="7466" max="7466" width="9.140625" style="1491" bestFit="1" customWidth="1"/>
    <col min="7467" max="7467" width="10.7109375" style="1491" bestFit="1" customWidth="1"/>
    <col min="7468" max="7468" width="9.5703125" style="1491" bestFit="1" customWidth="1"/>
    <col min="7469" max="7469" width="10.42578125" style="1491" bestFit="1" customWidth="1"/>
    <col min="7470" max="7470" width="9.5703125" style="1491" bestFit="1" customWidth="1"/>
    <col min="7471" max="7471" width="10.7109375" style="1491" bestFit="1" customWidth="1"/>
    <col min="7472" max="7472" width="9.5703125" style="1491" bestFit="1" customWidth="1"/>
    <col min="7473" max="7473" width="10.7109375" style="1491" bestFit="1" customWidth="1"/>
    <col min="7474" max="7474" width="9.140625" style="1491" bestFit="1" customWidth="1"/>
    <col min="7475" max="7475" width="10.7109375" style="1491" bestFit="1" customWidth="1"/>
    <col min="7476" max="7476" width="9.5703125" style="1491" bestFit="1" customWidth="1"/>
    <col min="7477" max="7477" width="10.42578125" style="1491" bestFit="1" customWidth="1"/>
    <col min="7478" max="7478" width="9.140625" style="1491" bestFit="1" customWidth="1"/>
    <col min="7479" max="7479" width="10" style="1491" bestFit="1" customWidth="1"/>
    <col min="7480" max="7482" width="10.42578125" style="1491" bestFit="1" customWidth="1"/>
    <col min="7483" max="7483" width="10" style="1491" bestFit="1" customWidth="1"/>
    <col min="7484" max="7484" width="10.7109375" style="1491" bestFit="1" customWidth="1"/>
    <col min="7485" max="7485" width="10.42578125" style="1491" bestFit="1" customWidth="1"/>
    <col min="7486" max="7486" width="10.7109375" style="1491" bestFit="1" customWidth="1"/>
    <col min="7487" max="7489" width="10" style="1491" bestFit="1" customWidth="1"/>
    <col min="7490" max="7490" width="10.7109375" style="1491" bestFit="1" customWidth="1"/>
    <col min="7491" max="7491" width="10.42578125" style="1491" bestFit="1" customWidth="1"/>
    <col min="7492" max="7492" width="10.7109375" style="1491" bestFit="1" customWidth="1"/>
    <col min="7493" max="7493" width="10.42578125" style="1491" bestFit="1" customWidth="1"/>
    <col min="7494" max="7496" width="10" style="1491" bestFit="1" customWidth="1"/>
    <col min="7497" max="7497" width="10.42578125" style="1491" bestFit="1" customWidth="1"/>
    <col min="7498" max="7498" width="10" style="1491" bestFit="1" customWidth="1"/>
    <col min="7499" max="7502" width="10.42578125" style="1491" bestFit="1" customWidth="1"/>
    <col min="7503" max="7503" width="10" style="1491" bestFit="1" customWidth="1"/>
    <col min="7504" max="7504" width="10.42578125" style="1491" bestFit="1" customWidth="1"/>
    <col min="7505" max="7505" width="10.7109375" style="1491" bestFit="1" customWidth="1"/>
    <col min="7506" max="7506" width="10" style="1491" bestFit="1" customWidth="1"/>
    <col min="7507" max="7508" width="10.42578125" style="1491" bestFit="1" customWidth="1"/>
    <col min="7509" max="7511" width="10" style="1491" bestFit="1" customWidth="1"/>
    <col min="7512" max="7512" width="10.7109375" style="1491" bestFit="1" customWidth="1"/>
    <col min="7513" max="7513" width="10" style="1491" bestFit="1" customWidth="1"/>
    <col min="7514" max="7514" width="10.42578125" style="1491" bestFit="1" customWidth="1"/>
    <col min="7515" max="7516" width="10.7109375" style="1491" bestFit="1" customWidth="1"/>
    <col min="7517" max="7517" width="10" style="1491" bestFit="1" customWidth="1"/>
    <col min="7518" max="7519" width="10.42578125" style="1491" bestFit="1" customWidth="1"/>
    <col min="7520" max="7520" width="10.7109375" style="1491" bestFit="1" customWidth="1"/>
    <col min="7521" max="7521" width="10.42578125" style="1491" bestFit="1" customWidth="1"/>
    <col min="7522" max="7524" width="10.7109375" style="1491" bestFit="1" customWidth="1"/>
    <col min="7525" max="7526" width="0" style="1491" hidden="1" customWidth="1"/>
    <col min="7527" max="7527" width="10.7109375" style="1491" bestFit="1" customWidth="1"/>
    <col min="7528" max="7529" width="10.42578125" style="1491" bestFit="1" customWidth="1"/>
    <col min="7530" max="7532" width="10.7109375" style="1491" bestFit="1" customWidth="1"/>
    <col min="7533" max="7534" width="10.42578125" style="1491" bestFit="1" customWidth="1"/>
    <col min="7535" max="7535" width="10.7109375" style="1491" bestFit="1" customWidth="1"/>
    <col min="7536" max="7536" width="10.42578125" style="1491" bestFit="1" customWidth="1"/>
    <col min="7537" max="7541" width="10.7109375" style="1491" bestFit="1" customWidth="1"/>
    <col min="7542" max="7543" width="10.42578125" style="1491" bestFit="1" customWidth="1"/>
    <col min="7544" max="7545" width="10.7109375" style="1491" bestFit="1" customWidth="1"/>
    <col min="7546" max="7546" width="10.42578125" style="1491" bestFit="1" customWidth="1"/>
    <col min="7547" max="7550" width="10.7109375" style="1491" bestFit="1" customWidth="1"/>
    <col min="7551" max="7551" width="10.42578125" style="1491" bestFit="1" customWidth="1"/>
    <col min="7552" max="7552" width="10.5703125" style="1491" customWidth="1"/>
    <col min="7553" max="7555" width="10.7109375" style="1491" bestFit="1" customWidth="1"/>
    <col min="7556" max="7556" width="10.42578125" style="1491" bestFit="1" customWidth="1"/>
    <col min="7557" max="7558" width="10.7109375" style="1491" bestFit="1" customWidth="1"/>
    <col min="7559" max="7559" width="10.42578125" style="1491" bestFit="1" customWidth="1"/>
    <col min="7560" max="7562" width="10.7109375" style="1491" bestFit="1" customWidth="1"/>
    <col min="7563" max="7563" width="10" style="1491" bestFit="1" customWidth="1"/>
    <col min="7564" max="7566" width="10.7109375" style="1491" bestFit="1" customWidth="1"/>
    <col min="7567" max="7567" width="10.42578125" style="1491" bestFit="1" customWidth="1"/>
    <col min="7568" max="7568" width="10.7109375" style="1491" bestFit="1" customWidth="1"/>
    <col min="7569" max="7671" width="7.5703125" style="1491"/>
    <col min="7672" max="7672" width="44.5703125" style="1491" customWidth="1"/>
    <col min="7673" max="7673" width="11.42578125" style="1491" customWidth="1"/>
    <col min="7674" max="7674" width="9.28515625" style="1491" customWidth="1"/>
    <col min="7675" max="7675" width="11" style="1491" customWidth="1"/>
    <col min="7676" max="7676" width="11.140625" style="1491" customWidth="1"/>
    <col min="7677" max="7677" width="8.140625" style="1491" bestFit="1" customWidth="1"/>
    <col min="7678" max="7678" width="7.85546875" style="1491" bestFit="1" customWidth="1"/>
    <col min="7679" max="7679" width="9.5703125" style="1491" bestFit="1" customWidth="1"/>
    <col min="7680" max="7680" width="9" style="1491" bestFit="1" customWidth="1"/>
    <col min="7681" max="7681" width="9.5703125" style="1491" bestFit="1" customWidth="1"/>
    <col min="7682" max="7682" width="9.42578125" style="1491" bestFit="1" customWidth="1"/>
    <col min="7683" max="7683" width="9.140625" style="1491" bestFit="1" customWidth="1"/>
    <col min="7684" max="7684" width="9.42578125" style="1491" bestFit="1" customWidth="1"/>
    <col min="7685" max="7685" width="9.140625" style="1491" bestFit="1" customWidth="1"/>
    <col min="7686" max="7686" width="9.5703125" style="1491" bestFit="1" customWidth="1"/>
    <col min="7687" max="7687" width="9.42578125" style="1491" bestFit="1" customWidth="1"/>
    <col min="7688" max="7690" width="9.140625" style="1491" bestFit="1" customWidth="1"/>
    <col min="7691" max="7691" width="10" style="1491" bestFit="1" customWidth="1"/>
    <col min="7692" max="7692" width="9.140625" style="1491" bestFit="1" customWidth="1"/>
    <col min="7693" max="7693" width="9.42578125" style="1491" bestFit="1" customWidth="1"/>
    <col min="7694" max="7694" width="8.7109375" style="1491" bestFit="1" customWidth="1"/>
    <col min="7695" max="7695" width="9" style="1491" bestFit="1" customWidth="1"/>
    <col min="7696" max="7696" width="9.42578125" style="1491" bestFit="1" customWidth="1"/>
    <col min="7697" max="7697" width="10" style="1491" bestFit="1" customWidth="1"/>
    <col min="7698" max="7698" width="8.85546875" style="1491" bestFit="1" customWidth="1"/>
    <col min="7699" max="7699" width="10.42578125" style="1491" bestFit="1" customWidth="1"/>
    <col min="7700" max="7700" width="8.85546875" style="1491" bestFit="1" customWidth="1"/>
    <col min="7701" max="7701" width="10.42578125" style="1491" bestFit="1" customWidth="1"/>
    <col min="7702" max="7703" width="9.5703125" style="1491" bestFit="1" customWidth="1"/>
    <col min="7704" max="7704" width="9.140625" style="1491" bestFit="1" customWidth="1"/>
    <col min="7705" max="7705" width="10" style="1491" bestFit="1" customWidth="1"/>
    <col min="7706" max="7706" width="9.140625" style="1491" bestFit="1" customWidth="1"/>
    <col min="7707" max="7707" width="10.42578125" style="1491" bestFit="1" customWidth="1"/>
    <col min="7708" max="7708" width="9.5703125" style="1491" bestFit="1" customWidth="1"/>
    <col min="7709" max="7709" width="10.42578125" style="1491" bestFit="1" customWidth="1"/>
    <col min="7710" max="7710" width="9.5703125" style="1491" bestFit="1" customWidth="1"/>
    <col min="7711" max="7711" width="10" style="1491" bestFit="1" customWidth="1"/>
    <col min="7712" max="7712" width="9.5703125" style="1491" bestFit="1" customWidth="1"/>
    <col min="7713" max="7713" width="10" style="1491" bestFit="1" customWidth="1"/>
    <col min="7714" max="7714" width="9.5703125" style="1491" bestFit="1" customWidth="1"/>
    <col min="7715" max="7715" width="10.7109375" style="1491" bestFit="1" customWidth="1"/>
    <col min="7716" max="7716" width="9.5703125" style="1491" bestFit="1" customWidth="1"/>
    <col min="7717" max="7717" width="10.7109375" style="1491" bestFit="1" customWidth="1"/>
    <col min="7718" max="7718" width="9.5703125" style="1491" bestFit="1" customWidth="1"/>
    <col min="7719" max="7719" width="10.7109375" style="1491" bestFit="1" customWidth="1"/>
    <col min="7720" max="7720" width="9.5703125" style="1491" bestFit="1" customWidth="1"/>
    <col min="7721" max="7721" width="10.7109375" style="1491" bestFit="1" customWidth="1"/>
    <col min="7722" max="7722" width="9.140625" style="1491" bestFit="1" customWidth="1"/>
    <col min="7723" max="7723" width="10.7109375" style="1491" bestFit="1" customWidth="1"/>
    <col min="7724" max="7724" width="9.5703125" style="1491" bestFit="1" customWidth="1"/>
    <col min="7725" max="7725" width="10.42578125" style="1491" bestFit="1" customWidth="1"/>
    <col min="7726" max="7726" width="9.5703125" style="1491" bestFit="1" customWidth="1"/>
    <col min="7727" max="7727" width="10.7109375" style="1491" bestFit="1" customWidth="1"/>
    <col min="7728" max="7728" width="9.5703125" style="1491" bestFit="1" customWidth="1"/>
    <col min="7729" max="7729" width="10.7109375" style="1491" bestFit="1" customWidth="1"/>
    <col min="7730" max="7730" width="9.140625" style="1491" bestFit="1" customWidth="1"/>
    <col min="7731" max="7731" width="10.7109375" style="1491" bestFit="1" customWidth="1"/>
    <col min="7732" max="7732" width="9.5703125" style="1491" bestFit="1" customWidth="1"/>
    <col min="7733" max="7733" width="10.42578125" style="1491" bestFit="1" customWidth="1"/>
    <col min="7734" max="7734" width="9.140625" style="1491" bestFit="1" customWidth="1"/>
    <col min="7735" max="7735" width="10" style="1491" bestFit="1" customWidth="1"/>
    <col min="7736" max="7738" width="10.42578125" style="1491" bestFit="1" customWidth="1"/>
    <col min="7739" max="7739" width="10" style="1491" bestFit="1" customWidth="1"/>
    <col min="7740" max="7740" width="10.7109375" style="1491" bestFit="1" customWidth="1"/>
    <col min="7741" max="7741" width="10.42578125" style="1491" bestFit="1" customWidth="1"/>
    <col min="7742" max="7742" width="10.7109375" style="1491" bestFit="1" customWidth="1"/>
    <col min="7743" max="7745" width="10" style="1491" bestFit="1" customWidth="1"/>
    <col min="7746" max="7746" width="10.7109375" style="1491" bestFit="1" customWidth="1"/>
    <col min="7747" max="7747" width="10.42578125" style="1491" bestFit="1" customWidth="1"/>
    <col min="7748" max="7748" width="10.7109375" style="1491" bestFit="1" customWidth="1"/>
    <col min="7749" max="7749" width="10.42578125" style="1491" bestFit="1" customWidth="1"/>
    <col min="7750" max="7752" width="10" style="1491" bestFit="1" customWidth="1"/>
    <col min="7753" max="7753" width="10.42578125" style="1491" bestFit="1" customWidth="1"/>
    <col min="7754" max="7754" width="10" style="1491" bestFit="1" customWidth="1"/>
    <col min="7755" max="7758" width="10.42578125" style="1491" bestFit="1" customWidth="1"/>
    <col min="7759" max="7759" width="10" style="1491" bestFit="1" customWidth="1"/>
    <col min="7760" max="7760" width="10.42578125" style="1491" bestFit="1" customWidth="1"/>
    <col min="7761" max="7761" width="10.7109375" style="1491" bestFit="1" customWidth="1"/>
    <col min="7762" max="7762" width="10" style="1491" bestFit="1" customWidth="1"/>
    <col min="7763" max="7764" width="10.42578125" style="1491" bestFit="1" customWidth="1"/>
    <col min="7765" max="7767" width="10" style="1491" bestFit="1" customWidth="1"/>
    <col min="7768" max="7768" width="10.7109375" style="1491" bestFit="1" customWidth="1"/>
    <col min="7769" max="7769" width="10" style="1491" bestFit="1" customWidth="1"/>
    <col min="7770" max="7770" width="10.42578125" style="1491" bestFit="1" customWidth="1"/>
    <col min="7771" max="7772" width="10.7109375" style="1491" bestFit="1" customWidth="1"/>
    <col min="7773" max="7773" width="10" style="1491" bestFit="1" customWidth="1"/>
    <col min="7774" max="7775" width="10.42578125" style="1491" bestFit="1" customWidth="1"/>
    <col min="7776" max="7776" width="10.7109375" style="1491" bestFit="1" customWidth="1"/>
    <col min="7777" max="7777" width="10.42578125" style="1491" bestFit="1" customWidth="1"/>
    <col min="7778" max="7780" width="10.7109375" style="1491" bestFit="1" customWidth="1"/>
    <col min="7781" max="7782" width="0" style="1491" hidden="1" customWidth="1"/>
    <col min="7783" max="7783" width="10.7109375" style="1491" bestFit="1" customWidth="1"/>
    <col min="7784" max="7785" width="10.42578125" style="1491" bestFit="1" customWidth="1"/>
    <col min="7786" max="7788" width="10.7109375" style="1491" bestFit="1" customWidth="1"/>
    <col min="7789" max="7790" width="10.42578125" style="1491" bestFit="1" customWidth="1"/>
    <col min="7791" max="7791" width="10.7109375" style="1491" bestFit="1" customWidth="1"/>
    <col min="7792" max="7792" width="10.42578125" style="1491" bestFit="1" customWidth="1"/>
    <col min="7793" max="7797" width="10.7109375" style="1491" bestFit="1" customWidth="1"/>
    <col min="7798" max="7799" width="10.42578125" style="1491" bestFit="1" customWidth="1"/>
    <col min="7800" max="7801" width="10.7109375" style="1491" bestFit="1" customWidth="1"/>
    <col min="7802" max="7802" width="10.42578125" style="1491" bestFit="1" customWidth="1"/>
    <col min="7803" max="7806" width="10.7109375" style="1491" bestFit="1" customWidth="1"/>
    <col min="7807" max="7807" width="10.42578125" style="1491" bestFit="1" customWidth="1"/>
    <col min="7808" max="7808" width="10.5703125" style="1491" customWidth="1"/>
    <col min="7809" max="7811" width="10.7109375" style="1491" bestFit="1" customWidth="1"/>
    <col min="7812" max="7812" width="10.42578125" style="1491" bestFit="1" customWidth="1"/>
    <col min="7813" max="7814" width="10.7109375" style="1491" bestFit="1" customWidth="1"/>
    <col min="7815" max="7815" width="10.42578125" style="1491" bestFit="1" customWidth="1"/>
    <col min="7816" max="7818" width="10.7109375" style="1491" bestFit="1" customWidth="1"/>
    <col min="7819" max="7819" width="10" style="1491" bestFit="1" customWidth="1"/>
    <col min="7820" max="7822" width="10.7109375" style="1491" bestFit="1" customWidth="1"/>
    <col min="7823" max="7823" width="10.42578125" style="1491" bestFit="1" customWidth="1"/>
    <col min="7824" max="7824" width="10.7109375" style="1491" bestFit="1" customWidth="1"/>
    <col min="7825" max="7927" width="7.5703125" style="1491"/>
    <col min="7928" max="7928" width="44.5703125" style="1491" customWidth="1"/>
    <col min="7929" max="7929" width="11.42578125" style="1491" customWidth="1"/>
    <col min="7930" max="7930" width="9.28515625" style="1491" customWidth="1"/>
    <col min="7931" max="7931" width="11" style="1491" customWidth="1"/>
    <col min="7932" max="7932" width="11.140625" style="1491" customWidth="1"/>
    <col min="7933" max="7933" width="8.140625" style="1491" bestFit="1" customWidth="1"/>
    <col min="7934" max="7934" width="7.85546875" style="1491" bestFit="1" customWidth="1"/>
    <col min="7935" max="7935" width="9.5703125" style="1491" bestFit="1" customWidth="1"/>
    <col min="7936" max="7936" width="9" style="1491" bestFit="1" customWidth="1"/>
    <col min="7937" max="7937" width="9.5703125" style="1491" bestFit="1" customWidth="1"/>
    <col min="7938" max="7938" width="9.42578125" style="1491" bestFit="1" customWidth="1"/>
    <col min="7939" max="7939" width="9.140625" style="1491" bestFit="1" customWidth="1"/>
    <col min="7940" max="7940" width="9.42578125" style="1491" bestFit="1" customWidth="1"/>
    <col min="7941" max="7941" width="9.140625" style="1491" bestFit="1" customWidth="1"/>
    <col min="7942" max="7942" width="9.5703125" style="1491" bestFit="1" customWidth="1"/>
    <col min="7943" max="7943" width="9.42578125" style="1491" bestFit="1" customWidth="1"/>
    <col min="7944" max="7946" width="9.140625" style="1491" bestFit="1" customWidth="1"/>
    <col min="7947" max="7947" width="10" style="1491" bestFit="1" customWidth="1"/>
    <col min="7948" max="7948" width="9.140625" style="1491" bestFit="1" customWidth="1"/>
    <col min="7949" max="7949" width="9.42578125" style="1491" bestFit="1" customWidth="1"/>
    <col min="7950" max="7950" width="8.7109375" style="1491" bestFit="1" customWidth="1"/>
    <col min="7951" max="7951" width="9" style="1491" bestFit="1" customWidth="1"/>
    <col min="7952" max="7952" width="9.42578125" style="1491" bestFit="1" customWidth="1"/>
    <col min="7953" max="7953" width="10" style="1491" bestFit="1" customWidth="1"/>
    <col min="7954" max="7954" width="8.85546875" style="1491" bestFit="1" customWidth="1"/>
    <col min="7955" max="7955" width="10.42578125" style="1491" bestFit="1" customWidth="1"/>
    <col min="7956" max="7956" width="8.85546875" style="1491" bestFit="1" customWidth="1"/>
    <col min="7957" max="7957" width="10.42578125" style="1491" bestFit="1" customWidth="1"/>
    <col min="7958" max="7959" width="9.5703125" style="1491" bestFit="1" customWidth="1"/>
    <col min="7960" max="7960" width="9.140625" style="1491" bestFit="1" customWidth="1"/>
    <col min="7961" max="7961" width="10" style="1491" bestFit="1" customWidth="1"/>
    <col min="7962" max="7962" width="9.140625" style="1491" bestFit="1" customWidth="1"/>
    <col min="7963" max="7963" width="10.42578125" style="1491" bestFit="1" customWidth="1"/>
    <col min="7964" max="7964" width="9.5703125" style="1491" bestFit="1" customWidth="1"/>
    <col min="7965" max="7965" width="10.42578125" style="1491" bestFit="1" customWidth="1"/>
    <col min="7966" max="7966" width="9.5703125" style="1491" bestFit="1" customWidth="1"/>
    <col min="7967" max="7967" width="10" style="1491" bestFit="1" customWidth="1"/>
    <col min="7968" max="7968" width="9.5703125" style="1491" bestFit="1" customWidth="1"/>
    <col min="7969" max="7969" width="10" style="1491" bestFit="1" customWidth="1"/>
    <col min="7970" max="7970" width="9.5703125" style="1491" bestFit="1" customWidth="1"/>
    <col min="7971" max="7971" width="10.7109375" style="1491" bestFit="1" customWidth="1"/>
    <col min="7972" max="7972" width="9.5703125" style="1491" bestFit="1" customWidth="1"/>
    <col min="7973" max="7973" width="10.7109375" style="1491" bestFit="1" customWidth="1"/>
    <col min="7974" max="7974" width="9.5703125" style="1491" bestFit="1" customWidth="1"/>
    <col min="7975" max="7975" width="10.7109375" style="1491" bestFit="1" customWidth="1"/>
    <col min="7976" max="7976" width="9.5703125" style="1491" bestFit="1" customWidth="1"/>
    <col min="7977" max="7977" width="10.7109375" style="1491" bestFit="1" customWidth="1"/>
    <col min="7978" max="7978" width="9.140625" style="1491" bestFit="1" customWidth="1"/>
    <col min="7979" max="7979" width="10.7109375" style="1491" bestFit="1" customWidth="1"/>
    <col min="7980" max="7980" width="9.5703125" style="1491" bestFit="1" customWidth="1"/>
    <col min="7981" max="7981" width="10.42578125" style="1491" bestFit="1" customWidth="1"/>
    <col min="7982" max="7982" width="9.5703125" style="1491" bestFit="1" customWidth="1"/>
    <col min="7983" max="7983" width="10.7109375" style="1491" bestFit="1" customWidth="1"/>
    <col min="7984" max="7984" width="9.5703125" style="1491" bestFit="1" customWidth="1"/>
    <col min="7985" max="7985" width="10.7109375" style="1491" bestFit="1" customWidth="1"/>
    <col min="7986" max="7986" width="9.140625" style="1491" bestFit="1" customWidth="1"/>
    <col min="7987" max="7987" width="10.7109375" style="1491" bestFit="1" customWidth="1"/>
    <col min="7988" max="7988" width="9.5703125" style="1491" bestFit="1" customWidth="1"/>
    <col min="7989" max="7989" width="10.42578125" style="1491" bestFit="1" customWidth="1"/>
    <col min="7990" max="7990" width="9.140625" style="1491" bestFit="1" customWidth="1"/>
    <col min="7991" max="7991" width="10" style="1491" bestFit="1" customWidth="1"/>
    <col min="7992" max="7994" width="10.42578125" style="1491" bestFit="1" customWidth="1"/>
    <col min="7995" max="7995" width="10" style="1491" bestFit="1" customWidth="1"/>
    <col min="7996" max="7996" width="10.7109375" style="1491" bestFit="1" customWidth="1"/>
    <col min="7997" max="7997" width="10.42578125" style="1491" bestFit="1" customWidth="1"/>
    <col min="7998" max="7998" width="10.7109375" style="1491" bestFit="1" customWidth="1"/>
    <col min="7999" max="8001" width="10" style="1491" bestFit="1" customWidth="1"/>
    <col min="8002" max="8002" width="10.7109375" style="1491" bestFit="1" customWidth="1"/>
    <col min="8003" max="8003" width="10.42578125" style="1491" bestFit="1" customWidth="1"/>
    <col min="8004" max="8004" width="10.7109375" style="1491" bestFit="1" customWidth="1"/>
    <col min="8005" max="8005" width="10.42578125" style="1491" bestFit="1" customWidth="1"/>
    <col min="8006" max="8008" width="10" style="1491" bestFit="1" customWidth="1"/>
    <col min="8009" max="8009" width="10.42578125" style="1491" bestFit="1" customWidth="1"/>
    <col min="8010" max="8010" width="10" style="1491" bestFit="1" customWidth="1"/>
    <col min="8011" max="8014" width="10.42578125" style="1491" bestFit="1" customWidth="1"/>
    <col min="8015" max="8015" width="10" style="1491" bestFit="1" customWidth="1"/>
    <col min="8016" max="8016" width="10.42578125" style="1491" bestFit="1" customWidth="1"/>
    <col min="8017" max="8017" width="10.7109375" style="1491" bestFit="1" customWidth="1"/>
    <col min="8018" max="8018" width="10" style="1491" bestFit="1" customWidth="1"/>
    <col min="8019" max="8020" width="10.42578125" style="1491" bestFit="1" customWidth="1"/>
    <col min="8021" max="8023" width="10" style="1491" bestFit="1" customWidth="1"/>
    <col min="8024" max="8024" width="10.7109375" style="1491" bestFit="1" customWidth="1"/>
    <col min="8025" max="8025" width="10" style="1491" bestFit="1" customWidth="1"/>
    <col min="8026" max="8026" width="10.42578125" style="1491" bestFit="1" customWidth="1"/>
    <col min="8027" max="8028" width="10.7109375" style="1491" bestFit="1" customWidth="1"/>
    <col min="8029" max="8029" width="10" style="1491" bestFit="1" customWidth="1"/>
    <col min="8030" max="8031" width="10.42578125" style="1491" bestFit="1" customWidth="1"/>
    <col min="8032" max="8032" width="10.7109375" style="1491" bestFit="1" customWidth="1"/>
    <col min="8033" max="8033" width="10.42578125" style="1491" bestFit="1" customWidth="1"/>
    <col min="8034" max="8036" width="10.7109375" style="1491" bestFit="1" customWidth="1"/>
    <col min="8037" max="8038" width="0" style="1491" hidden="1" customWidth="1"/>
    <col min="8039" max="8039" width="10.7109375" style="1491" bestFit="1" customWidth="1"/>
    <col min="8040" max="8041" width="10.42578125" style="1491" bestFit="1" customWidth="1"/>
    <col min="8042" max="8044" width="10.7109375" style="1491" bestFit="1" customWidth="1"/>
    <col min="8045" max="8046" width="10.42578125" style="1491" bestFit="1" customWidth="1"/>
    <col min="8047" max="8047" width="10.7109375" style="1491" bestFit="1" customWidth="1"/>
    <col min="8048" max="8048" width="10.42578125" style="1491" bestFit="1" customWidth="1"/>
    <col min="8049" max="8053" width="10.7109375" style="1491" bestFit="1" customWidth="1"/>
    <col min="8054" max="8055" width="10.42578125" style="1491" bestFit="1" customWidth="1"/>
    <col min="8056" max="8057" width="10.7109375" style="1491" bestFit="1" customWidth="1"/>
    <col min="8058" max="8058" width="10.42578125" style="1491" bestFit="1" customWidth="1"/>
    <col min="8059" max="8062" width="10.7109375" style="1491" bestFit="1" customWidth="1"/>
    <col min="8063" max="8063" width="10.42578125" style="1491" bestFit="1" customWidth="1"/>
    <col min="8064" max="8064" width="10.5703125" style="1491" customWidth="1"/>
    <col min="8065" max="8067" width="10.7109375" style="1491" bestFit="1" customWidth="1"/>
    <col min="8068" max="8068" width="10.42578125" style="1491" bestFit="1" customWidth="1"/>
    <col min="8069" max="8070" width="10.7109375" style="1491" bestFit="1" customWidth="1"/>
    <col min="8071" max="8071" width="10.42578125" style="1491" bestFit="1" customWidth="1"/>
    <col min="8072" max="8074" width="10.7109375" style="1491" bestFit="1" customWidth="1"/>
    <col min="8075" max="8075" width="10" style="1491" bestFit="1" customWidth="1"/>
    <col min="8076" max="8078" width="10.7109375" style="1491" bestFit="1" customWidth="1"/>
    <col min="8079" max="8079" width="10.42578125" style="1491" bestFit="1" customWidth="1"/>
    <col min="8080" max="8080" width="10.7109375" style="1491" bestFit="1" customWidth="1"/>
    <col min="8081" max="8183" width="7.5703125" style="1491"/>
    <col min="8184" max="8184" width="44.5703125" style="1491" customWidth="1"/>
    <col min="8185" max="8185" width="11.42578125" style="1491" customWidth="1"/>
    <col min="8186" max="8186" width="9.28515625" style="1491" customWidth="1"/>
    <col min="8187" max="8187" width="11" style="1491" customWidth="1"/>
    <col min="8188" max="8188" width="11.140625" style="1491" customWidth="1"/>
    <col min="8189" max="8189" width="8.140625" style="1491" bestFit="1" customWidth="1"/>
    <col min="8190" max="8190" width="7.85546875" style="1491" bestFit="1" customWidth="1"/>
    <col min="8191" max="8191" width="9.5703125" style="1491" bestFit="1" customWidth="1"/>
    <col min="8192" max="8192" width="9" style="1491" bestFit="1" customWidth="1"/>
    <col min="8193" max="8193" width="9.5703125" style="1491" bestFit="1" customWidth="1"/>
    <col min="8194" max="8194" width="9.42578125" style="1491" bestFit="1" customWidth="1"/>
    <col min="8195" max="8195" width="9.140625" style="1491" bestFit="1" customWidth="1"/>
    <col min="8196" max="8196" width="9.42578125" style="1491" bestFit="1" customWidth="1"/>
    <col min="8197" max="8197" width="9.140625" style="1491" bestFit="1" customWidth="1"/>
    <col min="8198" max="8198" width="9.5703125" style="1491" bestFit="1" customWidth="1"/>
    <col min="8199" max="8199" width="9.42578125" style="1491" bestFit="1" customWidth="1"/>
    <col min="8200" max="8202" width="9.140625" style="1491" bestFit="1" customWidth="1"/>
    <col min="8203" max="8203" width="10" style="1491" bestFit="1" customWidth="1"/>
    <col min="8204" max="8204" width="9.140625" style="1491" bestFit="1" customWidth="1"/>
    <col min="8205" max="8205" width="9.42578125" style="1491" bestFit="1" customWidth="1"/>
    <col min="8206" max="8206" width="8.7109375" style="1491" bestFit="1" customWidth="1"/>
    <col min="8207" max="8207" width="9" style="1491" bestFit="1" customWidth="1"/>
    <col min="8208" max="8208" width="9.42578125" style="1491" bestFit="1" customWidth="1"/>
    <col min="8209" max="8209" width="10" style="1491" bestFit="1" customWidth="1"/>
    <col min="8210" max="8210" width="8.85546875" style="1491" bestFit="1" customWidth="1"/>
    <col min="8211" max="8211" width="10.42578125" style="1491" bestFit="1" customWidth="1"/>
    <col min="8212" max="8212" width="8.85546875" style="1491" bestFit="1" customWidth="1"/>
    <col min="8213" max="8213" width="10.42578125" style="1491" bestFit="1" customWidth="1"/>
    <col min="8214" max="8215" width="9.5703125" style="1491" bestFit="1" customWidth="1"/>
    <col min="8216" max="8216" width="9.140625" style="1491" bestFit="1" customWidth="1"/>
    <col min="8217" max="8217" width="10" style="1491" bestFit="1" customWidth="1"/>
    <col min="8218" max="8218" width="9.140625" style="1491" bestFit="1" customWidth="1"/>
    <col min="8219" max="8219" width="10.42578125" style="1491" bestFit="1" customWidth="1"/>
    <col min="8220" max="8220" width="9.5703125" style="1491" bestFit="1" customWidth="1"/>
    <col min="8221" max="8221" width="10.42578125" style="1491" bestFit="1" customWidth="1"/>
    <col min="8222" max="8222" width="9.5703125" style="1491" bestFit="1" customWidth="1"/>
    <col min="8223" max="8223" width="10" style="1491" bestFit="1" customWidth="1"/>
    <col min="8224" max="8224" width="9.5703125" style="1491" bestFit="1" customWidth="1"/>
    <col min="8225" max="8225" width="10" style="1491" bestFit="1" customWidth="1"/>
    <col min="8226" max="8226" width="9.5703125" style="1491" bestFit="1" customWidth="1"/>
    <col min="8227" max="8227" width="10.7109375" style="1491" bestFit="1" customWidth="1"/>
    <col min="8228" max="8228" width="9.5703125" style="1491" bestFit="1" customWidth="1"/>
    <col min="8229" max="8229" width="10.7109375" style="1491" bestFit="1" customWidth="1"/>
    <col min="8230" max="8230" width="9.5703125" style="1491" bestFit="1" customWidth="1"/>
    <col min="8231" max="8231" width="10.7109375" style="1491" bestFit="1" customWidth="1"/>
    <col min="8232" max="8232" width="9.5703125" style="1491" bestFit="1" customWidth="1"/>
    <col min="8233" max="8233" width="10.7109375" style="1491" bestFit="1" customWidth="1"/>
    <col min="8234" max="8234" width="9.140625" style="1491" bestFit="1" customWidth="1"/>
    <col min="8235" max="8235" width="10.7109375" style="1491" bestFit="1" customWidth="1"/>
    <col min="8236" max="8236" width="9.5703125" style="1491" bestFit="1" customWidth="1"/>
    <col min="8237" max="8237" width="10.42578125" style="1491" bestFit="1" customWidth="1"/>
    <col min="8238" max="8238" width="9.5703125" style="1491" bestFit="1" customWidth="1"/>
    <col min="8239" max="8239" width="10.7109375" style="1491" bestFit="1" customWidth="1"/>
    <col min="8240" max="8240" width="9.5703125" style="1491" bestFit="1" customWidth="1"/>
    <col min="8241" max="8241" width="10.7109375" style="1491" bestFit="1" customWidth="1"/>
    <col min="8242" max="8242" width="9.140625" style="1491" bestFit="1" customWidth="1"/>
    <col min="8243" max="8243" width="10.7109375" style="1491" bestFit="1" customWidth="1"/>
    <col min="8244" max="8244" width="9.5703125" style="1491" bestFit="1" customWidth="1"/>
    <col min="8245" max="8245" width="10.42578125" style="1491" bestFit="1" customWidth="1"/>
    <col min="8246" max="8246" width="9.140625" style="1491" bestFit="1" customWidth="1"/>
    <col min="8247" max="8247" width="10" style="1491" bestFit="1" customWidth="1"/>
    <col min="8248" max="8250" width="10.42578125" style="1491" bestFit="1" customWidth="1"/>
    <col min="8251" max="8251" width="10" style="1491" bestFit="1" customWidth="1"/>
    <col min="8252" max="8252" width="10.7109375" style="1491" bestFit="1" customWidth="1"/>
    <col min="8253" max="8253" width="10.42578125" style="1491" bestFit="1" customWidth="1"/>
    <col min="8254" max="8254" width="10.7109375" style="1491" bestFit="1" customWidth="1"/>
    <col min="8255" max="8257" width="10" style="1491" bestFit="1" customWidth="1"/>
    <col min="8258" max="8258" width="10.7109375" style="1491" bestFit="1" customWidth="1"/>
    <col min="8259" max="8259" width="10.42578125" style="1491" bestFit="1" customWidth="1"/>
    <col min="8260" max="8260" width="10.7109375" style="1491" bestFit="1" customWidth="1"/>
    <col min="8261" max="8261" width="10.42578125" style="1491" bestFit="1" customWidth="1"/>
    <col min="8262" max="8264" width="10" style="1491" bestFit="1" customWidth="1"/>
    <col min="8265" max="8265" width="10.42578125" style="1491" bestFit="1" customWidth="1"/>
    <col min="8266" max="8266" width="10" style="1491" bestFit="1" customWidth="1"/>
    <col min="8267" max="8270" width="10.42578125" style="1491" bestFit="1" customWidth="1"/>
    <col min="8271" max="8271" width="10" style="1491" bestFit="1" customWidth="1"/>
    <col min="8272" max="8272" width="10.42578125" style="1491" bestFit="1" customWidth="1"/>
    <col min="8273" max="8273" width="10.7109375" style="1491" bestFit="1" customWidth="1"/>
    <col min="8274" max="8274" width="10" style="1491" bestFit="1" customWidth="1"/>
    <col min="8275" max="8276" width="10.42578125" style="1491" bestFit="1" customWidth="1"/>
    <col min="8277" max="8279" width="10" style="1491" bestFit="1" customWidth="1"/>
    <col min="8280" max="8280" width="10.7109375" style="1491" bestFit="1" customWidth="1"/>
    <col min="8281" max="8281" width="10" style="1491" bestFit="1" customWidth="1"/>
    <col min="8282" max="8282" width="10.42578125" style="1491" bestFit="1" customWidth="1"/>
    <col min="8283" max="8284" width="10.7109375" style="1491" bestFit="1" customWidth="1"/>
    <col min="8285" max="8285" width="10" style="1491" bestFit="1" customWidth="1"/>
    <col min="8286" max="8287" width="10.42578125" style="1491" bestFit="1" customWidth="1"/>
    <col min="8288" max="8288" width="10.7109375" style="1491" bestFit="1" customWidth="1"/>
    <col min="8289" max="8289" width="10.42578125" style="1491" bestFit="1" customWidth="1"/>
    <col min="8290" max="8292" width="10.7109375" style="1491" bestFit="1" customWidth="1"/>
    <col min="8293" max="8294" width="0" style="1491" hidden="1" customWidth="1"/>
    <col min="8295" max="8295" width="10.7109375" style="1491" bestFit="1" customWidth="1"/>
    <col min="8296" max="8297" width="10.42578125" style="1491" bestFit="1" customWidth="1"/>
    <col min="8298" max="8300" width="10.7109375" style="1491" bestFit="1" customWidth="1"/>
    <col min="8301" max="8302" width="10.42578125" style="1491" bestFit="1" customWidth="1"/>
    <col min="8303" max="8303" width="10.7109375" style="1491" bestFit="1" customWidth="1"/>
    <col min="8304" max="8304" width="10.42578125" style="1491" bestFit="1" customWidth="1"/>
    <col min="8305" max="8309" width="10.7109375" style="1491" bestFit="1" customWidth="1"/>
    <col min="8310" max="8311" width="10.42578125" style="1491" bestFit="1" customWidth="1"/>
    <col min="8312" max="8313" width="10.7109375" style="1491" bestFit="1" customWidth="1"/>
    <col min="8314" max="8314" width="10.42578125" style="1491" bestFit="1" customWidth="1"/>
    <col min="8315" max="8318" width="10.7109375" style="1491" bestFit="1" customWidth="1"/>
    <col min="8319" max="8319" width="10.42578125" style="1491" bestFit="1" customWidth="1"/>
    <col min="8320" max="8320" width="10.5703125" style="1491" customWidth="1"/>
    <col min="8321" max="8323" width="10.7109375" style="1491" bestFit="1" customWidth="1"/>
    <col min="8324" max="8324" width="10.42578125" style="1491" bestFit="1" customWidth="1"/>
    <col min="8325" max="8326" width="10.7109375" style="1491" bestFit="1" customWidth="1"/>
    <col min="8327" max="8327" width="10.42578125" style="1491" bestFit="1" customWidth="1"/>
    <col min="8328" max="8330" width="10.7109375" style="1491" bestFit="1" customWidth="1"/>
    <col min="8331" max="8331" width="10" style="1491" bestFit="1" customWidth="1"/>
    <col min="8332" max="8334" width="10.7109375" style="1491" bestFit="1" customWidth="1"/>
    <col min="8335" max="8335" width="10.42578125" style="1491" bestFit="1" customWidth="1"/>
    <col min="8336" max="8336" width="10.7109375" style="1491" bestFit="1" customWidth="1"/>
    <col min="8337" max="8439" width="7.5703125" style="1491"/>
    <col min="8440" max="8440" width="44.5703125" style="1491" customWidth="1"/>
    <col min="8441" max="8441" width="11.42578125" style="1491" customWidth="1"/>
    <col min="8442" max="8442" width="9.28515625" style="1491" customWidth="1"/>
    <col min="8443" max="8443" width="11" style="1491" customWidth="1"/>
    <col min="8444" max="8444" width="11.140625" style="1491" customWidth="1"/>
    <col min="8445" max="8445" width="8.140625" style="1491" bestFit="1" customWidth="1"/>
    <col min="8446" max="8446" width="7.85546875" style="1491" bestFit="1" customWidth="1"/>
    <col min="8447" max="8447" width="9.5703125" style="1491" bestFit="1" customWidth="1"/>
    <col min="8448" max="8448" width="9" style="1491" bestFit="1" customWidth="1"/>
    <col min="8449" max="8449" width="9.5703125" style="1491" bestFit="1" customWidth="1"/>
    <col min="8450" max="8450" width="9.42578125" style="1491" bestFit="1" customWidth="1"/>
    <col min="8451" max="8451" width="9.140625" style="1491" bestFit="1" customWidth="1"/>
    <col min="8452" max="8452" width="9.42578125" style="1491" bestFit="1" customWidth="1"/>
    <col min="8453" max="8453" width="9.140625" style="1491" bestFit="1" customWidth="1"/>
    <col min="8454" max="8454" width="9.5703125" style="1491" bestFit="1" customWidth="1"/>
    <col min="8455" max="8455" width="9.42578125" style="1491" bestFit="1" customWidth="1"/>
    <col min="8456" max="8458" width="9.140625" style="1491" bestFit="1" customWidth="1"/>
    <col min="8459" max="8459" width="10" style="1491" bestFit="1" customWidth="1"/>
    <col min="8460" max="8460" width="9.140625" style="1491" bestFit="1" customWidth="1"/>
    <col min="8461" max="8461" width="9.42578125" style="1491" bestFit="1" customWidth="1"/>
    <col min="8462" max="8462" width="8.7109375" style="1491" bestFit="1" customWidth="1"/>
    <col min="8463" max="8463" width="9" style="1491" bestFit="1" customWidth="1"/>
    <col min="8464" max="8464" width="9.42578125" style="1491" bestFit="1" customWidth="1"/>
    <col min="8465" max="8465" width="10" style="1491" bestFit="1" customWidth="1"/>
    <col min="8466" max="8466" width="8.85546875" style="1491" bestFit="1" customWidth="1"/>
    <col min="8467" max="8467" width="10.42578125" style="1491" bestFit="1" customWidth="1"/>
    <col min="8468" max="8468" width="8.85546875" style="1491" bestFit="1" customWidth="1"/>
    <col min="8469" max="8469" width="10.42578125" style="1491" bestFit="1" customWidth="1"/>
    <col min="8470" max="8471" width="9.5703125" style="1491" bestFit="1" customWidth="1"/>
    <col min="8472" max="8472" width="9.140625" style="1491" bestFit="1" customWidth="1"/>
    <col min="8473" max="8473" width="10" style="1491" bestFit="1" customWidth="1"/>
    <col min="8474" max="8474" width="9.140625" style="1491" bestFit="1" customWidth="1"/>
    <col min="8475" max="8475" width="10.42578125" style="1491" bestFit="1" customWidth="1"/>
    <col min="8476" max="8476" width="9.5703125" style="1491" bestFit="1" customWidth="1"/>
    <col min="8477" max="8477" width="10.42578125" style="1491" bestFit="1" customWidth="1"/>
    <col min="8478" max="8478" width="9.5703125" style="1491" bestFit="1" customWidth="1"/>
    <col min="8479" max="8479" width="10" style="1491" bestFit="1" customWidth="1"/>
    <col min="8480" max="8480" width="9.5703125" style="1491" bestFit="1" customWidth="1"/>
    <col min="8481" max="8481" width="10" style="1491" bestFit="1" customWidth="1"/>
    <col min="8482" max="8482" width="9.5703125" style="1491" bestFit="1" customWidth="1"/>
    <col min="8483" max="8483" width="10.7109375" style="1491" bestFit="1" customWidth="1"/>
    <col min="8484" max="8484" width="9.5703125" style="1491" bestFit="1" customWidth="1"/>
    <col min="8485" max="8485" width="10.7109375" style="1491" bestFit="1" customWidth="1"/>
    <col min="8486" max="8486" width="9.5703125" style="1491" bestFit="1" customWidth="1"/>
    <col min="8487" max="8487" width="10.7109375" style="1491" bestFit="1" customWidth="1"/>
    <col min="8488" max="8488" width="9.5703125" style="1491" bestFit="1" customWidth="1"/>
    <col min="8489" max="8489" width="10.7109375" style="1491" bestFit="1" customWidth="1"/>
    <col min="8490" max="8490" width="9.140625" style="1491" bestFit="1" customWidth="1"/>
    <col min="8491" max="8491" width="10.7109375" style="1491" bestFit="1" customWidth="1"/>
    <col min="8492" max="8492" width="9.5703125" style="1491" bestFit="1" customWidth="1"/>
    <col min="8493" max="8493" width="10.42578125" style="1491" bestFit="1" customWidth="1"/>
    <col min="8494" max="8494" width="9.5703125" style="1491" bestFit="1" customWidth="1"/>
    <col min="8495" max="8495" width="10.7109375" style="1491" bestFit="1" customWidth="1"/>
    <col min="8496" max="8496" width="9.5703125" style="1491" bestFit="1" customWidth="1"/>
    <col min="8497" max="8497" width="10.7109375" style="1491" bestFit="1" customWidth="1"/>
    <col min="8498" max="8498" width="9.140625" style="1491" bestFit="1" customWidth="1"/>
    <col min="8499" max="8499" width="10.7109375" style="1491" bestFit="1" customWidth="1"/>
    <col min="8500" max="8500" width="9.5703125" style="1491" bestFit="1" customWidth="1"/>
    <col min="8501" max="8501" width="10.42578125" style="1491" bestFit="1" customWidth="1"/>
    <col min="8502" max="8502" width="9.140625" style="1491" bestFit="1" customWidth="1"/>
    <col min="8503" max="8503" width="10" style="1491" bestFit="1" customWidth="1"/>
    <col min="8504" max="8506" width="10.42578125" style="1491" bestFit="1" customWidth="1"/>
    <col min="8507" max="8507" width="10" style="1491" bestFit="1" customWidth="1"/>
    <col min="8508" max="8508" width="10.7109375" style="1491" bestFit="1" customWidth="1"/>
    <col min="8509" max="8509" width="10.42578125" style="1491" bestFit="1" customWidth="1"/>
    <col min="8510" max="8510" width="10.7109375" style="1491" bestFit="1" customWidth="1"/>
    <col min="8511" max="8513" width="10" style="1491" bestFit="1" customWidth="1"/>
    <col min="8514" max="8514" width="10.7109375" style="1491" bestFit="1" customWidth="1"/>
    <col min="8515" max="8515" width="10.42578125" style="1491" bestFit="1" customWidth="1"/>
    <col min="8516" max="8516" width="10.7109375" style="1491" bestFit="1" customWidth="1"/>
    <col min="8517" max="8517" width="10.42578125" style="1491" bestFit="1" customWidth="1"/>
    <col min="8518" max="8520" width="10" style="1491" bestFit="1" customWidth="1"/>
    <col min="8521" max="8521" width="10.42578125" style="1491" bestFit="1" customWidth="1"/>
    <col min="8522" max="8522" width="10" style="1491" bestFit="1" customWidth="1"/>
    <col min="8523" max="8526" width="10.42578125" style="1491" bestFit="1" customWidth="1"/>
    <col min="8527" max="8527" width="10" style="1491" bestFit="1" customWidth="1"/>
    <col min="8528" max="8528" width="10.42578125" style="1491" bestFit="1" customWidth="1"/>
    <col min="8529" max="8529" width="10.7109375" style="1491" bestFit="1" customWidth="1"/>
    <col min="8530" max="8530" width="10" style="1491" bestFit="1" customWidth="1"/>
    <col min="8531" max="8532" width="10.42578125" style="1491" bestFit="1" customWidth="1"/>
    <col min="8533" max="8535" width="10" style="1491" bestFit="1" customWidth="1"/>
    <col min="8536" max="8536" width="10.7109375" style="1491" bestFit="1" customWidth="1"/>
    <col min="8537" max="8537" width="10" style="1491" bestFit="1" customWidth="1"/>
    <col min="8538" max="8538" width="10.42578125" style="1491" bestFit="1" customWidth="1"/>
    <col min="8539" max="8540" width="10.7109375" style="1491" bestFit="1" customWidth="1"/>
    <col min="8541" max="8541" width="10" style="1491" bestFit="1" customWidth="1"/>
    <col min="8542" max="8543" width="10.42578125" style="1491" bestFit="1" customWidth="1"/>
    <col min="8544" max="8544" width="10.7109375" style="1491" bestFit="1" customWidth="1"/>
    <col min="8545" max="8545" width="10.42578125" style="1491" bestFit="1" customWidth="1"/>
    <col min="8546" max="8548" width="10.7109375" style="1491" bestFit="1" customWidth="1"/>
    <col min="8549" max="8550" width="0" style="1491" hidden="1" customWidth="1"/>
    <col min="8551" max="8551" width="10.7109375" style="1491" bestFit="1" customWidth="1"/>
    <col min="8552" max="8553" width="10.42578125" style="1491" bestFit="1" customWidth="1"/>
    <col min="8554" max="8556" width="10.7109375" style="1491" bestFit="1" customWidth="1"/>
    <col min="8557" max="8558" width="10.42578125" style="1491" bestFit="1" customWidth="1"/>
    <col min="8559" max="8559" width="10.7109375" style="1491" bestFit="1" customWidth="1"/>
    <col min="8560" max="8560" width="10.42578125" style="1491" bestFit="1" customWidth="1"/>
    <col min="8561" max="8565" width="10.7109375" style="1491" bestFit="1" customWidth="1"/>
    <col min="8566" max="8567" width="10.42578125" style="1491" bestFit="1" customWidth="1"/>
    <col min="8568" max="8569" width="10.7109375" style="1491" bestFit="1" customWidth="1"/>
    <col min="8570" max="8570" width="10.42578125" style="1491" bestFit="1" customWidth="1"/>
    <col min="8571" max="8574" width="10.7109375" style="1491" bestFit="1" customWidth="1"/>
    <col min="8575" max="8575" width="10.42578125" style="1491" bestFit="1" customWidth="1"/>
    <col min="8576" max="8576" width="10.5703125" style="1491" customWidth="1"/>
    <col min="8577" max="8579" width="10.7109375" style="1491" bestFit="1" customWidth="1"/>
    <col min="8580" max="8580" width="10.42578125" style="1491" bestFit="1" customWidth="1"/>
    <col min="8581" max="8582" width="10.7109375" style="1491" bestFit="1" customWidth="1"/>
    <col min="8583" max="8583" width="10.42578125" style="1491" bestFit="1" customWidth="1"/>
    <col min="8584" max="8586" width="10.7109375" style="1491" bestFit="1" customWidth="1"/>
    <col min="8587" max="8587" width="10" style="1491" bestFit="1" customWidth="1"/>
    <col min="8588" max="8590" width="10.7109375" style="1491" bestFit="1" customWidth="1"/>
    <col min="8591" max="8591" width="10.42578125" style="1491" bestFit="1" customWidth="1"/>
    <col min="8592" max="8592" width="10.7109375" style="1491" bestFit="1" customWidth="1"/>
    <col min="8593" max="8695" width="7.5703125" style="1491"/>
    <col min="8696" max="8696" width="44.5703125" style="1491" customWidth="1"/>
    <col min="8697" max="8697" width="11.42578125" style="1491" customWidth="1"/>
    <col min="8698" max="8698" width="9.28515625" style="1491" customWidth="1"/>
    <col min="8699" max="8699" width="11" style="1491" customWidth="1"/>
    <col min="8700" max="8700" width="11.140625" style="1491" customWidth="1"/>
    <col min="8701" max="8701" width="8.140625" style="1491" bestFit="1" customWidth="1"/>
    <col min="8702" max="8702" width="7.85546875" style="1491" bestFit="1" customWidth="1"/>
    <col min="8703" max="8703" width="9.5703125" style="1491" bestFit="1" customWidth="1"/>
    <col min="8704" max="8704" width="9" style="1491" bestFit="1" customWidth="1"/>
    <col min="8705" max="8705" width="9.5703125" style="1491" bestFit="1" customWidth="1"/>
    <col min="8706" max="8706" width="9.42578125" style="1491" bestFit="1" customWidth="1"/>
    <col min="8707" max="8707" width="9.140625" style="1491" bestFit="1" customWidth="1"/>
    <col min="8708" max="8708" width="9.42578125" style="1491" bestFit="1" customWidth="1"/>
    <col min="8709" max="8709" width="9.140625" style="1491" bestFit="1" customWidth="1"/>
    <col min="8710" max="8710" width="9.5703125" style="1491" bestFit="1" customWidth="1"/>
    <col min="8711" max="8711" width="9.42578125" style="1491" bestFit="1" customWidth="1"/>
    <col min="8712" max="8714" width="9.140625" style="1491" bestFit="1" customWidth="1"/>
    <col min="8715" max="8715" width="10" style="1491" bestFit="1" customWidth="1"/>
    <col min="8716" max="8716" width="9.140625" style="1491" bestFit="1" customWidth="1"/>
    <col min="8717" max="8717" width="9.42578125" style="1491" bestFit="1" customWidth="1"/>
    <col min="8718" max="8718" width="8.7109375" style="1491" bestFit="1" customWidth="1"/>
    <col min="8719" max="8719" width="9" style="1491" bestFit="1" customWidth="1"/>
    <col min="8720" max="8720" width="9.42578125" style="1491" bestFit="1" customWidth="1"/>
    <col min="8721" max="8721" width="10" style="1491" bestFit="1" customWidth="1"/>
    <col min="8722" max="8722" width="8.85546875" style="1491" bestFit="1" customWidth="1"/>
    <col min="8723" max="8723" width="10.42578125" style="1491" bestFit="1" customWidth="1"/>
    <col min="8724" max="8724" width="8.85546875" style="1491" bestFit="1" customWidth="1"/>
    <col min="8725" max="8725" width="10.42578125" style="1491" bestFit="1" customWidth="1"/>
    <col min="8726" max="8727" width="9.5703125" style="1491" bestFit="1" customWidth="1"/>
    <col min="8728" max="8728" width="9.140625" style="1491" bestFit="1" customWidth="1"/>
    <col min="8729" max="8729" width="10" style="1491" bestFit="1" customWidth="1"/>
    <col min="8730" max="8730" width="9.140625" style="1491" bestFit="1" customWidth="1"/>
    <col min="8731" max="8731" width="10.42578125" style="1491" bestFit="1" customWidth="1"/>
    <col min="8732" max="8732" width="9.5703125" style="1491" bestFit="1" customWidth="1"/>
    <col min="8733" max="8733" width="10.42578125" style="1491" bestFit="1" customWidth="1"/>
    <col min="8734" max="8734" width="9.5703125" style="1491" bestFit="1" customWidth="1"/>
    <col min="8735" max="8735" width="10" style="1491" bestFit="1" customWidth="1"/>
    <col min="8736" max="8736" width="9.5703125" style="1491" bestFit="1" customWidth="1"/>
    <col min="8737" max="8737" width="10" style="1491" bestFit="1" customWidth="1"/>
    <col min="8738" max="8738" width="9.5703125" style="1491" bestFit="1" customWidth="1"/>
    <col min="8739" max="8739" width="10.7109375" style="1491" bestFit="1" customWidth="1"/>
    <col min="8740" max="8740" width="9.5703125" style="1491" bestFit="1" customWidth="1"/>
    <col min="8741" max="8741" width="10.7109375" style="1491" bestFit="1" customWidth="1"/>
    <col min="8742" max="8742" width="9.5703125" style="1491" bestFit="1" customWidth="1"/>
    <col min="8743" max="8743" width="10.7109375" style="1491" bestFit="1" customWidth="1"/>
    <col min="8744" max="8744" width="9.5703125" style="1491" bestFit="1" customWidth="1"/>
    <col min="8745" max="8745" width="10.7109375" style="1491" bestFit="1" customWidth="1"/>
    <col min="8746" max="8746" width="9.140625" style="1491" bestFit="1" customWidth="1"/>
    <col min="8747" max="8747" width="10.7109375" style="1491" bestFit="1" customWidth="1"/>
    <col min="8748" max="8748" width="9.5703125" style="1491" bestFit="1" customWidth="1"/>
    <col min="8749" max="8749" width="10.42578125" style="1491" bestFit="1" customWidth="1"/>
    <col min="8750" max="8750" width="9.5703125" style="1491" bestFit="1" customWidth="1"/>
    <col min="8751" max="8751" width="10.7109375" style="1491" bestFit="1" customWidth="1"/>
    <col min="8752" max="8752" width="9.5703125" style="1491" bestFit="1" customWidth="1"/>
    <col min="8753" max="8753" width="10.7109375" style="1491" bestFit="1" customWidth="1"/>
    <col min="8754" max="8754" width="9.140625" style="1491" bestFit="1" customWidth="1"/>
    <col min="8755" max="8755" width="10.7109375" style="1491" bestFit="1" customWidth="1"/>
    <col min="8756" max="8756" width="9.5703125" style="1491" bestFit="1" customWidth="1"/>
    <col min="8757" max="8757" width="10.42578125" style="1491" bestFit="1" customWidth="1"/>
    <col min="8758" max="8758" width="9.140625" style="1491" bestFit="1" customWidth="1"/>
    <col min="8759" max="8759" width="10" style="1491" bestFit="1" customWidth="1"/>
    <col min="8760" max="8762" width="10.42578125" style="1491" bestFit="1" customWidth="1"/>
    <col min="8763" max="8763" width="10" style="1491" bestFit="1" customWidth="1"/>
    <col min="8764" max="8764" width="10.7109375" style="1491" bestFit="1" customWidth="1"/>
    <col min="8765" max="8765" width="10.42578125" style="1491" bestFit="1" customWidth="1"/>
    <col min="8766" max="8766" width="10.7109375" style="1491" bestFit="1" customWidth="1"/>
    <col min="8767" max="8769" width="10" style="1491" bestFit="1" customWidth="1"/>
    <col min="8770" max="8770" width="10.7109375" style="1491" bestFit="1" customWidth="1"/>
    <col min="8771" max="8771" width="10.42578125" style="1491" bestFit="1" customWidth="1"/>
    <col min="8772" max="8772" width="10.7109375" style="1491" bestFit="1" customWidth="1"/>
    <col min="8773" max="8773" width="10.42578125" style="1491" bestFit="1" customWidth="1"/>
    <col min="8774" max="8776" width="10" style="1491" bestFit="1" customWidth="1"/>
    <col min="8777" max="8777" width="10.42578125" style="1491" bestFit="1" customWidth="1"/>
    <col min="8778" max="8778" width="10" style="1491" bestFit="1" customWidth="1"/>
    <col min="8779" max="8782" width="10.42578125" style="1491" bestFit="1" customWidth="1"/>
    <col min="8783" max="8783" width="10" style="1491" bestFit="1" customWidth="1"/>
    <col min="8784" max="8784" width="10.42578125" style="1491" bestFit="1" customWidth="1"/>
    <col min="8785" max="8785" width="10.7109375" style="1491" bestFit="1" customWidth="1"/>
    <col min="8786" max="8786" width="10" style="1491" bestFit="1" customWidth="1"/>
    <col min="8787" max="8788" width="10.42578125" style="1491" bestFit="1" customWidth="1"/>
    <col min="8789" max="8791" width="10" style="1491" bestFit="1" customWidth="1"/>
    <col min="8792" max="8792" width="10.7109375" style="1491" bestFit="1" customWidth="1"/>
    <col min="8793" max="8793" width="10" style="1491" bestFit="1" customWidth="1"/>
    <col min="8794" max="8794" width="10.42578125" style="1491" bestFit="1" customWidth="1"/>
    <col min="8795" max="8796" width="10.7109375" style="1491" bestFit="1" customWidth="1"/>
    <col min="8797" max="8797" width="10" style="1491" bestFit="1" customWidth="1"/>
    <col min="8798" max="8799" width="10.42578125" style="1491" bestFit="1" customWidth="1"/>
    <col min="8800" max="8800" width="10.7109375" style="1491" bestFit="1" customWidth="1"/>
    <col min="8801" max="8801" width="10.42578125" style="1491" bestFit="1" customWidth="1"/>
    <col min="8802" max="8804" width="10.7109375" style="1491" bestFit="1" customWidth="1"/>
    <col min="8805" max="8806" width="0" style="1491" hidden="1" customWidth="1"/>
    <col min="8807" max="8807" width="10.7109375" style="1491" bestFit="1" customWidth="1"/>
    <col min="8808" max="8809" width="10.42578125" style="1491" bestFit="1" customWidth="1"/>
    <col min="8810" max="8812" width="10.7109375" style="1491" bestFit="1" customWidth="1"/>
    <col min="8813" max="8814" width="10.42578125" style="1491" bestFit="1" customWidth="1"/>
    <col min="8815" max="8815" width="10.7109375" style="1491" bestFit="1" customWidth="1"/>
    <col min="8816" max="8816" width="10.42578125" style="1491" bestFit="1" customWidth="1"/>
    <col min="8817" max="8821" width="10.7109375" style="1491" bestFit="1" customWidth="1"/>
    <col min="8822" max="8823" width="10.42578125" style="1491" bestFit="1" customWidth="1"/>
    <col min="8824" max="8825" width="10.7109375" style="1491" bestFit="1" customWidth="1"/>
    <col min="8826" max="8826" width="10.42578125" style="1491" bestFit="1" customWidth="1"/>
    <col min="8827" max="8830" width="10.7109375" style="1491" bestFit="1" customWidth="1"/>
    <col min="8831" max="8831" width="10.42578125" style="1491" bestFit="1" customWidth="1"/>
    <col min="8832" max="8832" width="10.5703125" style="1491" customWidth="1"/>
    <col min="8833" max="8835" width="10.7109375" style="1491" bestFit="1" customWidth="1"/>
    <col min="8836" max="8836" width="10.42578125" style="1491" bestFit="1" customWidth="1"/>
    <col min="8837" max="8838" width="10.7109375" style="1491" bestFit="1" customWidth="1"/>
    <col min="8839" max="8839" width="10.42578125" style="1491" bestFit="1" customWidth="1"/>
    <col min="8840" max="8842" width="10.7109375" style="1491" bestFit="1" customWidth="1"/>
    <col min="8843" max="8843" width="10" style="1491" bestFit="1" customWidth="1"/>
    <col min="8844" max="8846" width="10.7109375" style="1491" bestFit="1" customWidth="1"/>
    <col min="8847" max="8847" width="10.42578125" style="1491" bestFit="1" customWidth="1"/>
    <col min="8848" max="8848" width="10.7109375" style="1491" bestFit="1" customWidth="1"/>
    <col min="8849" max="8951" width="7.5703125" style="1491"/>
    <col min="8952" max="8952" width="44.5703125" style="1491" customWidth="1"/>
    <col min="8953" max="8953" width="11.42578125" style="1491" customWidth="1"/>
    <col min="8954" max="8954" width="9.28515625" style="1491" customWidth="1"/>
    <col min="8955" max="8955" width="11" style="1491" customWidth="1"/>
    <col min="8956" max="8956" width="11.140625" style="1491" customWidth="1"/>
    <col min="8957" max="8957" width="8.140625" style="1491" bestFit="1" customWidth="1"/>
    <col min="8958" max="8958" width="7.85546875" style="1491" bestFit="1" customWidth="1"/>
    <col min="8959" max="8959" width="9.5703125" style="1491" bestFit="1" customWidth="1"/>
    <col min="8960" max="8960" width="9" style="1491" bestFit="1" customWidth="1"/>
    <col min="8961" max="8961" width="9.5703125" style="1491" bestFit="1" customWidth="1"/>
    <col min="8962" max="8962" width="9.42578125" style="1491" bestFit="1" customWidth="1"/>
    <col min="8963" max="8963" width="9.140625" style="1491" bestFit="1" customWidth="1"/>
    <col min="8964" max="8964" width="9.42578125" style="1491" bestFit="1" customWidth="1"/>
    <col min="8965" max="8965" width="9.140625" style="1491" bestFit="1" customWidth="1"/>
    <col min="8966" max="8966" width="9.5703125" style="1491" bestFit="1" customWidth="1"/>
    <col min="8967" max="8967" width="9.42578125" style="1491" bestFit="1" customWidth="1"/>
    <col min="8968" max="8970" width="9.140625" style="1491" bestFit="1" customWidth="1"/>
    <col min="8971" max="8971" width="10" style="1491" bestFit="1" customWidth="1"/>
    <col min="8972" max="8972" width="9.140625" style="1491" bestFit="1" customWidth="1"/>
    <col min="8973" max="8973" width="9.42578125" style="1491" bestFit="1" customWidth="1"/>
    <col min="8974" max="8974" width="8.7109375" style="1491" bestFit="1" customWidth="1"/>
    <col min="8975" max="8975" width="9" style="1491" bestFit="1" customWidth="1"/>
    <col min="8976" max="8976" width="9.42578125" style="1491" bestFit="1" customWidth="1"/>
    <col min="8977" max="8977" width="10" style="1491" bestFit="1" customWidth="1"/>
    <col min="8978" max="8978" width="8.85546875" style="1491" bestFit="1" customWidth="1"/>
    <col min="8979" max="8979" width="10.42578125" style="1491" bestFit="1" customWidth="1"/>
    <col min="8980" max="8980" width="8.85546875" style="1491" bestFit="1" customWidth="1"/>
    <col min="8981" max="8981" width="10.42578125" style="1491" bestFit="1" customWidth="1"/>
    <col min="8982" max="8983" width="9.5703125" style="1491" bestFit="1" customWidth="1"/>
    <col min="8984" max="8984" width="9.140625" style="1491" bestFit="1" customWidth="1"/>
    <col min="8985" max="8985" width="10" style="1491" bestFit="1" customWidth="1"/>
    <col min="8986" max="8986" width="9.140625" style="1491" bestFit="1" customWidth="1"/>
    <col min="8987" max="8987" width="10.42578125" style="1491" bestFit="1" customWidth="1"/>
    <col min="8988" max="8988" width="9.5703125" style="1491" bestFit="1" customWidth="1"/>
    <col min="8989" max="8989" width="10.42578125" style="1491" bestFit="1" customWidth="1"/>
    <col min="8990" max="8990" width="9.5703125" style="1491" bestFit="1" customWidth="1"/>
    <col min="8991" max="8991" width="10" style="1491" bestFit="1" customWidth="1"/>
    <col min="8992" max="8992" width="9.5703125" style="1491" bestFit="1" customWidth="1"/>
    <col min="8993" max="8993" width="10" style="1491" bestFit="1" customWidth="1"/>
    <col min="8994" max="8994" width="9.5703125" style="1491" bestFit="1" customWidth="1"/>
    <col min="8995" max="8995" width="10.7109375" style="1491" bestFit="1" customWidth="1"/>
    <col min="8996" max="8996" width="9.5703125" style="1491" bestFit="1" customWidth="1"/>
    <col min="8997" max="8997" width="10.7109375" style="1491" bestFit="1" customWidth="1"/>
    <col min="8998" max="8998" width="9.5703125" style="1491" bestFit="1" customWidth="1"/>
    <col min="8999" max="8999" width="10.7109375" style="1491" bestFit="1" customWidth="1"/>
    <col min="9000" max="9000" width="9.5703125" style="1491" bestFit="1" customWidth="1"/>
    <col min="9001" max="9001" width="10.7109375" style="1491" bestFit="1" customWidth="1"/>
    <col min="9002" max="9002" width="9.140625" style="1491" bestFit="1" customWidth="1"/>
    <col min="9003" max="9003" width="10.7109375" style="1491" bestFit="1" customWidth="1"/>
    <col min="9004" max="9004" width="9.5703125" style="1491" bestFit="1" customWidth="1"/>
    <col min="9005" max="9005" width="10.42578125" style="1491" bestFit="1" customWidth="1"/>
    <col min="9006" max="9006" width="9.5703125" style="1491" bestFit="1" customWidth="1"/>
    <col min="9007" max="9007" width="10.7109375" style="1491" bestFit="1" customWidth="1"/>
    <col min="9008" max="9008" width="9.5703125" style="1491" bestFit="1" customWidth="1"/>
    <col min="9009" max="9009" width="10.7109375" style="1491" bestFit="1" customWidth="1"/>
    <col min="9010" max="9010" width="9.140625" style="1491" bestFit="1" customWidth="1"/>
    <col min="9011" max="9011" width="10.7109375" style="1491" bestFit="1" customWidth="1"/>
    <col min="9012" max="9012" width="9.5703125" style="1491" bestFit="1" customWidth="1"/>
    <col min="9013" max="9013" width="10.42578125" style="1491" bestFit="1" customWidth="1"/>
    <col min="9014" max="9014" width="9.140625" style="1491" bestFit="1" customWidth="1"/>
    <col min="9015" max="9015" width="10" style="1491" bestFit="1" customWidth="1"/>
    <col min="9016" max="9018" width="10.42578125" style="1491" bestFit="1" customWidth="1"/>
    <col min="9019" max="9019" width="10" style="1491" bestFit="1" customWidth="1"/>
    <col min="9020" max="9020" width="10.7109375" style="1491" bestFit="1" customWidth="1"/>
    <col min="9021" max="9021" width="10.42578125" style="1491" bestFit="1" customWidth="1"/>
    <col min="9022" max="9022" width="10.7109375" style="1491" bestFit="1" customWidth="1"/>
    <col min="9023" max="9025" width="10" style="1491" bestFit="1" customWidth="1"/>
    <col min="9026" max="9026" width="10.7109375" style="1491" bestFit="1" customWidth="1"/>
    <col min="9027" max="9027" width="10.42578125" style="1491" bestFit="1" customWidth="1"/>
    <col min="9028" max="9028" width="10.7109375" style="1491" bestFit="1" customWidth="1"/>
    <col min="9029" max="9029" width="10.42578125" style="1491" bestFit="1" customWidth="1"/>
    <col min="9030" max="9032" width="10" style="1491" bestFit="1" customWidth="1"/>
    <col min="9033" max="9033" width="10.42578125" style="1491" bestFit="1" customWidth="1"/>
    <col min="9034" max="9034" width="10" style="1491" bestFit="1" customWidth="1"/>
    <col min="9035" max="9038" width="10.42578125" style="1491" bestFit="1" customWidth="1"/>
    <col min="9039" max="9039" width="10" style="1491" bestFit="1" customWidth="1"/>
    <col min="9040" max="9040" width="10.42578125" style="1491" bestFit="1" customWidth="1"/>
    <col min="9041" max="9041" width="10.7109375" style="1491" bestFit="1" customWidth="1"/>
    <col min="9042" max="9042" width="10" style="1491" bestFit="1" customWidth="1"/>
    <col min="9043" max="9044" width="10.42578125" style="1491" bestFit="1" customWidth="1"/>
    <col min="9045" max="9047" width="10" style="1491" bestFit="1" customWidth="1"/>
    <col min="9048" max="9048" width="10.7109375" style="1491" bestFit="1" customWidth="1"/>
    <col min="9049" max="9049" width="10" style="1491" bestFit="1" customWidth="1"/>
    <col min="9050" max="9050" width="10.42578125" style="1491" bestFit="1" customWidth="1"/>
    <col min="9051" max="9052" width="10.7109375" style="1491" bestFit="1" customWidth="1"/>
    <col min="9053" max="9053" width="10" style="1491" bestFit="1" customWidth="1"/>
    <col min="9054" max="9055" width="10.42578125" style="1491" bestFit="1" customWidth="1"/>
    <col min="9056" max="9056" width="10.7109375" style="1491" bestFit="1" customWidth="1"/>
    <col min="9057" max="9057" width="10.42578125" style="1491" bestFit="1" customWidth="1"/>
    <col min="9058" max="9060" width="10.7109375" style="1491" bestFit="1" customWidth="1"/>
    <col min="9061" max="9062" width="0" style="1491" hidden="1" customWidth="1"/>
    <col min="9063" max="9063" width="10.7109375" style="1491" bestFit="1" customWidth="1"/>
    <col min="9064" max="9065" width="10.42578125" style="1491" bestFit="1" customWidth="1"/>
    <col min="9066" max="9068" width="10.7109375" style="1491" bestFit="1" customWidth="1"/>
    <col min="9069" max="9070" width="10.42578125" style="1491" bestFit="1" customWidth="1"/>
    <col min="9071" max="9071" width="10.7109375" style="1491" bestFit="1" customWidth="1"/>
    <col min="9072" max="9072" width="10.42578125" style="1491" bestFit="1" customWidth="1"/>
    <col min="9073" max="9077" width="10.7109375" style="1491" bestFit="1" customWidth="1"/>
    <col min="9078" max="9079" width="10.42578125" style="1491" bestFit="1" customWidth="1"/>
    <col min="9080" max="9081" width="10.7109375" style="1491" bestFit="1" customWidth="1"/>
    <col min="9082" max="9082" width="10.42578125" style="1491" bestFit="1" customWidth="1"/>
    <col min="9083" max="9086" width="10.7109375" style="1491" bestFit="1" customWidth="1"/>
    <col min="9087" max="9087" width="10.42578125" style="1491" bestFit="1" customWidth="1"/>
    <col min="9088" max="9088" width="10.5703125" style="1491" customWidth="1"/>
    <col min="9089" max="9091" width="10.7109375" style="1491" bestFit="1" customWidth="1"/>
    <col min="9092" max="9092" width="10.42578125" style="1491" bestFit="1" customWidth="1"/>
    <col min="9093" max="9094" width="10.7109375" style="1491" bestFit="1" customWidth="1"/>
    <col min="9095" max="9095" width="10.42578125" style="1491" bestFit="1" customWidth="1"/>
    <col min="9096" max="9098" width="10.7109375" style="1491" bestFit="1" customWidth="1"/>
    <col min="9099" max="9099" width="10" style="1491" bestFit="1" customWidth="1"/>
    <col min="9100" max="9102" width="10.7109375" style="1491" bestFit="1" customWidth="1"/>
    <col min="9103" max="9103" width="10.42578125" style="1491" bestFit="1" customWidth="1"/>
    <col min="9104" max="9104" width="10.7109375" style="1491" bestFit="1" customWidth="1"/>
    <col min="9105" max="9207" width="7.5703125" style="1491"/>
    <col min="9208" max="9208" width="44.5703125" style="1491" customWidth="1"/>
    <col min="9209" max="9209" width="11.42578125" style="1491" customWidth="1"/>
    <col min="9210" max="9210" width="9.28515625" style="1491" customWidth="1"/>
    <col min="9211" max="9211" width="11" style="1491" customWidth="1"/>
    <col min="9212" max="9212" width="11.140625" style="1491" customWidth="1"/>
    <col min="9213" max="9213" width="8.140625" style="1491" bestFit="1" customWidth="1"/>
    <col min="9214" max="9214" width="7.85546875" style="1491" bestFit="1" customWidth="1"/>
    <col min="9215" max="9215" width="9.5703125" style="1491" bestFit="1" customWidth="1"/>
    <col min="9216" max="9216" width="9" style="1491" bestFit="1" customWidth="1"/>
    <col min="9217" max="9217" width="9.5703125" style="1491" bestFit="1" customWidth="1"/>
    <col min="9218" max="9218" width="9.42578125" style="1491" bestFit="1" customWidth="1"/>
    <col min="9219" max="9219" width="9.140625" style="1491" bestFit="1" customWidth="1"/>
    <col min="9220" max="9220" width="9.42578125" style="1491" bestFit="1" customWidth="1"/>
    <col min="9221" max="9221" width="9.140625" style="1491" bestFit="1" customWidth="1"/>
    <col min="9222" max="9222" width="9.5703125" style="1491" bestFit="1" customWidth="1"/>
    <col min="9223" max="9223" width="9.42578125" style="1491" bestFit="1" customWidth="1"/>
    <col min="9224" max="9226" width="9.140625" style="1491" bestFit="1" customWidth="1"/>
    <col min="9227" max="9227" width="10" style="1491" bestFit="1" customWidth="1"/>
    <col min="9228" max="9228" width="9.140625" style="1491" bestFit="1" customWidth="1"/>
    <col min="9229" max="9229" width="9.42578125" style="1491" bestFit="1" customWidth="1"/>
    <col min="9230" max="9230" width="8.7109375" style="1491" bestFit="1" customWidth="1"/>
    <col min="9231" max="9231" width="9" style="1491" bestFit="1" customWidth="1"/>
    <col min="9232" max="9232" width="9.42578125" style="1491" bestFit="1" customWidth="1"/>
    <col min="9233" max="9233" width="10" style="1491" bestFit="1" customWidth="1"/>
    <col min="9234" max="9234" width="8.85546875" style="1491" bestFit="1" customWidth="1"/>
    <col min="9235" max="9235" width="10.42578125" style="1491" bestFit="1" customWidth="1"/>
    <col min="9236" max="9236" width="8.85546875" style="1491" bestFit="1" customWidth="1"/>
    <col min="9237" max="9237" width="10.42578125" style="1491" bestFit="1" customWidth="1"/>
    <col min="9238" max="9239" width="9.5703125" style="1491" bestFit="1" customWidth="1"/>
    <col min="9240" max="9240" width="9.140625" style="1491" bestFit="1" customWidth="1"/>
    <col min="9241" max="9241" width="10" style="1491" bestFit="1" customWidth="1"/>
    <col min="9242" max="9242" width="9.140625" style="1491" bestFit="1" customWidth="1"/>
    <col min="9243" max="9243" width="10.42578125" style="1491" bestFit="1" customWidth="1"/>
    <col min="9244" max="9244" width="9.5703125" style="1491" bestFit="1" customWidth="1"/>
    <col min="9245" max="9245" width="10.42578125" style="1491" bestFit="1" customWidth="1"/>
    <col min="9246" max="9246" width="9.5703125" style="1491" bestFit="1" customWidth="1"/>
    <col min="9247" max="9247" width="10" style="1491" bestFit="1" customWidth="1"/>
    <col min="9248" max="9248" width="9.5703125" style="1491" bestFit="1" customWidth="1"/>
    <col min="9249" max="9249" width="10" style="1491" bestFit="1" customWidth="1"/>
    <col min="9250" max="9250" width="9.5703125" style="1491" bestFit="1" customWidth="1"/>
    <col min="9251" max="9251" width="10.7109375" style="1491" bestFit="1" customWidth="1"/>
    <col min="9252" max="9252" width="9.5703125" style="1491" bestFit="1" customWidth="1"/>
    <col min="9253" max="9253" width="10.7109375" style="1491" bestFit="1" customWidth="1"/>
    <col min="9254" max="9254" width="9.5703125" style="1491" bestFit="1" customWidth="1"/>
    <col min="9255" max="9255" width="10.7109375" style="1491" bestFit="1" customWidth="1"/>
    <col min="9256" max="9256" width="9.5703125" style="1491" bestFit="1" customWidth="1"/>
    <col min="9257" max="9257" width="10.7109375" style="1491" bestFit="1" customWidth="1"/>
    <col min="9258" max="9258" width="9.140625" style="1491" bestFit="1" customWidth="1"/>
    <col min="9259" max="9259" width="10.7109375" style="1491" bestFit="1" customWidth="1"/>
    <col min="9260" max="9260" width="9.5703125" style="1491" bestFit="1" customWidth="1"/>
    <col min="9261" max="9261" width="10.42578125" style="1491" bestFit="1" customWidth="1"/>
    <col min="9262" max="9262" width="9.5703125" style="1491" bestFit="1" customWidth="1"/>
    <col min="9263" max="9263" width="10.7109375" style="1491" bestFit="1" customWidth="1"/>
    <col min="9264" max="9264" width="9.5703125" style="1491" bestFit="1" customWidth="1"/>
    <col min="9265" max="9265" width="10.7109375" style="1491" bestFit="1" customWidth="1"/>
    <col min="9266" max="9266" width="9.140625" style="1491" bestFit="1" customWidth="1"/>
    <col min="9267" max="9267" width="10.7109375" style="1491" bestFit="1" customWidth="1"/>
    <col min="9268" max="9268" width="9.5703125" style="1491" bestFit="1" customWidth="1"/>
    <col min="9269" max="9269" width="10.42578125" style="1491" bestFit="1" customWidth="1"/>
    <col min="9270" max="9270" width="9.140625" style="1491" bestFit="1" customWidth="1"/>
    <col min="9271" max="9271" width="10" style="1491" bestFit="1" customWidth="1"/>
    <col min="9272" max="9274" width="10.42578125" style="1491" bestFit="1" customWidth="1"/>
    <col min="9275" max="9275" width="10" style="1491" bestFit="1" customWidth="1"/>
    <col min="9276" max="9276" width="10.7109375" style="1491" bestFit="1" customWidth="1"/>
    <col min="9277" max="9277" width="10.42578125" style="1491" bestFit="1" customWidth="1"/>
    <col min="9278" max="9278" width="10.7109375" style="1491" bestFit="1" customWidth="1"/>
    <col min="9279" max="9281" width="10" style="1491" bestFit="1" customWidth="1"/>
    <col min="9282" max="9282" width="10.7109375" style="1491" bestFit="1" customWidth="1"/>
    <col min="9283" max="9283" width="10.42578125" style="1491" bestFit="1" customWidth="1"/>
    <col min="9284" max="9284" width="10.7109375" style="1491" bestFit="1" customWidth="1"/>
    <col min="9285" max="9285" width="10.42578125" style="1491" bestFit="1" customWidth="1"/>
    <col min="9286" max="9288" width="10" style="1491" bestFit="1" customWidth="1"/>
    <col min="9289" max="9289" width="10.42578125" style="1491" bestFit="1" customWidth="1"/>
    <col min="9290" max="9290" width="10" style="1491" bestFit="1" customWidth="1"/>
    <col min="9291" max="9294" width="10.42578125" style="1491" bestFit="1" customWidth="1"/>
    <col min="9295" max="9295" width="10" style="1491" bestFit="1" customWidth="1"/>
    <col min="9296" max="9296" width="10.42578125" style="1491" bestFit="1" customWidth="1"/>
    <col min="9297" max="9297" width="10.7109375" style="1491" bestFit="1" customWidth="1"/>
    <col min="9298" max="9298" width="10" style="1491" bestFit="1" customWidth="1"/>
    <col min="9299" max="9300" width="10.42578125" style="1491" bestFit="1" customWidth="1"/>
    <col min="9301" max="9303" width="10" style="1491" bestFit="1" customWidth="1"/>
    <col min="9304" max="9304" width="10.7109375" style="1491" bestFit="1" customWidth="1"/>
    <col min="9305" max="9305" width="10" style="1491" bestFit="1" customWidth="1"/>
    <col min="9306" max="9306" width="10.42578125" style="1491" bestFit="1" customWidth="1"/>
    <col min="9307" max="9308" width="10.7109375" style="1491" bestFit="1" customWidth="1"/>
    <col min="9309" max="9309" width="10" style="1491" bestFit="1" customWidth="1"/>
    <col min="9310" max="9311" width="10.42578125" style="1491" bestFit="1" customWidth="1"/>
    <col min="9312" max="9312" width="10.7109375" style="1491" bestFit="1" customWidth="1"/>
    <col min="9313" max="9313" width="10.42578125" style="1491" bestFit="1" customWidth="1"/>
    <col min="9314" max="9316" width="10.7109375" style="1491" bestFit="1" customWidth="1"/>
    <col min="9317" max="9318" width="0" style="1491" hidden="1" customWidth="1"/>
    <col min="9319" max="9319" width="10.7109375" style="1491" bestFit="1" customWidth="1"/>
    <col min="9320" max="9321" width="10.42578125" style="1491" bestFit="1" customWidth="1"/>
    <col min="9322" max="9324" width="10.7109375" style="1491" bestFit="1" customWidth="1"/>
    <col min="9325" max="9326" width="10.42578125" style="1491" bestFit="1" customWidth="1"/>
    <col min="9327" max="9327" width="10.7109375" style="1491" bestFit="1" customWidth="1"/>
    <col min="9328" max="9328" width="10.42578125" style="1491" bestFit="1" customWidth="1"/>
    <col min="9329" max="9333" width="10.7109375" style="1491" bestFit="1" customWidth="1"/>
    <col min="9334" max="9335" width="10.42578125" style="1491" bestFit="1" customWidth="1"/>
    <col min="9336" max="9337" width="10.7109375" style="1491" bestFit="1" customWidth="1"/>
    <col min="9338" max="9338" width="10.42578125" style="1491" bestFit="1" customWidth="1"/>
    <col min="9339" max="9342" width="10.7109375" style="1491" bestFit="1" customWidth="1"/>
    <col min="9343" max="9343" width="10.42578125" style="1491" bestFit="1" customWidth="1"/>
    <col min="9344" max="9344" width="10.5703125" style="1491" customWidth="1"/>
    <col min="9345" max="9347" width="10.7109375" style="1491" bestFit="1" customWidth="1"/>
    <col min="9348" max="9348" width="10.42578125" style="1491" bestFit="1" customWidth="1"/>
    <col min="9349" max="9350" width="10.7109375" style="1491" bestFit="1" customWidth="1"/>
    <col min="9351" max="9351" width="10.42578125" style="1491" bestFit="1" customWidth="1"/>
    <col min="9352" max="9354" width="10.7109375" style="1491" bestFit="1" customWidth="1"/>
    <col min="9355" max="9355" width="10" style="1491" bestFit="1" customWidth="1"/>
    <col min="9356" max="9358" width="10.7109375" style="1491" bestFit="1" customWidth="1"/>
    <col min="9359" max="9359" width="10.42578125" style="1491" bestFit="1" customWidth="1"/>
    <col min="9360" max="9360" width="10.7109375" style="1491" bestFit="1" customWidth="1"/>
    <col min="9361" max="9463" width="7.5703125" style="1491"/>
    <col min="9464" max="9464" width="44.5703125" style="1491" customWidth="1"/>
    <col min="9465" max="9465" width="11.42578125" style="1491" customWidth="1"/>
    <col min="9466" max="9466" width="9.28515625" style="1491" customWidth="1"/>
    <col min="9467" max="9467" width="11" style="1491" customWidth="1"/>
    <col min="9468" max="9468" width="11.140625" style="1491" customWidth="1"/>
    <col min="9469" max="9469" width="8.140625" style="1491" bestFit="1" customWidth="1"/>
    <col min="9470" max="9470" width="7.85546875" style="1491" bestFit="1" customWidth="1"/>
    <col min="9471" max="9471" width="9.5703125" style="1491" bestFit="1" customWidth="1"/>
    <col min="9472" max="9472" width="9" style="1491" bestFit="1" customWidth="1"/>
    <col min="9473" max="9473" width="9.5703125" style="1491" bestFit="1" customWidth="1"/>
    <col min="9474" max="9474" width="9.42578125" style="1491" bestFit="1" customWidth="1"/>
    <col min="9475" max="9475" width="9.140625" style="1491" bestFit="1" customWidth="1"/>
    <col min="9476" max="9476" width="9.42578125" style="1491" bestFit="1" customWidth="1"/>
    <col min="9477" max="9477" width="9.140625" style="1491" bestFit="1" customWidth="1"/>
    <col min="9478" max="9478" width="9.5703125" style="1491" bestFit="1" customWidth="1"/>
    <col min="9479" max="9479" width="9.42578125" style="1491" bestFit="1" customWidth="1"/>
    <col min="9480" max="9482" width="9.140625" style="1491" bestFit="1" customWidth="1"/>
    <col min="9483" max="9483" width="10" style="1491" bestFit="1" customWidth="1"/>
    <col min="9484" max="9484" width="9.140625" style="1491" bestFit="1" customWidth="1"/>
    <col min="9485" max="9485" width="9.42578125" style="1491" bestFit="1" customWidth="1"/>
    <col min="9486" max="9486" width="8.7109375" style="1491" bestFit="1" customWidth="1"/>
    <col min="9487" max="9487" width="9" style="1491" bestFit="1" customWidth="1"/>
    <col min="9488" max="9488" width="9.42578125" style="1491" bestFit="1" customWidth="1"/>
    <col min="9489" max="9489" width="10" style="1491" bestFit="1" customWidth="1"/>
    <col min="9490" max="9490" width="8.85546875" style="1491" bestFit="1" customWidth="1"/>
    <col min="9491" max="9491" width="10.42578125" style="1491" bestFit="1" customWidth="1"/>
    <col min="9492" max="9492" width="8.85546875" style="1491" bestFit="1" customWidth="1"/>
    <col min="9493" max="9493" width="10.42578125" style="1491" bestFit="1" customWidth="1"/>
    <col min="9494" max="9495" width="9.5703125" style="1491" bestFit="1" customWidth="1"/>
    <col min="9496" max="9496" width="9.140625" style="1491" bestFit="1" customWidth="1"/>
    <col min="9497" max="9497" width="10" style="1491" bestFit="1" customWidth="1"/>
    <col min="9498" max="9498" width="9.140625" style="1491" bestFit="1" customWidth="1"/>
    <col min="9499" max="9499" width="10.42578125" style="1491" bestFit="1" customWidth="1"/>
    <col min="9500" max="9500" width="9.5703125" style="1491" bestFit="1" customWidth="1"/>
    <col min="9501" max="9501" width="10.42578125" style="1491" bestFit="1" customWidth="1"/>
    <col min="9502" max="9502" width="9.5703125" style="1491" bestFit="1" customWidth="1"/>
    <col min="9503" max="9503" width="10" style="1491" bestFit="1" customWidth="1"/>
    <col min="9504" max="9504" width="9.5703125" style="1491" bestFit="1" customWidth="1"/>
    <col min="9505" max="9505" width="10" style="1491" bestFit="1" customWidth="1"/>
    <col min="9506" max="9506" width="9.5703125" style="1491" bestFit="1" customWidth="1"/>
    <col min="9507" max="9507" width="10.7109375" style="1491" bestFit="1" customWidth="1"/>
    <col min="9508" max="9508" width="9.5703125" style="1491" bestFit="1" customWidth="1"/>
    <col min="9509" max="9509" width="10.7109375" style="1491" bestFit="1" customWidth="1"/>
    <col min="9510" max="9510" width="9.5703125" style="1491" bestFit="1" customWidth="1"/>
    <col min="9511" max="9511" width="10.7109375" style="1491" bestFit="1" customWidth="1"/>
    <col min="9512" max="9512" width="9.5703125" style="1491" bestFit="1" customWidth="1"/>
    <col min="9513" max="9513" width="10.7109375" style="1491" bestFit="1" customWidth="1"/>
    <col min="9514" max="9514" width="9.140625" style="1491" bestFit="1" customWidth="1"/>
    <col min="9515" max="9515" width="10.7109375" style="1491" bestFit="1" customWidth="1"/>
    <col min="9516" max="9516" width="9.5703125" style="1491" bestFit="1" customWidth="1"/>
    <col min="9517" max="9517" width="10.42578125" style="1491" bestFit="1" customWidth="1"/>
    <col min="9518" max="9518" width="9.5703125" style="1491" bestFit="1" customWidth="1"/>
    <col min="9519" max="9519" width="10.7109375" style="1491" bestFit="1" customWidth="1"/>
    <col min="9520" max="9520" width="9.5703125" style="1491" bestFit="1" customWidth="1"/>
    <col min="9521" max="9521" width="10.7109375" style="1491" bestFit="1" customWidth="1"/>
    <col min="9522" max="9522" width="9.140625" style="1491" bestFit="1" customWidth="1"/>
    <col min="9523" max="9523" width="10.7109375" style="1491" bestFit="1" customWidth="1"/>
    <col min="9524" max="9524" width="9.5703125" style="1491" bestFit="1" customWidth="1"/>
    <col min="9525" max="9525" width="10.42578125" style="1491" bestFit="1" customWidth="1"/>
    <col min="9526" max="9526" width="9.140625" style="1491" bestFit="1" customWidth="1"/>
    <col min="9527" max="9527" width="10" style="1491" bestFit="1" customWidth="1"/>
    <col min="9528" max="9530" width="10.42578125" style="1491" bestFit="1" customWidth="1"/>
    <col min="9531" max="9531" width="10" style="1491" bestFit="1" customWidth="1"/>
    <col min="9532" max="9532" width="10.7109375" style="1491" bestFit="1" customWidth="1"/>
    <col min="9533" max="9533" width="10.42578125" style="1491" bestFit="1" customWidth="1"/>
    <col min="9534" max="9534" width="10.7109375" style="1491" bestFit="1" customWidth="1"/>
    <col min="9535" max="9537" width="10" style="1491" bestFit="1" customWidth="1"/>
    <col min="9538" max="9538" width="10.7109375" style="1491" bestFit="1" customWidth="1"/>
    <col min="9539" max="9539" width="10.42578125" style="1491" bestFit="1" customWidth="1"/>
    <col min="9540" max="9540" width="10.7109375" style="1491" bestFit="1" customWidth="1"/>
    <col min="9541" max="9541" width="10.42578125" style="1491" bestFit="1" customWidth="1"/>
    <col min="9542" max="9544" width="10" style="1491" bestFit="1" customWidth="1"/>
    <col min="9545" max="9545" width="10.42578125" style="1491" bestFit="1" customWidth="1"/>
    <col min="9546" max="9546" width="10" style="1491" bestFit="1" customWidth="1"/>
    <col min="9547" max="9550" width="10.42578125" style="1491" bestFit="1" customWidth="1"/>
    <col min="9551" max="9551" width="10" style="1491" bestFit="1" customWidth="1"/>
    <col min="9552" max="9552" width="10.42578125" style="1491" bestFit="1" customWidth="1"/>
    <col min="9553" max="9553" width="10.7109375" style="1491" bestFit="1" customWidth="1"/>
    <col min="9554" max="9554" width="10" style="1491" bestFit="1" customWidth="1"/>
    <col min="9555" max="9556" width="10.42578125" style="1491" bestFit="1" customWidth="1"/>
    <col min="9557" max="9559" width="10" style="1491" bestFit="1" customWidth="1"/>
    <col min="9560" max="9560" width="10.7109375" style="1491" bestFit="1" customWidth="1"/>
    <col min="9561" max="9561" width="10" style="1491" bestFit="1" customWidth="1"/>
    <col min="9562" max="9562" width="10.42578125" style="1491" bestFit="1" customWidth="1"/>
    <col min="9563" max="9564" width="10.7109375" style="1491" bestFit="1" customWidth="1"/>
    <col min="9565" max="9565" width="10" style="1491" bestFit="1" customWidth="1"/>
    <col min="9566" max="9567" width="10.42578125" style="1491" bestFit="1" customWidth="1"/>
    <col min="9568" max="9568" width="10.7109375" style="1491" bestFit="1" customWidth="1"/>
    <col min="9569" max="9569" width="10.42578125" style="1491" bestFit="1" customWidth="1"/>
    <col min="9570" max="9572" width="10.7109375" style="1491" bestFit="1" customWidth="1"/>
    <col min="9573" max="9574" width="0" style="1491" hidden="1" customWidth="1"/>
    <col min="9575" max="9575" width="10.7109375" style="1491" bestFit="1" customWidth="1"/>
    <col min="9576" max="9577" width="10.42578125" style="1491" bestFit="1" customWidth="1"/>
    <col min="9578" max="9580" width="10.7109375" style="1491" bestFit="1" customWidth="1"/>
    <col min="9581" max="9582" width="10.42578125" style="1491" bestFit="1" customWidth="1"/>
    <col min="9583" max="9583" width="10.7109375" style="1491" bestFit="1" customWidth="1"/>
    <col min="9584" max="9584" width="10.42578125" style="1491" bestFit="1" customWidth="1"/>
    <col min="9585" max="9589" width="10.7109375" style="1491" bestFit="1" customWidth="1"/>
    <col min="9590" max="9591" width="10.42578125" style="1491" bestFit="1" customWidth="1"/>
    <col min="9592" max="9593" width="10.7109375" style="1491" bestFit="1" customWidth="1"/>
    <col min="9594" max="9594" width="10.42578125" style="1491" bestFit="1" customWidth="1"/>
    <col min="9595" max="9598" width="10.7109375" style="1491" bestFit="1" customWidth="1"/>
    <col min="9599" max="9599" width="10.42578125" style="1491" bestFit="1" customWidth="1"/>
    <col min="9600" max="9600" width="10.5703125" style="1491" customWidth="1"/>
    <col min="9601" max="9603" width="10.7109375" style="1491" bestFit="1" customWidth="1"/>
    <col min="9604" max="9604" width="10.42578125" style="1491" bestFit="1" customWidth="1"/>
    <col min="9605" max="9606" width="10.7109375" style="1491" bestFit="1" customWidth="1"/>
    <col min="9607" max="9607" width="10.42578125" style="1491" bestFit="1" customWidth="1"/>
    <col min="9608" max="9610" width="10.7109375" style="1491" bestFit="1" customWidth="1"/>
    <col min="9611" max="9611" width="10" style="1491" bestFit="1" customWidth="1"/>
    <col min="9612" max="9614" width="10.7109375" style="1491" bestFit="1" customWidth="1"/>
    <col min="9615" max="9615" width="10.42578125" style="1491" bestFit="1" customWidth="1"/>
    <col min="9616" max="9616" width="10.7109375" style="1491" bestFit="1" customWidth="1"/>
    <col min="9617" max="9719" width="7.5703125" style="1491"/>
    <col min="9720" max="9720" width="44.5703125" style="1491" customWidth="1"/>
    <col min="9721" max="9721" width="11.42578125" style="1491" customWidth="1"/>
    <col min="9722" max="9722" width="9.28515625" style="1491" customWidth="1"/>
    <col min="9723" max="9723" width="11" style="1491" customWidth="1"/>
    <col min="9724" max="9724" width="11.140625" style="1491" customWidth="1"/>
    <col min="9725" max="9725" width="8.140625" style="1491" bestFit="1" customWidth="1"/>
    <col min="9726" max="9726" width="7.85546875" style="1491" bestFit="1" customWidth="1"/>
    <col min="9727" max="9727" width="9.5703125" style="1491" bestFit="1" customWidth="1"/>
    <col min="9728" max="9728" width="9" style="1491" bestFit="1" customWidth="1"/>
    <col min="9729" max="9729" width="9.5703125" style="1491" bestFit="1" customWidth="1"/>
    <col min="9730" max="9730" width="9.42578125" style="1491" bestFit="1" customWidth="1"/>
    <col min="9731" max="9731" width="9.140625" style="1491" bestFit="1" customWidth="1"/>
    <col min="9732" max="9732" width="9.42578125" style="1491" bestFit="1" customWidth="1"/>
    <col min="9733" max="9733" width="9.140625" style="1491" bestFit="1" customWidth="1"/>
    <col min="9734" max="9734" width="9.5703125" style="1491" bestFit="1" customWidth="1"/>
    <col min="9735" max="9735" width="9.42578125" style="1491" bestFit="1" customWidth="1"/>
    <col min="9736" max="9738" width="9.140625" style="1491" bestFit="1" customWidth="1"/>
    <col min="9739" max="9739" width="10" style="1491" bestFit="1" customWidth="1"/>
    <col min="9740" max="9740" width="9.140625" style="1491" bestFit="1" customWidth="1"/>
    <col min="9741" max="9741" width="9.42578125" style="1491" bestFit="1" customWidth="1"/>
    <col min="9742" max="9742" width="8.7109375" style="1491" bestFit="1" customWidth="1"/>
    <col min="9743" max="9743" width="9" style="1491" bestFit="1" customWidth="1"/>
    <col min="9744" max="9744" width="9.42578125" style="1491" bestFit="1" customWidth="1"/>
    <col min="9745" max="9745" width="10" style="1491" bestFit="1" customWidth="1"/>
    <col min="9746" max="9746" width="8.85546875" style="1491" bestFit="1" customWidth="1"/>
    <col min="9747" max="9747" width="10.42578125" style="1491" bestFit="1" customWidth="1"/>
    <col min="9748" max="9748" width="8.85546875" style="1491" bestFit="1" customWidth="1"/>
    <col min="9749" max="9749" width="10.42578125" style="1491" bestFit="1" customWidth="1"/>
    <col min="9750" max="9751" width="9.5703125" style="1491" bestFit="1" customWidth="1"/>
    <col min="9752" max="9752" width="9.140625" style="1491" bestFit="1" customWidth="1"/>
    <col min="9753" max="9753" width="10" style="1491" bestFit="1" customWidth="1"/>
    <col min="9754" max="9754" width="9.140625" style="1491" bestFit="1" customWidth="1"/>
    <col min="9755" max="9755" width="10.42578125" style="1491" bestFit="1" customWidth="1"/>
    <col min="9756" max="9756" width="9.5703125" style="1491" bestFit="1" customWidth="1"/>
    <col min="9757" max="9757" width="10.42578125" style="1491" bestFit="1" customWidth="1"/>
    <col min="9758" max="9758" width="9.5703125" style="1491" bestFit="1" customWidth="1"/>
    <col min="9759" max="9759" width="10" style="1491" bestFit="1" customWidth="1"/>
    <col min="9760" max="9760" width="9.5703125" style="1491" bestFit="1" customWidth="1"/>
    <col min="9761" max="9761" width="10" style="1491" bestFit="1" customWidth="1"/>
    <col min="9762" max="9762" width="9.5703125" style="1491" bestFit="1" customWidth="1"/>
    <col min="9763" max="9763" width="10.7109375" style="1491" bestFit="1" customWidth="1"/>
    <col min="9764" max="9764" width="9.5703125" style="1491" bestFit="1" customWidth="1"/>
    <col min="9765" max="9765" width="10.7109375" style="1491" bestFit="1" customWidth="1"/>
    <col min="9766" max="9766" width="9.5703125" style="1491" bestFit="1" customWidth="1"/>
    <col min="9767" max="9767" width="10.7109375" style="1491" bestFit="1" customWidth="1"/>
    <col min="9768" max="9768" width="9.5703125" style="1491" bestFit="1" customWidth="1"/>
    <col min="9769" max="9769" width="10.7109375" style="1491" bestFit="1" customWidth="1"/>
    <col min="9770" max="9770" width="9.140625" style="1491" bestFit="1" customWidth="1"/>
    <col min="9771" max="9771" width="10.7109375" style="1491" bestFit="1" customWidth="1"/>
    <col min="9772" max="9772" width="9.5703125" style="1491" bestFit="1" customWidth="1"/>
    <col min="9773" max="9773" width="10.42578125" style="1491" bestFit="1" customWidth="1"/>
    <col min="9774" max="9774" width="9.5703125" style="1491" bestFit="1" customWidth="1"/>
    <col min="9775" max="9775" width="10.7109375" style="1491" bestFit="1" customWidth="1"/>
    <col min="9776" max="9776" width="9.5703125" style="1491" bestFit="1" customWidth="1"/>
    <col min="9777" max="9777" width="10.7109375" style="1491" bestFit="1" customWidth="1"/>
    <col min="9778" max="9778" width="9.140625" style="1491" bestFit="1" customWidth="1"/>
    <col min="9779" max="9779" width="10.7109375" style="1491" bestFit="1" customWidth="1"/>
    <col min="9780" max="9780" width="9.5703125" style="1491" bestFit="1" customWidth="1"/>
    <col min="9781" max="9781" width="10.42578125" style="1491" bestFit="1" customWidth="1"/>
    <col min="9782" max="9782" width="9.140625" style="1491" bestFit="1" customWidth="1"/>
    <col min="9783" max="9783" width="10" style="1491" bestFit="1" customWidth="1"/>
    <col min="9784" max="9786" width="10.42578125" style="1491" bestFit="1" customWidth="1"/>
    <col min="9787" max="9787" width="10" style="1491" bestFit="1" customWidth="1"/>
    <col min="9788" max="9788" width="10.7109375" style="1491" bestFit="1" customWidth="1"/>
    <col min="9789" max="9789" width="10.42578125" style="1491" bestFit="1" customWidth="1"/>
    <col min="9790" max="9790" width="10.7109375" style="1491" bestFit="1" customWidth="1"/>
    <col min="9791" max="9793" width="10" style="1491" bestFit="1" customWidth="1"/>
    <col min="9794" max="9794" width="10.7109375" style="1491" bestFit="1" customWidth="1"/>
    <col min="9795" max="9795" width="10.42578125" style="1491" bestFit="1" customWidth="1"/>
    <col min="9796" max="9796" width="10.7109375" style="1491" bestFit="1" customWidth="1"/>
    <col min="9797" max="9797" width="10.42578125" style="1491" bestFit="1" customWidth="1"/>
    <col min="9798" max="9800" width="10" style="1491" bestFit="1" customWidth="1"/>
    <col min="9801" max="9801" width="10.42578125" style="1491" bestFit="1" customWidth="1"/>
    <col min="9802" max="9802" width="10" style="1491" bestFit="1" customWidth="1"/>
    <col min="9803" max="9806" width="10.42578125" style="1491" bestFit="1" customWidth="1"/>
    <col min="9807" max="9807" width="10" style="1491" bestFit="1" customWidth="1"/>
    <col min="9808" max="9808" width="10.42578125" style="1491" bestFit="1" customWidth="1"/>
    <col min="9809" max="9809" width="10.7109375" style="1491" bestFit="1" customWidth="1"/>
    <col min="9810" max="9810" width="10" style="1491" bestFit="1" customWidth="1"/>
    <col min="9811" max="9812" width="10.42578125" style="1491" bestFit="1" customWidth="1"/>
    <col min="9813" max="9815" width="10" style="1491" bestFit="1" customWidth="1"/>
    <col min="9816" max="9816" width="10.7109375" style="1491" bestFit="1" customWidth="1"/>
    <col min="9817" max="9817" width="10" style="1491" bestFit="1" customWidth="1"/>
    <col min="9818" max="9818" width="10.42578125" style="1491" bestFit="1" customWidth="1"/>
    <col min="9819" max="9820" width="10.7109375" style="1491" bestFit="1" customWidth="1"/>
    <col min="9821" max="9821" width="10" style="1491" bestFit="1" customWidth="1"/>
    <col min="9822" max="9823" width="10.42578125" style="1491" bestFit="1" customWidth="1"/>
    <col min="9824" max="9824" width="10.7109375" style="1491" bestFit="1" customWidth="1"/>
    <col min="9825" max="9825" width="10.42578125" style="1491" bestFit="1" customWidth="1"/>
    <col min="9826" max="9828" width="10.7109375" style="1491" bestFit="1" customWidth="1"/>
    <col min="9829" max="9830" width="0" style="1491" hidden="1" customWidth="1"/>
    <col min="9831" max="9831" width="10.7109375" style="1491" bestFit="1" customWidth="1"/>
    <col min="9832" max="9833" width="10.42578125" style="1491" bestFit="1" customWidth="1"/>
    <col min="9834" max="9836" width="10.7109375" style="1491" bestFit="1" customWidth="1"/>
    <col min="9837" max="9838" width="10.42578125" style="1491" bestFit="1" customWidth="1"/>
    <col min="9839" max="9839" width="10.7109375" style="1491" bestFit="1" customWidth="1"/>
    <col min="9840" max="9840" width="10.42578125" style="1491" bestFit="1" customWidth="1"/>
    <col min="9841" max="9845" width="10.7109375" style="1491" bestFit="1" customWidth="1"/>
    <col min="9846" max="9847" width="10.42578125" style="1491" bestFit="1" customWidth="1"/>
    <col min="9848" max="9849" width="10.7109375" style="1491" bestFit="1" customWidth="1"/>
    <col min="9850" max="9850" width="10.42578125" style="1491" bestFit="1" customWidth="1"/>
    <col min="9851" max="9854" width="10.7109375" style="1491" bestFit="1" customWidth="1"/>
    <col min="9855" max="9855" width="10.42578125" style="1491" bestFit="1" customWidth="1"/>
    <col min="9856" max="9856" width="10.5703125" style="1491" customWidth="1"/>
    <col min="9857" max="9859" width="10.7109375" style="1491" bestFit="1" customWidth="1"/>
    <col min="9860" max="9860" width="10.42578125" style="1491" bestFit="1" customWidth="1"/>
    <col min="9861" max="9862" width="10.7109375" style="1491" bestFit="1" customWidth="1"/>
    <col min="9863" max="9863" width="10.42578125" style="1491" bestFit="1" customWidth="1"/>
    <col min="9864" max="9866" width="10.7109375" style="1491" bestFit="1" customWidth="1"/>
    <col min="9867" max="9867" width="10" style="1491" bestFit="1" customWidth="1"/>
    <col min="9868" max="9870" width="10.7109375" style="1491" bestFit="1" customWidth="1"/>
    <col min="9871" max="9871" width="10.42578125" style="1491" bestFit="1" customWidth="1"/>
    <col min="9872" max="9872" width="10.7109375" style="1491" bestFit="1" customWidth="1"/>
    <col min="9873" max="9975" width="7.5703125" style="1491"/>
    <col min="9976" max="9976" width="44.5703125" style="1491" customWidth="1"/>
    <col min="9977" max="9977" width="11.42578125" style="1491" customWidth="1"/>
    <col min="9978" max="9978" width="9.28515625" style="1491" customWidth="1"/>
    <col min="9979" max="9979" width="11" style="1491" customWidth="1"/>
    <col min="9980" max="9980" width="11.140625" style="1491" customWidth="1"/>
    <col min="9981" max="9981" width="8.140625" style="1491" bestFit="1" customWidth="1"/>
    <col min="9982" max="9982" width="7.85546875" style="1491" bestFit="1" customWidth="1"/>
    <col min="9983" max="9983" width="9.5703125" style="1491" bestFit="1" customWidth="1"/>
    <col min="9984" max="9984" width="9" style="1491" bestFit="1" customWidth="1"/>
    <col min="9985" max="9985" width="9.5703125" style="1491" bestFit="1" customWidth="1"/>
    <col min="9986" max="9986" width="9.42578125" style="1491" bestFit="1" customWidth="1"/>
    <col min="9987" max="9987" width="9.140625" style="1491" bestFit="1" customWidth="1"/>
    <col min="9988" max="9988" width="9.42578125" style="1491" bestFit="1" customWidth="1"/>
    <col min="9989" max="9989" width="9.140625" style="1491" bestFit="1" customWidth="1"/>
    <col min="9990" max="9990" width="9.5703125" style="1491" bestFit="1" customWidth="1"/>
    <col min="9991" max="9991" width="9.42578125" style="1491" bestFit="1" customWidth="1"/>
    <col min="9992" max="9994" width="9.140625" style="1491" bestFit="1" customWidth="1"/>
    <col min="9995" max="9995" width="10" style="1491" bestFit="1" customWidth="1"/>
    <col min="9996" max="9996" width="9.140625" style="1491" bestFit="1" customWidth="1"/>
    <col min="9997" max="9997" width="9.42578125" style="1491" bestFit="1" customWidth="1"/>
    <col min="9998" max="9998" width="8.7109375" style="1491" bestFit="1" customWidth="1"/>
    <col min="9999" max="9999" width="9" style="1491" bestFit="1" customWidth="1"/>
    <col min="10000" max="10000" width="9.42578125" style="1491" bestFit="1" customWidth="1"/>
    <col min="10001" max="10001" width="10" style="1491" bestFit="1" customWidth="1"/>
    <col min="10002" max="10002" width="8.85546875" style="1491" bestFit="1" customWidth="1"/>
    <col min="10003" max="10003" width="10.42578125" style="1491" bestFit="1" customWidth="1"/>
    <col min="10004" max="10004" width="8.85546875" style="1491" bestFit="1" customWidth="1"/>
    <col min="10005" max="10005" width="10.42578125" style="1491" bestFit="1" customWidth="1"/>
    <col min="10006" max="10007" width="9.5703125" style="1491" bestFit="1" customWidth="1"/>
    <col min="10008" max="10008" width="9.140625" style="1491" bestFit="1" customWidth="1"/>
    <col min="10009" max="10009" width="10" style="1491" bestFit="1" customWidth="1"/>
    <col min="10010" max="10010" width="9.140625" style="1491" bestFit="1" customWidth="1"/>
    <col min="10011" max="10011" width="10.42578125" style="1491" bestFit="1" customWidth="1"/>
    <col min="10012" max="10012" width="9.5703125" style="1491" bestFit="1" customWidth="1"/>
    <col min="10013" max="10013" width="10.42578125" style="1491" bestFit="1" customWidth="1"/>
    <col min="10014" max="10014" width="9.5703125" style="1491" bestFit="1" customWidth="1"/>
    <col min="10015" max="10015" width="10" style="1491" bestFit="1" customWidth="1"/>
    <col min="10016" max="10016" width="9.5703125" style="1491" bestFit="1" customWidth="1"/>
    <col min="10017" max="10017" width="10" style="1491" bestFit="1" customWidth="1"/>
    <col min="10018" max="10018" width="9.5703125" style="1491" bestFit="1" customWidth="1"/>
    <col min="10019" max="10019" width="10.7109375" style="1491" bestFit="1" customWidth="1"/>
    <col min="10020" max="10020" width="9.5703125" style="1491" bestFit="1" customWidth="1"/>
    <col min="10021" max="10021" width="10.7109375" style="1491" bestFit="1" customWidth="1"/>
    <col min="10022" max="10022" width="9.5703125" style="1491" bestFit="1" customWidth="1"/>
    <col min="10023" max="10023" width="10.7109375" style="1491" bestFit="1" customWidth="1"/>
    <col min="10024" max="10024" width="9.5703125" style="1491" bestFit="1" customWidth="1"/>
    <col min="10025" max="10025" width="10.7109375" style="1491" bestFit="1" customWidth="1"/>
    <col min="10026" max="10026" width="9.140625" style="1491" bestFit="1" customWidth="1"/>
    <col min="10027" max="10027" width="10.7109375" style="1491" bestFit="1" customWidth="1"/>
    <col min="10028" max="10028" width="9.5703125" style="1491" bestFit="1" customWidth="1"/>
    <col min="10029" max="10029" width="10.42578125" style="1491" bestFit="1" customWidth="1"/>
    <col min="10030" max="10030" width="9.5703125" style="1491" bestFit="1" customWidth="1"/>
    <col min="10031" max="10031" width="10.7109375" style="1491" bestFit="1" customWidth="1"/>
    <col min="10032" max="10032" width="9.5703125" style="1491" bestFit="1" customWidth="1"/>
    <col min="10033" max="10033" width="10.7109375" style="1491" bestFit="1" customWidth="1"/>
    <col min="10034" max="10034" width="9.140625" style="1491" bestFit="1" customWidth="1"/>
    <col min="10035" max="10035" width="10.7109375" style="1491" bestFit="1" customWidth="1"/>
    <col min="10036" max="10036" width="9.5703125" style="1491" bestFit="1" customWidth="1"/>
    <col min="10037" max="10037" width="10.42578125" style="1491" bestFit="1" customWidth="1"/>
    <col min="10038" max="10038" width="9.140625" style="1491" bestFit="1" customWidth="1"/>
    <col min="10039" max="10039" width="10" style="1491" bestFit="1" customWidth="1"/>
    <col min="10040" max="10042" width="10.42578125" style="1491" bestFit="1" customWidth="1"/>
    <col min="10043" max="10043" width="10" style="1491" bestFit="1" customWidth="1"/>
    <col min="10044" max="10044" width="10.7109375" style="1491" bestFit="1" customWidth="1"/>
    <col min="10045" max="10045" width="10.42578125" style="1491" bestFit="1" customWidth="1"/>
    <col min="10046" max="10046" width="10.7109375" style="1491" bestFit="1" customWidth="1"/>
    <col min="10047" max="10049" width="10" style="1491" bestFit="1" customWidth="1"/>
    <col min="10050" max="10050" width="10.7109375" style="1491" bestFit="1" customWidth="1"/>
    <col min="10051" max="10051" width="10.42578125" style="1491" bestFit="1" customWidth="1"/>
    <col min="10052" max="10052" width="10.7109375" style="1491" bestFit="1" customWidth="1"/>
    <col min="10053" max="10053" width="10.42578125" style="1491" bestFit="1" customWidth="1"/>
    <col min="10054" max="10056" width="10" style="1491" bestFit="1" customWidth="1"/>
    <col min="10057" max="10057" width="10.42578125" style="1491" bestFit="1" customWidth="1"/>
    <col min="10058" max="10058" width="10" style="1491" bestFit="1" customWidth="1"/>
    <col min="10059" max="10062" width="10.42578125" style="1491" bestFit="1" customWidth="1"/>
    <col min="10063" max="10063" width="10" style="1491" bestFit="1" customWidth="1"/>
    <col min="10064" max="10064" width="10.42578125" style="1491" bestFit="1" customWidth="1"/>
    <col min="10065" max="10065" width="10.7109375" style="1491" bestFit="1" customWidth="1"/>
    <col min="10066" max="10066" width="10" style="1491" bestFit="1" customWidth="1"/>
    <col min="10067" max="10068" width="10.42578125" style="1491" bestFit="1" customWidth="1"/>
    <col min="10069" max="10071" width="10" style="1491" bestFit="1" customWidth="1"/>
    <col min="10072" max="10072" width="10.7109375" style="1491" bestFit="1" customWidth="1"/>
    <col min="10073" max="10073" width="10" style="1491" bestFit="1" customWidth="1"/>
    <col min="10074" max="10074" width="10.42578125" style="1491" bestFit="1" customWidth="1"/>
    <col min="10075" max="10076" width="10.7109375" style="1491" bestFit="1" customWidth="1"/>
    <col min="10077" max="10077" width="10" style="1491" bestFit="1" customWidth="1"/>
    <col min="10078" max="10079" width="10.42578125" style="1491" bestFit="1" customWidth="1"/>
    <col min="10080" max="10080" width="10.7109375" style="1491" bestFit="1" customWidth="1"/>
    <col min="10081" max="10081" width="10.42578125" style="1491" bestFit="1" customWidth="1"/>
    <col min="10082" max="10084" width="10.7109375" style="1491" bestFit="1" customWidth="1"/>
    <col min="10085" max="10086" width="0" style="1491" hidden="1" customWidth="1"/>
    <col min="10087" max="10087" width="10.7109375" style="1491" bestFit="1" customWidth="1"/>
    <col min="10088" max="10089" width="10.42578125" style="1491" bestFit="1" customWidth="1"/>
    <col min="10090" max="10092" width="10.7109375" style="1491" bestFit="1" customWidth="1"/>
    <col min="10093" max="10094" width="10.42578125" style="1491" bestFit="1" customWidth="1"/>
    <col min="10095" max="10095" width="10.7109375" style="1491" bestFit="1" customWidth="1"/>
    <col min="10096" max="10096" width="10.42578125" style="1491" bestFit="1" customWidth="1"/>
    <col min="10097" max="10101" width="10.7109375" style="1491" bestFit="1" customWidth="1"/>
    <col min="10102" max="10103" width="10.42578125" style="1491" bestFit="1" customWidth="1"/>
    <col min="10104" max="10105" width="10.7109375" style="1491" bestFit="1" customWidth="1"/>
    <col min="10106" max="10106" width="10.42578125" style="1491" bestFit="1" customWidth="1"/>
    <col min="10107" max="10110" width="10.7109375" style="1491" bestFit="1" customWidth="1"/>
    <col min="10111" max="10111" width="10.42578125" style="1491" bestFit="1" customWidth="1"/>
    <col min="10112" max="10112" width="10.5703125" style="1491" customWidth="1"/>
    <col min="10113" max="10115" width="10.7109375" style="1491" bestFit="1" customWidth="1"/>
    <col min="10116" max="10116" width="10.42578125" style="1491" bestFit="1" customWidth="1"/>
    <col min="10117" max="10118" width="10.7109375" style="1491" bestFit="1" customWidth="1"/>
    <col min="10119" max="10119" width="10.42578125" style="1491" bestFit="1" customWidth="1"/>
    <col min="10120" max="10122" width="10.7109375" style="1491" bestFit="1" customWidth="1"/>
    <col min="10123" max="10123" width="10" style="1491" bestFit="1" customWidth="1"/>
    <col min="10124" max="10126" width="10.7109375" style="1491" bestFit="1" customWidth="1"/>
    <col min="10127" max="10127" width="10.42578125" style="1491" bestFit="1" customWidth="1"/>
    <col min="10128" max="10128" width="10.7109375" style="1491" bestFit="1" customWidth="1"/>
    <col min="10129" max="10231" width="7.5703125" style="1491"/>
    <col min="10232" max="10232" width="44.5703125" style="1491" customWidth="1"/>
    <col min="10233" max="10233" width="11.42578125" style="1491" customWidth="1"/>
    <col min="10234" max="10234" width="9.28515625" style="1491" customWidth="1"/>
    <col min="10235" max="10235" width="11" style="1491" customWidth="1"/>
    <col min="10236" max="10236" width="11.140625" style="1491" customWidth="1"/>
    <col min="10237" max="10237" width="8.140625" style="1491" bestFit="1" customWidth="1"/>
    <col min="10238" max="10238" width="7.85546875" style="1491" bestFit="1" customWidth="1"/>
    <col min="10239" max="10239" width="9.5703125" style="1491" bestFit="1" customWidth="1"/>
    <col min="10240" max="10240" width="9" style="1491" bestFit="1" customWidth="1"/>
    <col min="10241" max="10241" width="9.5703125" style="1491" bestFit="1" customWidth="1"/>
    <col min="10242" max="10242" width="9.42578125" style="1491" bestFit="1" customWidth="1"/>
    <col min="10243" max="10243" width="9.140625" style="1491" bestFit="1" customWidth="1"/>
    <col min="10244" max="10244" width="9.42578125" style="1491" bestFit="1" customWidth="1"/>
    <col min="10245" max="10245" width="9.140625" style="1491" bestFit="1" customWidth="1"/>
    <col min="10246" max="10246" width="9.5703125" style="1491" bestFit="1" customWidth="1"/>
    <col min="10247" max="10247" width="9.42578125" style="1491" bestFit="1" customWidth="1"/>
    <col min="10248" max="10250" width="9.140625" style="1491" bestFit="1" customWidth="1"/>
    <col min="10251" max="10251" width="10" style="1491" bestFit="1" customWidth="1"/>
    <col min="10252" max="10252" width="9.140625" style="1491" bestFit="1" customWidth="1"/>
    <col min="10253" max="10253" width="9.42578125" style="1491" bestFit="1" customWidth="1"/>
    <col min="10254" max="10254" width="8.7109375" style="1491" bestFit="1" customWidth="1"/>
    <col min="10255" max="10255" width="9" style="1491" bestFit="1" customWidth="1"/>
    <col min="10256" max="10256" width="9.42578125" style="1491" bestFit="1" customWidth="1"/>
    <col min="10257" max="10257" width="10" style="1491" bestFit="1" customWidth="1"/>
    <col min="10258" max="10258" width="8.85546875" style="1491" bestFit="1" customWidth="1"/>
    <col min="10259" max="10259" width="10.42578125" style="1491" bestFit="1" customWidth="1"/>
    <col min="10260" max="10260" width="8.85546875" style="1491" bestFit="1" customWidth="1"/>
    <col min="10261" max="10261" width="10.42578125" style="1491" bestFit="1" customWidth="1"/>
    <col min="10262" max="10263" width="9.5703125" style="1491" bestFit="1" customWidth="1"/>
    <col min="10264" max="10264" width="9.140625" style="1491" bestFit="1" customWidth="1"/>
    <col min="10265" max="10265" width="10" style="1491" bestFit="1" customWidth="1"/>
    <col min="10266" max="10266" width="9.140625" style="1491" bestFit="1" customWidth="1"/>
    <col min="10267" max="10267" width="10.42578125" style="1491" bestFit="1" customWidth="1"/>
    <col min="10268" max="10268" width="9.5703125" style="1491" bestFit="1" customWidth="1"/>
    <col min="10269" max="10269" width="10.42578125" style="1491" bestFit="1" customWidth="1"/>
    <col min="10270" max="10270" width="9.5703125" style="1491" bestFit="1" customWidth="1"/>
    <col min="10271" max="10271" width="10" style="1491" bestFit="1" customWidth="1"/>
    <col min="10272" max="10272" width="9.5703125" style="1491" bestFit="1" customWidth="1"/>
    <col min="10273" max="10273" width="10" style="1491" bestFit="1" customWidth="1"/>
    <col min="10274" max="10274" width="9.5703125" style="1491" bestFit="1" customWidth="1"/>
    <col min="10275" max="10275" width="10.7109375" style="1491" bestFit="1" customWidth="1"/>
    <col min="10276" max="10276" width="9.5703125" style="1491" bestFit="1" customWidth="1"/>
    <col min="10277" max="10277" width="10.7109375" style="1491" bestFit="1" customWidth="1"/>
    <col min="10278" max="10278" width="9.5703125" style="1491" bestFit="1" customWidth="1"/>
    <col min="10279" max="10279" width="10.7109375" style="1491" bestFit="1" customWidth="1"/>
    <col min="10280" max="10280" width="9.5703125" style="1491" bestFit="1" customWidth="1"/>
    <col min="10281" max="10281" width="10.7109375" style="1491" bestFit="1" customWidth="1"/>
    <col min="10282" max="10282" width="9.140625" style="1491" bestFit="1" customWidth="1"/>
    <col min="10283" max="10283" width="10.7109375" style="1491" bestFit="1" customWidth="1"/>
    <col min="10284" max="10284" width="9.5703125" style="1491" bestFit="1" customWidth="1"/>
    <col min="10285" max="10285" width="10.42578125" style="1491" bestFit="1" customWidth="1"/>
    <col min="10286" max="10286" width="9.5703125" style="1491" bestFit="1" customWidth="1"/>
    <col min="10287" max="10287" width="10.7109375" style="1491" bestFit="1" customWidth="1"/>
    <col min="10288" max="10288" width="9.5703125" style="1491" bestFit="1" customWidth="1"/>
    <col min="10289" max="10289" width="10.7109375" style="1491" bestFit="1" customWidth="1"/>
    <col min="10290" max="10290" width="9.140625" style="1491" bestFit="1" customWidth="1"/>
    <col min="10291" max="10291" width="10.7109375" style="1491" bestFit="1" customWidth="1"/>
    <col min="10292" max="10292" width="9.5703125" style="1491" bestFit="1" customWidth="1"/>
    <col min="10293" max="10293" width="10.42578125" style="1491" bestFit="1" customWidth="1"/>
    <col min="10294" max="10294" width="9.140625" style="1491" bestFit="1" customWidth="1"/>
    <col min="10295" max="10295" width="10" style="1491" bestFit="1" customWidth="1"/>
    <col min="10296" max="10298" width="10.42578125" style="1491" bestFit="1" customWidth="1"/>
    <col min="10299" max="10299" width="10" style="1491" bestFit="1" customWidth="1"/>
    <col min="10300" max="10300" width="10.7109375" style="1491" bestFit="1" customWidth="1"/>
    <col min="10301" max="10301" width="10.42578125" style="1491" bestFit="1" customWidth="1"/>
    <col min="10302" max="10302" width="10.7109375" style="1491" bestFit="1" customWidth="1"/>
    <col min="10303" max="10305" width="10" style="1491" bestFit="1" customWidth="1"/>
    <col min="10306" max="10306" width="10.7109375" style="1491" bestFit="1" customWidth="1"/>
    <col min="10307" max="10307" width="10.42578125" style="1491" bestFit="1" customWidth="1"/>
    <col min="10308" max="10308" width="10.7109375" style="1491" bestFit="1" customWidth="1"/>
    <col min="10309" max="10309" width="10.42578125" style="1491" bestFit="1" customWidth="1"/>
    <col min="10310" max="10312" width="10" style="1491" bestFit="1" customWidth="1"/>
    <col min="10313" max="10313" width="10.42578125" style="1491" bestFit="1" customWidth="1"/>
    <col min="10314" max="10314" width="10" style="1491" bestFit="1" customWidth="1"/>
    <col min="10315" max="10318" width="10.42578125" style="1491" bestFit="1" customWidth="1"/>
    <col min="10319" max="10319" width="10" style="1491" bestFit="1" customWidth="1"/>
    <col min="10320" max="10320" width="10.42578125" style="1491" bestFit="1" customWidth="1"/>
    <col min="10321" max="10321" width="10.7109375" style="1491" bestFit="1" customWidth="1"/>
    <col min="10322" max="10322" width="10" style="1491" bestFit="1" customWidth="1"/>
    <col min="10323" max="10324" width="10.42578125" style="1491" bestFit="1" customWidth="1"/>
    <col min="10325" max="10327" width="10" style="1491" bestFit="1" customWidth="1"/>
    <col min="10328" max="10328" width="10.7109375" style="1491" bestFit="1" customWidth="1"/>
    <col min="10329" max="10329" width="10" style="1491" bestFit="1" customWidth="1"/>
    <col min="10330" max="10330" width="10.42578125" style="1491" bestFit="1" customWidth="1"/>
    <col min="10331" max="10332" width="10.7109375" style="1491" bestFit="1" customWidth="1"/>
    <col min="10333" max="10333" width="10" style="1491" bestFit="1" customWidth="1"/>
    <col min="10334" max="10335" width="10.42578125" style="1491" bestFit="1" customWidth="1"/>
    <col min="10336" max="10336" width="10.7109375" style="1491" bestFit="1" customWidth="1"/>
    <col min="10337" max="10337" width="10.42578125" style="1491" bestFit="1" customWidth="1"/>
    <col min="10338" max="10340" width="10.7109375" style="1491" bestFit="1" customWidth="1"/>
    <col min="10341" max="10342" width="0" style="1491" hidden="1" customWidth="1"/>
    <col min="10343" max="10343" width="10.7109375" style="1491" bestFit="1" customWidth="1"/>
    <col min="10344" max="10345" width="10.42578125" style="1491" bestFit="1" customWidth="1"/>
    <col min="10346" max="10348" width="10.7109375" style="1491" bestFit="1" customWidth="1"/>
    <col min="10349" max="10350" width="10.42578125" style="1491" bestFit="1" customWidth="1"/>
    <col min="10351" max="10351" width="10.7109375" style="1491" bestFit="1" customWidth="1"/>
    <col min="10352" max="10352" width="10.42578125" style="1491" bestFit="1" customWidth="1"/>
    <col min="10353" max="10357" width="10.7109375" style="1491" bestFit="1" customWidth="1"/>
    <col min="10358" max="10359" width="10.42578125" style="1491" bestFit="1" customWidth="1"/>
    <col min="10360" max="10361" width="10.7109375" style="1491" bestFit="1" customWidth="1"/>
    <col min="10362" max="10362" width="10.42578125" style="1491" bestFit="1" customWidth="1"/>
    <col min="10363" max="10366" width="10.7109375" style="1491" bestFit="1" customWidth="1"/>
    <col min="10367" max="10367" width="10.42578125" style="1491" bestFit="1" customWidth="1"/>
    <col min="10368" max="10368" width="10.5703125" style="1491" customWidth="1"/>
    <col min="10369" max="10371" width="10.7109375" style="1491" bestFit="1" customWidth="1"/>
    <col min="10372" max="10372" width="10.42578125" style="1491" bestFit="1" customWidth="1"/>
    <col min="10373" max="10374" width="10.7109375" style="1491" bestFit="1" customWidth="1"/>
    <col min="10375" max="10375" width="10.42578125" style="1491" bestFit="1" customWidth="1"/>
    <col min="10376" max="10378" width="10.7109375" style="1491" bestFit="1" customWidth="1"/>
    <col min="10379" max="10379" width="10" style="1491" bestFit="1" customWidth="1"/>
    <col min="10380" max="10382" width="10.7109375" style="1491" bestFit="1" customWidth="1"/>
    <col min="10383" max="10383" width="10.42578125" style="1491" bestFit="1" customWidth="1"/>
    <col min="10384" max="10384" width="10.7109375" style="1491" bestFit="1" customWidth="1"/>
    <col min="10385" max="10487" width="7.5703125" style="1491"/>
    <col min="10488" max="10488" width="44.5703125" style="1491" customWidth="1"/>
    <col min="10489" max="10489" width="11.42578125" style="1491" customWidth="1"/>
    <col min="10490" max="10490" width="9.28515625" style="1491" customWidth="1"/>
    <col min="10491" max="10491" width="11" style="1491" customWidth="1"/>
    <col min="10492" max="10492" width="11.140625" style="1491" customWidth="1"/>
    <col min="10493" max="10493" width="8.140625" style="1491" bestFit="1" customWidth="1"/>
    <col min="10494" max="10494" width="7.85546875" style="1491" bestFit="1" customWidth="1"/>
    <col min="10495" max="10495" width="9.5703125" style="1491" bestFit="1" customWidth="1"/>
    <col min="10496" max="10496" width="9" style="1491" bestFit="1" customWidth="1"/>
    <col min="10497" max="10497" width="9.5703125" style="1491" bestFit="1" customWidth="1"/>
    <col min="10498" max="10498" width="9.42578125" style="1491" bestFit="1" customWidth="1"/>
    <col min="10499" max="10499" width="9.140625" style="1491" bestFit="1" customWidth="1"/>
    <col min="10500" max="10500" width="9.42578125" style="1491" bestFit="1" customWidth="1"/>
    <col min="10501" max="10501" width="9.140625" style="1491" bestFit="1" customWidth="1"/>
    <col min="10502" max="10502" width="9.5703125" style="1491" bestFit="1" customWidth="1"/>
    <col min="10503" max="10503" width="9.42578125" style="1491" bestFit="1" customWidth="1"/>
    <col min="10504" max="10506" width="9.140625" style="1491" bestFit="1" customWidth="1"/>
    <col min="10507" max="10507" width="10" style="1491" bestFit="1" customWidth="1"/>
    <col min="10508" max="10508" width="9.140625" style="1491" bestFit="1" customWidth="1"/>
    <col min="10509" max="10509" width="9.42578125" style="1491" bestFit="1" customWidth="1"/>
    <col min="10510" max="10510" width="8.7109375" style="1491" bestFit="1" customWidth="1"/>
    <col min="10511" max="10511" width="9" style="1491" bestFit="1" customWidth="1"/>
    <col min="10512" max="10512" width="9.42578125" style="1491" bestFit="1" customWidth="1"/>
    <col min="10513" max="10513" width="10" style="1491" bestFit="1" customWidth="1"/>
    <col min="10514" max="10514" width="8.85546875" style="1491" bestFit="1" customWidth="1"/>
    <col min="10515" max="10515" width="10.42578125" style="1491" bestFit="1" customWidth="1"/>
    <col min="10516" max="10516" width="8.85546875" style="1491" bestFit="1" customWidth="1"/>
    <col min="10517" max="10517" width="10.42578125" style="1491" bestFit="1" customWidth="1"/>
    <col min="10518" max="10519" width="9.5703125" style="1491" bestFit="1" customWidth="1"/>
    <col min="10520" max="10520" width="9.140625" style="1491" bestFit="1" customWidth="1"/>
    <col min="10521" max="10521" width="10" style="1491" bestFit="1" customWidth="1"/>
    <col min="10522" max="10522" width="9.140625" style="1491" bestFit="1" customWidth="1"/>
    <col min="10523" max="10523" width="10.42578125" style="1491" bestFit="1" customWidth="1"/>
    <col min="10524" max="10524" width="9.5703125" style="1491" bestFit="1" customWidth="1"/>
    <col min="10525" max="10525" width="10.42578125" style="1491" bestFit="1" customWidth="1"/>
    <col min="10526" max="10526" width="9.5703125" style="1491" bestFit="1" customWidth="1"/>
    <col min="10527" max="10527" width="10" style="1491" bestFit="1" customWidth="1"/>
    <col min="10528" max="10528" width="9.5703125" style="1491" bestFit="1" customWidth="1"/>
    <col min="10529" max="10529" width="10" style="1491" bestFit="1" customWidth="1"/>
    <col min="10530" max="10530" width="9.5703125" style="1491" bestFit="1" customWidth="1"/>
    <col min="10531" max="10531" width="10.7109375" style="1491" bestFit="1" customWidth="1"/>
    <col min="10532" max="10532" width="9.5703125" style="1491" bestFit="1" customWidth="1"/>
    <col min="10533" max="10533" width="10.7109375" style="1491" bestFit="1" customWidth="1"/>
    <col min="10534" max="10534" width="9.5703125" style="1491" bestFit="1" customWidth="1"/>
    <col min="10535" max="10535" width="10.7109375" style="1491" bestFit="1" customWidth="1"/>
    <col min="10536" max="10536" width="9.5703125" style="1491" bestFit="1" customWidth="1"/>
    <col min="10537" max="10537" width="10.7109375" style="1491" bestFit="1" customWidth="1"/>
    <col min="10538" max="10538" width="9.140625" style="1491" bestFit="1" customWidth="1"/>
    <col min="10539" max="10539" width="10.7109375" style="1491" bestFit="1" customWidth="1"/>
    <col min="10540" max="10540" width="9.5703125" style="1491" bestFit="1" customWidth="1"/>
    <col min="10541" max="10541" width="10.42578125" style="1491" bestFit="1" customWidth="1"/>
    <col min="10542" max="10542" width="9.5703125" style="1491" bestFit="1" customWidth="1"/>
    <col min="10543" max="10543" width="10.7109375" style="1491" bestFit="1" customWidth="1"/>
    <col min="10544" max="10544" width="9.5703125" style="1491" bestFit="1" customWidth="1"/>
    <col min="10545" max="10545" width="10.7109375" style="1491" bestFit="1" customWidth="1"/>
    <col min="10546" max="10546" width="9.140625" style="1491" bestFit="1" customWidth="1"/>
    <col min="10547" max="10547" width="10.7109375" style="1491" bestFit="1" customWidth="1"/>
    <col min="10548" max="10548" width="9.5703125" style="1491" bestFit="1" customWidth="1"/>
    <col min="10549" max="10549" width="10.42578125" style="1491" bestFit="1" customWidth="1"/>
    <col min="10550" max="10550" width="9.140625" style="1491" bestFit="1" customWidth="1"/>
    <col min="10551" max="10551" width="10" style="1491" bestFit="1" customWidth="1"/>
    <col min="10552" max="10554" width="10.42578125" style="1491" bestFit="1" customWidth="1"/>
    <col min="10555" max="10555" width="10" style="1491" bestFit="1" customWidth="1"/>
    <col min="10556" max="10556" width="10.7109375" style="1491" bestFit="1" customWidth="1"/>
    <col min="10557" max="10557" width="10.42578125" style="1491" bestFit="1" customWidth="1"/>
    <col min="10558" max="10558" width="10.7109375" style="1491" bestFit="1" customWidth="1"/>
    <col min="10559" max="10561" width="10" style="1491" bestFit="1" customWidth="1"/>
    <col min="10562" max="10562" width="10.7109375" style="1491" bestFit="1" customWidth="1"/>
    <col min="10563" max="10563" width="10.42578125" style="1491" bestFit="1" customWidth="1"/>
    <col min="10564" max="10564" width="10.7109375" style="1491" bestFit="1" customWidth="1"/>
    <col min="10565" max="10565" width="10.42578125" style="1491" bestFit="1" customWidth="1"/>
    <col min="10566" max="10568" width="10" style="1491" bestFit="1" customWidth="1"/>
    <col min="10569" max="10569" width="10.42578125" style="1491" bestFit="1" customWidth="1"/>
    <col min="10570" max="10570" width="10" style="1491" bestFit="1" customWidth="1"/>
    <col min="10571" max="10574" width="10.42578125" style="1491" bestFit="1" customWidth="1"/>
    <col min="10575" max="10575" width="10" style="1491" bestFit="1" customWidth="1"/>
    <col min="10576" max="10576" width="10.42578125" style="1491" bestFit="1" customWidth="1"/>
    <col min="10577" max="10577" width="10.7109375" style="1491" bestFit="1" customWidth="1"/>
    <col min="10578" max="10578" width="10" style="1491" bestFit="1" customWidth="1"/>
    <col min="10579" max="10580" width="10.42578125" style="1491" bestFit="1" customWidth="1"/>
    <col min="10581" max="10583" width="10" style="1491" bestFit="1" customWidth="1"/>
    <col min="10584" max="10584" width="10.7109375" style="1491" bestFit="1" customWidth="1"/>
    <col min="10585" max="10585" width="10" style="1491" bestFit="1" customWidth="1"/>
    <col min="10586" max="10586" width="10.42578125" style="1491" bestFit="1" customWidth="1"/>
    <col min="10587" max="10588" width="10.7109375" style="1491" bestFit="1" customWidth="1"/>
    <col min="10589" max="10589" width="10" style="1491" bestFit="1" customWidth="1"/>
    <col min="10590" max="10591" width="10.42578125" style="1491" bestFit="1" customWidth="1"/>
    <col min="10592" max="10592" width="10.7109375" style="1491" bestFit="1" customWidth="1"/>
    <col min="10593" max="10593" width="10.42578125" style="1491" bestFit="1" customWidth="1"/>
    <col min="10594" max="10596" width="10.7109375" style="1491" bestFit="1" customWidth="1"/>
    <col min="10597" max="10598" width="0" style="1491" hidden="1" customWidth="1"/>
    <col min="10599" max="10599" width="10.7109375" style="1491" bestFit="1" customWidth="1"/>
    <col min="10600" max="10601" width="10.42578125" style="1491" bestFit="1" customWidth="1"/>
    <col min="10602" max="10604" width="10.7109375" style="1491" bestFit="1" customWidth="1"/>
    <col min="10605" max="10606" width="10.42578125" style="1491" bestFit="1" customWidth="1"/>
    <col min="10607" max="10607" width="10.7109375" style="1491" bestFit="1" customWidth="1"/>
    <col min="10608" max="10608" width="10.42578125" style="1491" bestFit="1" customWidth="1"/>
    <col min="10609" max="10613" width="10.7109375" style="1491" bestFit="1" customWidth="1"/>
    <col min="10614" max="10615" width="10.42578125" style="1491" bestFit="1" customWidth="1"/>
    <col min="10616" max="10617" width="10.7109375" style="1491" bestFit="1" customWidth="1"/>
    <col min="10618" max="10618" width="10.42578125" style="1491" bestFit="1" customWidth="1"/>
    <col min="10619" max="10622" width="10.7109375" style="1491" bestFit="1" customWidth="1"/>
    <col min="10623" max="10623" width="10.42578125" style="1491" bestFit="1" customWidth="1"/>
    <col min="10624" max="10624" width="10.5703125" style="1491" customWidth="1"/>
    <col min="10625" max="10627" width="10.7109375" style="1491" bestFit="1" customWidth="1"/>
    <col min="10628" max="10628" width="10.42578125" style="1491" bestFit="1" customWidth="1"/>
    <col min="10629" max="10630" width="10.7109375" style="1491" bestFit="1" customWidth="1"/>
    <col min="10631" max="10631" width="10.42578125" style="1491" bestFit="1" customWidth="1"/>
    <col min="10632" max="10634" width="10.7109375" style="1491" bestFit="1" customWidth="1"/>
    <col min="10635" max="10635" width="10" style="1491" bestFit="1" customWidth="1"/>
    <col min="10636" max="10638" width="10.7109375" style="1491" bestFit="1" customWidth="1"/>
    <col min="10639" max="10639" width="10.42578125" style="1491" bestFit="1" customWidth="1"/>
    <col min="10640" max="10640" width="10.7109375" style="1491" bestFit="1" customWidth="1"/>
    <col min="10641" max="10743" width="7.5703125" style="1491"/>
    <col min="10744" max="10744" width="44.5703125" style="1491" customWidth="1"/>
    <col min="10745" max="10745" width="11.42578125" style="1491" customWidth="1"/>
    <col min="10746" max="10746" width="9.28515625" style="1491" customWidth="1"/>
    <col min="10747" max="10747" width="11" style="1491" customWidth="1"/>
    <col min="10748" max="10748" width="11.140625" style="1491" customWidth="1"/>
    <col min="10749" max="10749" width="8.140625" style="1491" bestFit="1" customWidth="1"/>
    <col min="10750" max="10750" width="7.85546875" style="1491" bestFit="1" customWidth="1"/>
    <col min="10751" max="10751" width="9.5703125" style="1491" bestFit="1" customWidth="1"/>
    <col min="10752" max="10752" width="9" style="1491" bestFit="1" customWidth="1"/>
    <col min="10753" max="10753" width="9.5703125" style="1491" bestFit="1" customWidth="1"/>
    <col min="10754" max="10754" width="9.42578125" style="1491" bestFit="1" customWidth="1"/>
    <col min="10755" max="10755" width="9.140625" style="1491" bestFit="1" customWidth="1"/>
    <col min="10756" max="10756" width="9.42578125" style="1491" bestFit="1" customWidth="1"/>
    <col min="10757" max="10757" width="9.140625" style="1491" bestFit="1" customWidth="1"/>
    <col min="10758" max="10758" width="9.5703125" style="1491" bestFit="1" customWidth="1"/>
    <col min="10759" max="10759" width="9.42578125" style="1491" bestFit="1" customWidth="1"/>
    <col min="10760" max="10762" width="9.140625" style="1491" bestFit="1" customWidth="1"/>
    <col min="10763" max="10763" width="10" style="1491" bestFit="1" customWidth="1"/>
    <col min="10764" max="10764" width="9.140625" style="1491" bestFit="1" customWidth="1"/>
    <col min="10765" max="10765" width="9.42578125" style="1491" bestFit="1" customWidth="1"/>
    <col min="10766" max="10766" width="8.7109375" style="1491" bestFit="1" customWidth="1"/>
    <col min="10767" max="10767" width="9" style="1491" bestFit="1" customWidth="1"/>
    <col min="10768" max="10768" width="9.42578125" style="1491" bestFit="1" customWidth="1"/>
    <col min="10769" max="10769" width="10" style="1491" bestFit="1" customWidth="1"/>
    <col min="10770" max="10770" width="8.85546875" style="1491" bestFit="1" customWidth="1"/>
    <col min="10771" max="10771" width="10.42578125" style="1491" bestFit="1" customWidth="1"/>
    <col min="10772" max="10772" width="8.85546875" style="1491" bestFit="1" customWidth="1"/>
    <col min="10773" max="10773" width="10.42578125" style="1491" bestFit="1" customWidth="1"/>
    <col min="10774" max="10775" width="9.5703125" style="1491" bestFit="1" customWidth="1"/>
    <col min="10776" max="10776" width="9.140625" style="1491" bestFit="1" customWidth="1"/>
    <col min="10777" max="10777" width="10" style="1491" bestFit="1" customWidth="1"/>
    <col min="10778" max="10778" width="9.140625" style="1491" bestFit="1" customWidth="1"/>
    <col min="10779" max="10779" width="10.42578125" style="1491" bestFit="1" customWidth="1"/>
    <col min="10780" max="10780" width="9.5703125" style="1491" bestFit="1" customWidth="1"/>
    <col min="10781" max="10781" width="10.42578125" style="1491" bestFit="1" customWidth="1"/>
    <col min="10782" max="10782" width="9.5703125" style="1491" bestFit="1" customWidth="1"/>
    <col min="10783" max="10783" width="10" style="1491" bestFit="1" customWidth="1"/>
    <col min="10784" max="10784" width="9.5703125" style="1491" bestFit="1" customWidth="1"/>
    <col min="10785" max="10785" width="10" style="1491" bestFit="1" customWidth="1"/>
    <col min="10786" max="10786" width="9.5703125" style="1491" bestFit="1" customWidth="1"/>
    <col min="10787" max="10787" width="10.7109375" style="1491" bestFit="1" customWidth="1"/>
    <col min="10788" max="10788" width="9.5703125" style="1491" bestFit="1" customWidth="1"/>
    <col min="10789" max="10789" width="10.7109375" style="1491" bestFit="1" customWidth="1"/>
    <col min="10790" max="10790" width="9.5703125" style="1491" bestFit="1" customWidth="1"/>
    <col min="10791" max="10791" width="10.7109375" style="1491" bestFit="1" customWidth="1"/>
    <col min="10792" max="10792" width="9.5703125" style="1491" bestFit="1" customWidth="1"/>
    <col min="10793" max="10793" width="10.7109375" style="1491" bestFit="1" customWidth="1"/>
    <col min="10794" max="10794" width="9.140625" style="1491" bestFit="1" customWidth="1"/>
    <col min="10795" max="10795" width="10.7109375" style="1491" bestFit="1" customWidth="1"/>
    <col min="10796" max="10796" width="9.5703125" style="1491" bestFit="1" customWidth="1"/>
    <col min="10797" max="10797" width="10.42578125" style="1491" bestFit="1" customWidth="1"/>
    <col min="10798" max="10798" width="9.5703125" style="1491" bestFit="1" customWidth="1"/>
    <col min="10799" max="10799" width="10.7109375" style="1491" bestFit="1" customWidth="1"/>
    <col min="10800" max="10800" width="9.5703125" style="1491" bestFit="1" customWidth="1"/>
    <col min="10801" max="10801" width="10.7109375" style="1491" bestFit="1" customWidth="1"/>
    <col min="10802" max="10802" width="9.140625" style="1491" bestFit="1" customWidth="1"/>
    <col min="10803" max="10803" width="10.7109375" style="1491" bestFit="1" customWidth="1"/>
    <col min="10804" max="10804" width="9.5703125" style="1491" bestFit="1" customWidth="1"/>
    <col min="10805" max="10805" width="10.42578125" style="1491" bestFit="1" customWidth="1"/>
    <col min="10806" max="10806" width="9.140625" style="1491" bestFit="1" customWidth="1"/>
    <col min="10807" max="10807" width="10" style="1491" bestFit="1" customWidth="1"/>
    <col min="10808" max="10810" width="10.42578125" style="1491" bestFit="1" customWidth="1"/>
    <col min="10811" max="10811" width="10" style="1491" bestFit="1" customWidth="1"/>
    <col min="10812" max="10812" width="10.7109375" style="1491" bestFit="1" customWidth="1"/>
    <col min="10813" max="10813" width="10.42578125" style="1491" bestFit="1" customWidth="1"/>
    <col min="10814" max="10814" width="10.7109375" style="1491" bestFit="1" customWidth="1"/>
    <col min="10815" max="10817" width="10" style="1491" bestFit="1" customWidth="1"/>
    <col min="10818" max="10818" width="10.7109375" style="1491" bestFit="1" customWidth="1"/>
    <col min="10819" max="10819" width="10.42578125" style="1491" bestFit="1" customWidth="1"/>
    <col min="10820" max="10820" width="10.7109375" style="1491" bestFit="1" customWidth="1"/>
    <col min="10821" max="10821" width="10.42578125" style="1491" bestFit="1" customWidth="1"/>
    <col min="10822" max="10824" width="10" style="1491" bestFit="1" customWidth="1"/>
    <col min="10825" max="10825" width="10.42578125" style="1491" bestFit="1" customWidth="1"/>
    <col min="10826" max="10826" width="10" style="1491" bestFit="1" customWidth="1"/>
    <col min="10827" max="10830" width="10.42578125" style="1491" bestFit="1" customWidth="1"/>
    <col min="10831" max="10831" width="10" style="1491" bestFit="1" customWidth="1"/>
    <col min="10832" max="10832" width="10.42578125" style="1491" bestFit="1" customWidth="1"/>
    <col min="10833" max="10833" width="10.7109375" style="1491" bestFit="1" customWidth="1"/>
    <col min="10834" max="10834" width="10" style="1491" bestFit="1" customWidth="1"/>
    <col min="10835" max="10836" width="10.42578125" style="1491" bestFit="1" customWidth="1"/>
    <col min="10837" max="10839" width="10" style="1491" bestFit="1" customWidth="1"/>
    <col min="10840" max="10840" width="10.7109375" style="1491" bestFit="1" customWidth="1"/>
    <col min="10841" max="10841" width="10" style="1491" bestFit="1" customWidth="1"/>
    <col min="10842" max="10842" width="10.42578125" style="1491" bestFit="1" customWidth="1"/>
    <col min="10843" max="10844" width="10.7109375" style="1491" bestFit="1" customWidth="1"/>
    <col min="10845" max="10845" width="10" style="1491" bestFit="1" customWidth="1"/>
    <col min="10846" max="10847" width="10.42578125" style="1491" bestFit="1" customWidth="1"/>
    <col min="10848" max="10848" width="10.7109375" style="1491" bestFit="1" customWidth="1"/>
    <col min="10849" max="10849" width="10.42578125" style="1491" bestFit="1" customWidth="1"/>
    <col min="10850" max="10852" width="10.7109375" style="1491" bestFit="1" customWidth="1"/>
    <col min="10853" max="10854" width="0" style="1491" hidden="1" customWidth="1"/>
    <col min="10855" max="10855" width="10.7109375" style="1491" bestFit="1" customWidth="1"/>
    <col min="10856" max="10857" width="10.42578125" style="1491" bestFit="1" customWidth="1"/>
    <col min="10858" max="10860" width="10.7109375" style="1491" bestFit="1" customWidth="1"/>
    <col min="10861" max="10862" width="10.42578125" style="1491" bestFit="1" customWidth="1"/>
    <col min="10863" max="10863" width="10.7109375" style="1491" bestFit="1" customWidth="1"/>
    <col min="10864" max="10864" width="10.42578125" style="1491" bestFit="1" customWidth="1"/>
    <col min="10865" max="10869" width="10.7109375" style="1491" bestFit="1" customWidth="1"/>
    <col min="10870" max="10871" width="10.42578125" style="1491" bestFit="1" customWidth="1"/>
    <col min="10872" max="10873" width="10.7109375" style="1491" bestFit="1" customWidth="1"/>
    <col min="10874" max="10874" width="10.42578125" style="1491" bestFit="1" customWidth="1"/>
    <col min="10875" max="10878" width="10.7109375" style="1491" bestFit="1" customWidth="1"/>
    <col min="10879" max="10879" width="10.42578125" style="1491" bestFit="1" customWidth="1"/>
    <col min="10880" max="10880" width="10.5703125" style="1491" customWidth="1"/>
    <col min="10881" max="10883" width="10.7109375" style="1491" bestFit="1" customWidth="1"/>
    <col min="10884" max="10884" width="10.42578125" style="1491" bestFit="1" customWidth="1"/>
    <col min="10885" max="10886" width="10.7109375" style="1491" bestFit="1" customWidth="1"/>
    <col min="10887" max="10887" width="10.42578125" style="1491" bestFit="1" customWidth="1"/>
    <col min="10888" max="10890" width="10.7109375" style="1491" bestFit="1" customWidth="1"/>
    <col min="10891" max="10891" width="10" style="1491" bestFit="1" customWidth="1"/>
    <col min="10892" max="10894" width="10.7109375" style="1491" bestFit="1" customWidth="1"/>
    <col min="10895" max="10895" width="10.42578125" style="1491" bestFit="1" customWidth="1"/>
    <col min="10896" max="10896" width="10.7109375" style="1491" bestFit="1" customWidth="1"/>
    <col min="10897" max="10999" width="7.5703125" style="1491"/>
    <col min="11000" max="11000" width="44.5703125" style="1491" customWidth="1"/>
    <col min="11001" max="11001" width="11.42578125" style="1491" customWidth="1"/>
    <col min="11002" max="11002" width="9.28515625" style="1491" customWidth="1"/>
    <col min="11003" max="11003" width="11" style="1491" customWidth="1"/>
    <col min="11004" max="11004" width="11.140625" style="1491" customWidth="1"/>
    <col min="11005" max="11005" width="8.140625" style="1491" bestFit="1" customWidth="1"/>
    <col min="11006" max="11006" width="7.85546875" style="1491" bestFit="1" customWidth="1"/>
    <col min="11007" max="11007" width="9.5703125" style="1491" bestFit="1" customWidth="1"/>
    <col min="11008" max="11008" width="9" style="1491" bestFit="1" customWidth="1"/>
    <col min="11009" max="11009" width="9.5703125" style="1491" bestFit="1" customWidth="1"/>
    <col min="11010" max="11010" width="9.42578125" style="1491" bestFit="1" customWidth="1"/>
    <col min="11011" max="11011" width="9.140625" style="1491" bestFit="1" customWidth="1"/>
    <col min="11012" max="11012" width="9.42578125" style="1491" bestFit="1" customWidth="1"/>
    <col min="11013" max="11013" width="9.140625" style="1491" bestFit="1" customWidth="1"/>
    <col min="11014" max="11014" width="9.5703125" style="1491" bestFit="1" customWidth="1"/>
    <col min="11015" max="11015" width="9.42578125" style="1491" bestFit="1" customWidth="1"/>
    <col min="11016" max="11018" width="9.140625" style="1491" bestFit="1" customWidth="1"/>
    <col min="11019" max="11019" width="10" style="1491" bestFit="1" customWidth="1"/>
    <col min="11020" max="11020" width="9.140625" style="1491" bestFit="1" customWidth="1"/>
    <col min="11021" max="11021" width="9.42578125" style="1491" bestFit="1" customWidth="1"/>
    <col min="11022" max="11022" width="8.7109375" style="1491" bestFit="1" customWidth="1"/>
    <col min="11023" max="11023" width="9" style="1491" bestFit="1" customWidth="1"/>
    <col min="11024" max="11024" width="9.42578125" style="1491" bestFit="1" customWidth="1"/>
    <col min="11025" max="11025" width="10" style="1491" bestFit="1" customWidth="1"/>
    <col min="11026" max="11026" width="8.85546875" style="1491" bestFit="1" customWidth="1"/>
    <col min="11027" max="11027" width="10.42578125" style="1491" bestFit="1" customWidth="1"/>
    <col min="11028" max="11028" width="8.85546875" style="1491" bestFit="1" customWidth="1"/>
    <col min="11029" max="11029" width="10.42578125" style="1491" bestFit="1" customWidth="1"/>
    <col min="11030" max="11031" width="9.5703125" style="1491" bestFit="1" customWidth="1"/>
    <col min="11032" max="11032" width="9.140625" style="1491" bestFit="1" customWidth="1"/>
    <col min="11033" max="11033" width="10" style="1491" bestFit="1" customWidth="1"/>
    <col min="11034" max="11034" width="9.140625" style="1491" bestFit="1" customWidth="1"/>
    <col min="11035" max="11035" width="10.42578125" style="1491" bestFit="1" customWidth="1"/>
    <col min="11036" max="11036" width="9.5703125" style="1491" bestFit="1" customWidth="1"/>
    <col min="11037" max="11037" width="10.42578125" style="1491" bestFit="1" customWidth="1"/>
    <col min="11038" max="11038" width="9.5703125" style="1491" bestFit="1" customWidth="1"/>
    <col min="11039" max="11039" width="10" style="1491" bestFit="1" customWidth="1"/>
    <col min="11040" max="11040" width="9.5703125" style="1491" bestFit="1" customWidth="1"/>
    <col min="11041" max="11041" width="10" style="1491" bestFit="1" customWidth="1"/>
    <col min="11042" max="11042" width="9.5703125" style="1491" bestFit="1" customWidth="1"/>
    <col min="11043" max="11043" width="10.7109375" style="1491" bestFit="1" customWidth="1"/>
    <col min="11044" max="11044" width="9.5703125" style="1491" bestFit="1" customWidth="1"/>
    <col min="11045" max="11045" width="10.7109375" style="1491" bestFit="1" customWidth="1"/>
    <col min="11046" max="11046" width="9.5703125" style="1491" bestFit="1" customWidth="1"/>
    <col min="11047" max="11047" width="10.7109375" style="1491" bestFit="1" customWidth="1"/>
    <col min="11048" max="11048" width="9.5703125" style="1491" bestFit="1" customWidth="1"/>
    <col min="11049" max="11049" width="10.7109375" style="1491" bestFit="1" customWidth="1"/>
    <col min="11050" max="11050" width="9.140625" style="1491" bestFit="1" customWidth="1"/>
    <col min="11051" max="11051" width="10.7109375" style="1491" bestFit="1" customWidth="1"/>
    <col min="11052" max="11052" width="9.5703125" style="1491" bestFit="1" customWidth="1"/>
    <col min="11053" max="11053" width="10.42578125" style="1491" bestFit="1" customWidth="1"/>
    <col min="11054" max="11054" width="9.5703125" style="1491" bestFit="1" customWidth="1"/>
    <col min="11055" max="11055" width="10.7109375" style="1491" bestFit="1" customWidth="1"/>
    <col min="11056" max="11056" width="9.5703125" style="1491" bestFit="1" customWidth="1"/>
    <col min="11057" max="11057" width="10.7109375" style="1491" bestFit="1" customWidth="1"/>
    <col min="11058" max="11058" width="9.140625" style="1491" bestFit="1" customWidth="1"/>
    <col min="11059" max="11059" width="10.7109375" style="1491" bestFit="1" customWidth="1"/>
    <col min="11060" max="11060" width="9.5703125" style="1491" bestFit="1" customWidth="1"/>
    <col min="11061" max="11061" width="10.42578125" style="1491" bestFit="1" customWidth="1"/>
    <col min="11062" max="11062" width="9.140625" style="1491" bestFit="1" customWidth="1"/>
    <col min="11063" max="11063" width="10" style="1491" bestFit="1" customWidth="1"/>
    <col min="11064" max="11066" width="10.42578125" style="1491" bestFit="1" customWidth="1"/>
    <col min="11067" max="11067" width="10" style="1491" bestFit="1" customWidth="1"/>
    <col min="11068" max="11068" width="10.7109375" style="1491" bestFit="1" customWidth="1"/>
    <col min="11069" max="11069" width="10.42578125" style="1491" bestFit="1" customWidth="1"/>
    <col min="11070" max="11070" width="10.7109375" style="1491" bestFit="1" customWidth="1"/>
    <col min="11071" max="11073" width="10" style="1491" bestFit="1" customWidth="1"/>
    <col min="11074" max="11074" width="10.7109375" style="1491" bestFit="1" customWidth="1"/>
    <col min="11075" max="11075" width="10.42578125" style="1491" bestFit="1" customWidth="1"/>
    <col min="11076" max="11076" width="10.7109375" style="1491" bestFit="1" customWidth="1"/>
    <col min="11077" max="11077" width="10.42578125" style="1491" bestFit="1" customWidth="1"/>
    <col min="11078" max="11080" width="10" style="1491" bestFit="1" customWidth="1"/>
    <col min="11081" max="11081" width="10.42578125" style="1491" bestFit="1" customWidth="1"/>
    <col min="11082" max="11082" width="10" style="1491" bestFit="1" customWidth="1"/>
    <col min="11083" max="11086" width="10.42578125" style="1491" bestFit="1" customWidth="1"/>
    <col min="11087" max="11087" width="10" style="1491" bestFit="1" customWidth="1"/>
    <col min="11088" max="11088" width="10.42578125" style="1491" bestFit="1" customWidth="1"/>
    <col min="11089" max="11089" width="10.7109375" style="1491" bestFit="1" customWidth="1"/>
    <col min="11090" max="11090" width="10" style="1491" bestFit="1" customWidth="1"/>
    <col min="11091" max="11092" width="10.42578125" style="1491" bestFit="1" customWidth="1"/>
    <col min="11093" max="11095" width="10" style="1491" bestFit="1" customWidth="1"/>
    <col min="11096" max="11096" width="10.7109375" style="1491" bestFit="1" customWidth="1"/>
    <col min="11097" max="11097" width="10" style="1491" bestFit="1" customWidth="1"/>
    <col min="11098" max="11098" width="10.42578125" style="1491" bestFit="1" customWidth="1"/>
    <col min="11099" max="11100" width="10.7109375" style="1491" bestFit="1" customWidth="1"/>
    <col min="11101" max="11101" width="10" style="1491" bestFit="1" customWidth="1"/>
    <col min="11102" max="11103" width="10.42578125" style="1491" bestFit="1" customWidth="1"/>
    <col min="11104" max="11104" width="10.7109375" style="1491" bestFit="1" customWidth="1"/>
    <col min="11105" max="11105" width="10.42578125" style="1491" bestFit="1" customWidth="1"/>
    <col min="11106" max="11108" width="10.7109375" style="1491" bestFit="1" customWidth="1"/>
    <col min="11109" max="11110" width="0" style="1491" hidden="1" customWidth="1"/>
    <col min="11111" max="11111" width="10.7109375" style="1491" bestFit="1" customWidth="1"/>
    <col min="11112" max="11113" width="10.42578125" style="1491" bestFit="1" customWidth="1"/>
    <col min="11114" max="11116" width="10.7109375" style="1491" bestFit="1" customWidth="1"/>
    <col min="11117" max="11118" width="10.42578125" style="1491" bestFit="1" customWidth="1"/>
    <col min="11119" max="11119" width="10.7109375" style="1491" bestFit="1" customWidth="1"/>
    <col min="11120" max="11120" width="10.42578125" style="1491" bestFit="1" customWidth="1"/>
    <col min="11121" max="11125" width="10.7109375" style="1491" bestFit="1" customWidth="1"/>
    <col min="11126" max="11127" width="10.42578125" style="1491" bestFit="1" customWidth="1"/>
    <col min="11128" max="11129" width="10.7109375" style="1491" bestFit="1" customWidth="1"/>
    <col min="11130" max="11130" width="10.42578125" style="1491" bestFit="1" customWidth="1"/>
    <col min="11131" max="11134" width="10.7109375" style="1491" bestFit="1" customWidth="1"/>
    <col min="11135" max="11135" width="10.42578125" style="1491" bestFit="1" customWidth="1"/>
    <col min="11136" max="11136" width="10.5703125" style="1491" customWidth="1"/>
    <col min="11137" max="11139" width="10.7109375" style="1491" bestFit="1" customWidth="1"/>
    <col min="11140" max="11140" width="10.42578125" style="1491" bestFit="1" customWidth="1"/>
    <col min="11141" max="11142" width="10.7109375" style="1491" bestFit="1" customWidth="1"/>
    <col min="11143" max="11143" width="10.42578125" style="1491" bestFit="1" customWidth="1"/>
    <col min="11144" max="11146" width="10.7109375" style="1491" bestFit="1" customWidth="1"/>
    <col min="11147" max="11147" width="10" style="1491" bestFit="1" customWidth="1"/>
    <col min="11148" max="11150" width="10.7109375" style="1491" bestFit="1" customWidth="1"/>
    <col min="11151" max="11151" width="10.42578125" style="1491" bestFit="1" customWidth="1"/>
    <col min="11152" max="11152" width="10.7109375" style="1491" bestFit="1" customWidth="1"/>
    <col min="11153" max="11255" width="7.5703125" style="1491"/>
    <col min="11256" max="11256" width="44.5703125" style="1491" customWidth="1"/>
    <col min="11257" max="11257" width="11.42578125" style="1491" customWidth="1"/>
    <col min="11258" max="11258" width="9.28515625" style="1491" customWidth="1"/>
    <col min="11259" max="11259" width="11" style="1491" customWidth="1"/>
    <col min="11260" max="11260" width="11.140625" style="1491" customWidth="1"/>
    <col min="11261" max="11261" width="8.140625" style="1491" bestFit="1" customWidth="1"/>
    <col min="11262" max="11262" width="7.85546875" style="1491" bestFit="1" customWidth="1"/>
    <col min="11263" max="11263" width="9.5703125" style="1491" bestFit="1" customWidth="1"/>
    <col min="11264" max="11264" width="9" style="1491" bestFit="1" customWidth="1"/>
    <col min="11265" max="11265" width="9.5703125" style="1491" bestFit="1" customWidth="1"/>
    <col min="11266" max="11266" width="9.42578125" style="1491" bestFit="1" customWidth="1"/>
    <col min="11267" max="11267" width="9.140625" style="1491" bestFit="1" customWidth="1"/>
    <col min="11268" max="11268" width="9.42578125" style="1491" bestFit="1" customWidth="1"/>
    <col min="11269" max="11269" width="9.140625" style="1491" bestFit="1" customWidth="1"/>
    <col min="11270" max="11270" width="9.5703125" style="1491" bestFit="1" customWidth="1"/>
    <col min="11271" max="11271" width="9.42578125" style="1491" bestFit="1" customWidth="1"/>
    <col min="11272" max="11274" width="9.140625" style="1491" bestFit="1" customWidth="1"/>
    <col min="11275" max="11275" width="10" style="1491" bestFit="1" customWidth="1"/>
    <col min="11276" max="11276" width="9.140625" style="1491" bestFit="1" customWidth="1"/>
    <col min="11277" max="11277" width="9.42578125" style="1491" bestFit="1" customWidth="1"/>
    <col min="11278" max="11278" width="8.7109375" style="1491" bestFit="1" customWidth="1"/>
    <col min="11279" max="11279" width="9" style="1491" bestFit="1" customWidth="1"/>
    <col min="11280" max="11280" width="9.42578125" style="1491" bestFit="1" customWidth="1"/>
    <col min="11281" max="11281" width="10" style="1491" bestFit="1" customWidth="1"/>
    <col min="11282" max="11282" width="8.85546875" style="1491" bestFit="1" customWidth="1"/>
    <col min="11283" max="11283" width="10.42578125" style="1491" bestFit="1" customWidth="1"/>
    <col min="11284" max="11284" width="8.85546875" style="1491" bestFit="1" customWidth="1"/>
    <col min="11285" max="11285" width="10.42578125" style="1491" bestFit="1" customWidth="1"/>
    <col min="11286" max="11287" width="9.5703125" style="1491" bestFit="1" customWidth="1"/>
    <col min="11288" max="11288" width="9.140625" style="1491" bestFit="1" customWidth="1"/>
    <col min="11289" max="11289" width="10" style="1491" bestFit="1" customWidth="1"/>
    <col min="11290" max="11290" width="9.140625" style="1491" bestFit="1" customWidth="1"/>
    <col min="11291" max="11291" width="10.42578125" style="1491" bestFit="1" customWidth="1"/>
    <col min="11292" max="11292" width="9.5703125" style="1491" bestFit="1" customWidth="1"/>
    <col min="11293" max="11293" width="10.42578125" style="1491" bestFit="1" customWidth="1"/>
    <col min="11294" max="11294" width="9.5703125" style="1491" bestFit="1" customWidth="1"/>
    <col min="11295" max="11295" width="10" style="1491" bestFit="1" customWidth="1"/>
    <col min="11296" max="11296" width="9.5703125" style="1491" bestFit="1" customWidth="1"/>
    <col min="11297" max="11297" width="10" style="1491" bestFit="1" customWidth="1"/>
    <col min="11298" max="11298" width="9.5703125" style="1491" bestFit="1" customWidth="1"/>
    <col min="11299" max="11299" width="10.7109375" style="1491" bestFit="1" customWidth="1"/>
    <col min="11300" max="11300" width="9.5703125" style="1491" bestFit="1" customWidth="1"/>
    <col min="11301" max="11301" width="10.7109375" style="1491" bestFit="1" customWidth="1"/>
    <col min="11302" max="11302" width="9.5703125" style="1491" bestFit="1" customWidth="1"/>
    <col min="11303" max="11303" width="10.7109375" style="1491" bestFit="1" customWidth="1"/>
    <col min="11304" max="11304" width="9.5703125" style="1491" bestFit="1" customWidth="1"/>
    <col min="11305" max="11305" width="10.7109375" style="1491" bestFit="1" customWidth="1"/>
    <col min="11306" max="11306" width="9.140625" style="1491" bestFit="1" customWidth="1"/>
    <col min="11307" max="11307" width="10.7109375" style="1491" bestFit="1" customWidth="1"/>
    <col min="11308" max="11308" width="9.5703125" style="1491" bestFit="1" customWidth="1"/>
    <col min="11309" max="11309" width="10.42578125" style="1491" bestFit="1" customWidth="1"/>
    <col min="11310" max="11310" width="9.5703125" style="1491" bestFit="1" customWidth="1"/>
    <col min="11311" max="11311" width="10.7109375" style="1491" bestFit="1" customWidth="1"/>
    <col min="11312" max="11312" width="9.5703125" style="1491" bestFit="1" customWidth="1"/>
    <col min="11313" max="11313" width="10.7109375" style="1491" bestFit="1" customWidth="1"/>
    <col min="11314" max="11314" width="9.140625" style="1491" bestFit="1" customWidth="1"/>
    <col min="11315" max="11315" width="10.7109375" style="1491" bestFit="1" customWidth="1"/>
    <col min="11316" max="11316" width="9.5703125" style="1491" bestFit="1" customWidth="1"/>
    <col min="11317" max="11317" width="10.42578125" style="1491" bestFit="1" customWidth="1"/>
    <col min="11318" max="11318" width="9.140625" style="1491" bestFit="1" customWidth="1"/>
    <col min="11319" max="11319" width="10" style="1491" bestFit="1" customWidth="1"/>
    <col min="11320" max="11322" width="10.42578125" style="1491" bestFit="1" customWidth="1"/>
    <col min="11323" max="11323" width="10" style="1491" bestFit="1" customWidth="1"/>
    <col min="11324" max="11324" width="10.7109375" style="1491" bestFit="1" customWidth="1"/>
    <col min="11325" max="11325" width="10.42578125" style="1491" bestFit="1" customWidth="1"/>
    <col min="11326" max="11326" width="10.7109375" style="1491" bestFit="1" customWidth="1"/>
    <col min="11327" max="11329" width="10" style="1491" bestFit="1" customWidth="1"/>
    <col min="11330" max="11330" width="10.7109375" style="1491" bestFit="1" customWidth="1"/>
    <col min="11331" max="11331" width="10.42578125" style="1491" bestFit="1" customWidth="1"/>
    <col min="11332" max="11332" width="10.7109375" style="1491" bestFit="1" customWidth="1"/>
    <col min="11333" max="11333" width="10.42578125" style="1491" bestFit="1" customWidth="1"/>
    <col min="11334" max="11336" width="10" style="1491" bestFit="1" customWidth="1"/>
    <col min="11337" max="11337" width="10.42578125" style="1491" bestFit="1" customWidth="1"/>
    <col min="11338" max="11338" width="10" style="1491" bestFit="1" customWidth="1"/>
    <col min="11339" max="11342" width="10.42578125" style="1491" bestFit="1" customWidth="1"/>
    <col min="11343" max="11343" width="10" style="1491" bestFit="1" customWidth="1"/>
    <col min="11344" max="11344" width="10.42578125" style="1491" bestFit="1" customWidth="1"/>
    <col min="11345" max="11345" width="10.7109375" style="1491" bestFit="1" customWidth="1"/>
    <col min="11346" max="11346" width="10" style="1491" bestFit="1" customWidth="1"/>
    <col min="11347" max="11348" width="10.42578125" style="1491" bestFit="1" customWidth="1"/>
    <col min="11349" max="11351" width="10" style="1491" bestFit="1" customWidth="1"/>
    <col min="11352" max="11352" width="10.7109375" style="1491" bestFit="1" customWidth="1"/>
    <col min="11353" max="11353" width="10" style="1491" bestFit="1" customWidth="1"/>
    <col min="11354" max="11354" width="10.42578125" style="1491" bestFit="1" customWidth="1"/>
    <col min="11355" max="11356" width="10.7109375" style="1491" bestFit="1" customWidth="1"/>
    <col min="11357" max="11357" width="10" style="1491" bestFit="1" customWidth="1"/>
    <col min="11358" max="11359" width="10.42578125" style="1491" bestFit="1" customWidth="1"/>
    <col min="11360" max="11360" width="10.7109375" style="1491" bestFit="1" customWidth="1"/>
    <col min="11361" max="11361" width="10.42578125" style="1491" bestFit="1" customWidth="1"/>
    <col min="11362" max="11364" width="10.7109375" style="1491" bestFit="1" customWidth="1"/>
    <col min="11365" max="11366" width="0" style="1491" hidden="1" customWidth="1"/>
    <col min="11367" max="11367" width="10.7109375" style="1491" bestFit="1" customWidth="1"/>
    <col min="11368" max="11369" width="10.42578125" style="1491" bestFit="1" customWidth="1"/>
    <col min="11370" max="11372" width="10.7109375" style="1491" bestFit="1" customWidth="1"/>
    <col min="11373" max="11374" width="10.42578125" style="1491" bestFit="1" customWidth="1"/>
    <col min="11375" max="11375" width="10.7109375" style="1491" bestFit="1" customWidth="1"/>
    <col min="11376" max="11376" width="10.42578125" style="1491" bestFit="1" customWidth="1"/>
    <col min="11377" max="11381" width="10.7109375" style="1491" bestFit="1" customWidth="1"/>
    <col min="11382" max="11383" width="10.42578125" style="1491" bestFit="1" customWidth="1"/>
    <col min="11384" max="11385" width="10.7109375" style="1491" bestFit="1" customWidth="1"/>
    <col min="11386" max="11386" width="10.42578125" style="1491" bestFit="1" customWidth="1"/>
    <col min="11387" max="11390" width="10.7109375" style="1491" bestFit="1" customWidth="1"/>
    <col min="11391" max="11391" width="10.42578125" style="1491" bestFit="1" customWidth="1"/>
    <col min="11392" max="11392" width="10.5703125" style="1491" customWidth="1"/>
    <col min="11393" max="11395" width="10.7109375" style="1491" bestFit="1" customWidth="1"/>
    <col min="11396" max="11396" width="10.42578125" style="1491" bestFit="1" customWidth="1"/>
    <col min="11397" max="11398" width="10.7109375" style="1491" bestFit="1" customWidth="1"/>
    <col min="11399" max="11399" width="10.42578125" style="1491" bestFit="1" customWidth="1"/>
    <col min="11400" max="11402" width="10.7109375" style="1491" bestFit="1" customWidth="1"/>
    <col min="11403" max="11403" width="10" style="1491" bestFit="1" customWidth="1"/>
    <col min="11404" max="11406" width="10.7109375" style="1491" bestFit="1" customWidth="1"/>
    <col min="11407" max="11407" width="10.42578125" style="1491" bestFit="1" customWidth="1"/>
    <col min="11408" max="11408" width="10.7109375" style="1491" bestFit="1" customWidth="1"/>
    <col min="11409" max="11511" width="7.5703125" style="1491"/>
    <col min="11512" max="11512" width="44.5703125" style="1491" customWidth="1"/>
    <col min="11513" max="11513" width="11.42578125" style="1491" customWidth="1"/>
    <col min="11514" max="11514" width="9.28515625" style="1491" customWidth="1"/>
    <col min="11515" max="11515" width="11" style="1491" customWidth="1"/>
    <col min="11516" max="11516" width="11.140625" style="1491" customWidth="1"/>
    <col min="11517" max="11517" width="8.140625" style="1491" bestFit="1" customWidth="1"/>
    <col min="11518" max="11518" width="7.85546875" style="1491" bestFit="1" customWidth="1"/>
    <col min="11519" max="11519" width="9.5703125" style="1491" bestFit="1" customWidth="1"/>
    <col min="11520" max="11520" width="9" style="1491" bestFit="1" customWidth="1"/>
    <col min="11521" max="11521" width="9.5703125" style="1491" bestFit="1" customWidth="1"/>
    <col min="11522" max="11522" width="9.42578125" style="1491" bestFit="1" customWidth="1"/>
    <col min="11523" max="11523" width="9.140625" style="1491" bestFit="1" customWidth="1"/>
    <col min="11524" max="11524" width="9.42578125" style="1491" bestFit="1" customWidth="1"/>
    <col min="11525" max="11525" width="9.140625" style="1491" bestFit="1" customWidth="1"/>
    <col min="11526" max="11526" width="9.5703125" style="1491" bestFit="1" customWidth="1"/>
    <col min="11527" max="11527" width="9.42578125" style="1491" bestFit="1" customWidth="1"/>
    <col min="11528" max="11530" width="9.140625" style="1491" bestFit="1" customWidth="1"/>
    <col min="11531" max="11531" width="10" style="1491" bestFit="1" customWidth="1"/>
    <col min="11532" max="11532" width="9.140625" style="1491" bestFit="1" customWidth="1"/>
    <col min="11533" max="11533" width="9.42578125" style="1491" bestFit="1" customWidth="1"/>
    <col min="11534" max="11534" width="8.7109375" style="1491" bestFit="1" customWidth="1"/>
    <col min="11535" max="11535" width="9" style="1491" bestFit="1" customWidth="1"/>
    <col min="11536" max="11536" width="9.42578125" style="1491" bestFit="1" customWidth="1"/>
    <col min="11537" max="11537" width="10" style="1491" bestFit="1" customWidth="1"/>
    <col min="11538" max="11538" width="8.85546875" style="1491" bestFit="1" customWidth="1"/>
    <col min="11539" max="11539" width="10.42578125" style="1491" bestFit="1" customWidth="1"/>
    <col min="11540" max="11540" width="8.85546875" style="1491" bestFit="1" customWidth="1"/>
    <col min="11541" max="11541" width="10.42578125" style="1491" bestFit="1" customWidth="1"/>
    <col min="11542" max="11543" width="9.5703125" style="1491" bestFit="1" customWidth="1"/>
    <col min="11544" max="11544" width="9.140625" style="1491" bestFit="1" customWidth="1"/>
    <col min="11545" max="11545" width="10" style="1491" bestFit="1" customWidth="1"/>
    <col min="11546" max="11546" width="9.140625" style="1491" bestFit="1" customWidth="1"/>
    <col min="11547" max="11547" width="10.42578125" style="1491" bestFit="1" customWidth="1"/>
    <col min="11548" max="11548" width="9.5703125" style="1491" bestFit="1" customWidth="1"/>
    <col min="11549" max="11549" width="10.42578125" style="1491" bestFit="1" customWidth="1"/>
    <col min="11550" max="11550" width="9.5703125" style="1491" bestFit="1" customWidth="1"/>
    <col min="11551" max="11551" width="10" style="1491" bestFit="1" customWidth="1"/>
    <col min="11552" max="11552" width="9.5703125" style="1491" bestFit="1" customWidth="1"/>
    <col min="11553" max="11553" width="10" style="1491" bestFit="1" customWidth="1"/>
    <col min="11554" max="11554" width="9.5703125" style="1491" bestFit="1" customWidth="1"/>
    <col min="11555" max="11555" width="10.7109375" style="1491" bestFit="1" customWidth="1"/>
    <col min="11556" max="11556" width="9.5703125" style="1491" bestFit="1" customWidth="1"/>
    <col min="11557" max="11557" width="10.7109375" style="1491" bestFit="1" customWidth="1"/>
    <col min="11558" max="11558" width="9.5703125" style="1491" bestFit="1" customWidth="1"/>
    <col min="11559" max="11559" width="10.7109375" style="1491" bestFit="1" customWidth="1"/>
    <col min="11560" max="11560" width="9.5703125" style="1491" bestFit="1" customWidth="1"/>
    <col min="11561" max="11561" width="10.7109375" style="1491" bestFit="1" customWidth="1"/>
    <col min="11562" max="11562" width="9.140625" style="1491" bestFit="1" customWidth="1"/>
    <col min="11563" max="11563" width="10.7109375" style="1491" bestFit="1" customWidth="1"/>
    <col min="11564" max="11564" width="9.5703125" style="1491" bestFit="1" customWidth="1"/>
    <col min="11565" max="11565" width="10.42578125" style="1491" bestFit="1" customWidth="1"/>
    <col min="11566" max="11566" width="9.5703125" style="1491" bestFit="1" customWidth="1"/>
    <col min="11567" max="11567" width="10.7109375" style="1491" bestFit="1" customWidth="1"/>
    <col min="11568" max="11568" width="9.5703125" style="1491" bestFit="1" customWidth="1"/>
    <col min="11569" max="11569" width="10.7109375" style="1491" bestFit="1" customWidth="1"/>
    <col min="11570" max="11570" width="9.140625" style="1491" bestFit="1" customWidth="1"/>
    <col min="11571" max="11571" width="10.7109375" style="1491" bestFit="1" customWidth="1"/>
    <col min="11572" max="11572" width="9.5703125" style="1491" bestFit="1" customWidth="1"/>
    <col min="11573" max="11573" width="10.42578125" style="1491" bestFit="1" customWidth="1"/>
    <col min="11574" max="11574" width="9.140625" style="1491" bestFit="1" customWidth="1"/>
    <col min="11575" max="11575" width="10" style="1491" bestFit="1" customWidth="1"/>
    <col min="11576" max="11578" width="10.42578125" style="1491" bestFit="1" customWidth="1"/>
    <col min="11579" max="11579" width="10" style="1491" bestFit="1" customWidth="1"/>
    <col min="11580" max="11580" width="10.7109375" style="1491" bestFit="1" customWidth="1"/>
    <col min="11581" max="11581" width="10.42578125" style="1491" bestFit="1" customWidth="1"/>
    <col min="11582" max="11582" width="10.7109375" style="1491" bestFit="1" customWidth="1"/>
    <col min="11583" max="11585" width="10" style="1491" bestFit="1" customWidth="1"/>
    <col min="11586" max="11586" width="10.7109375" style="1491" bestFit="1" customWidth="1"/>
    <col min="11587" max="11587" width="10.42578125" style="1491" bestFit="1" customWidth="1"/>
    <col min="11588" max="11588" width="10.7109375" style="1491" bestFit="1" customWidth="1"/>
    <col min="11589" max="11589" width="10.42578125" style="1491" bestFit="1" customWidth="1"/>
    <col min="11590" max="11592" width="10" style="1491" bestFit="1" customWidth="1"/>
    <col min="11593" max="11593" width="10.42578125" style="1491" bestFit="1" customWidth="1"/>
    <col min="11594" max="11594" width="10" style="1491" bestFit="1" customWidth="1"/>
    <col min="11595" max="11598" width="10.42578125" style="1491" bestFit="1" customWidth="1"/>
    <col min="11599" max="11599" width="10" style="1491" bestFit="1" customWidth="1"/>
    <col min="11600" max="11600" width="10.42578125" style="1491" bestFit="1" customWidth="1"/>
    <col min="11601" max="11601" width="10.7109375" style="1491" bestFit="1" customWidth="1"/>
    <col min="11602" max="11602" width="10" style="1491" bestFit="1" customWidth="1"/>
    <col min="11603" max="11604" width="10.42578125" style="1491" bestFit="1" customWidth="1"/>
    <col min="11605" max="11607" width="10" style="1491" bestFit="1" customWidth="1"/>
    <col min="11608" max="11608" width="10.7109375" style="1491" bestFit="1" customWidth="1"/>
    <col min="11609" max="11609" width="10" style="1491" bestFit="1" customWidth="1"/>
    <col min="11610" max="11610" width="10.42578125" style="1491" bestFit="1" customWidth="1"/>
    <col min="11611" max="11612" width="10.7109375" style="1491" bestFit="1" customWidth="1"/>
    <col min="11613" max="11613" width="10" style="1491" bestFit="1" customWidth="1"/>
    <col min="11614" max="11615" width="10.42578125" style="1491" bestFit="1" customWidth="1"/>
    <col min="11616" max="11616" width="10.7109375" style="1491" bestFit="1" customWidth="1"/>
    <col min="11617" max="11617" width="10.42578125" style="1491" bestFit="1" customWidth="1"/>
    <col min="11618" max="11620" width="10.7109375" style="1491" bestFit="1" customWidth="1"/>
    <col min="11621" max="11622" width="0" style="1491" hidden="1" customWidth="1"/>
    <col min="11623" max="11623" width="10.7109375" style="1491" bestFit="1" customWidth="1"/>
    <col min="11624" max="11625" width="10.42578125" style="1491" bestFit="1" customWidth="1"/>
    <col min="11626" max="11628" width="10.7109375" style="1491" bestFit="1" customWidth="1"/>
    <col min="11629" max="11630" width="10.42578125" style="1491" bestFit="1" customWidth="1"/>
    <col min="11631" max="11631" width="10.7109375" style="1491" bestFit="1" customWidth="1"/>
    <col min="11632" max="11632" width="10.42578125" style="1491" bestFit="1" customWidth="1"/>
    <col min="11633" max="11637" width="10.7109375" style="1491" bestFit="1" customWidth="1"/>
    <col min="11638" max="11639" width="10.42578125" style="1491" bestFit="1" customWidth="1"/>
    <col min="11640" max="11641" width="10.7109375" style="1491" bestFit="1" customWidth="1"/>
    <col min="11642" max="11642" width="10.42578125" style="1491" bestFit="1" customWidth="1"/>
    <col min="11643" max="11646" width="10.7109375" style="1491" bestFit="1" customWidth="1"/>
    <col min="11647" max="11647" width="10.42578125" style="1491" bestFit="1" customWidth="1"/>
    <col min="11648" max="11648" width="10.5703125" style="1491" customWidth="1"/>
    <col min="11649" max="11651" width="10.7109375" style="1491" bestFit="1" customWidth="1"/>
    <col min="11652" max="11652" width="10.42578125" style="1491" bestFit="1" customWidth="1"/>
    <col min="11653" max="11654" width="10.7109375" style="1491" bestFit="1" customWidth="1"/>
    <col min="11655" max="11655" width="10.42578125" style="1491" bestFit="1" customWidth="1"/>
    <col min="11656" max="11658" width="10.7109375" style="1491" bestFit="1" customWidth="1"/>
    <col min="11659" max="11659" width="10" style="1491" bestFit="1" customWidth="1"/>
    <col min="11660" max="11662" width="10.7109375" style="1491" bestFit="1" customWidth="1"/>
    <col min="11663" max="11663" width="10.42578125" style="1491" bestFit="1" customWidth="1"/>
    <col min="11664" max="11664" width="10.7109375" style="1491" bestFit="1" customWidth="1"/>
    <col min="11665" max="11767" width="7.5703125" style="1491"/>
    <col min="11768" max="11768" width="44.5703125" style="1491" customWidth="1"/>
    <col min="11769" max="11769" width="11.42578125" style="1491" customWidth="1"/>
    <col min="11770" max="11770" width="9.28515625" style="1491" customWidth="1"/>
    <col min="11771" max="11771" width="11" style="1491" customWidth="1"/>
    <col min="11772" max="11772" width="11.140625" style="1491" customWidth="1"/>
    <col min="11773" max="11773" width="8.140625" style="1491" bestFit="1" customWidth="1"/>
    <col min="11774" max="11774" width="7.85546875" style="1491" bestFit="1" customWidth="1"/>
    <col min="11775" max="11775" width="9.5703125" style="1491" bestFit="1" customWidth="1"/>
    <col min="11776" max="11776" width="9" style="1491" bestFit="1" customWidth="1"/>
    <col min="11777" max="11777" width="9.5703125" style="1491" bestFit="1" customWidth="1"/>
    <col min="11778" max="11778" width="9.42578125" style="1491" bestFit="1" customWidth="1"/>
    <col min="11779" max="11779" width="9.140625" style="1491" bestFit="1" customWidth="1"/>
    <col min="11780" max="11780" width="9.42578125" style="1491" bestFit="1" customWidth="1"/>
    <col min="11781" max="11781" width="9.140625" style="1491" bestFit="1" customWidth="1"/>
    <col min="11782" max="11782" width="9.5703125" style="1491" bestFit="1" customWidth="1"/>
    <col min="11783" max="11783" width="9.42578125" style="1491" bestFit="1" customWidth="1"/>
    <col min="11784" max="11786" width="9.140625" style="1491" bestFit="1" customWidth="1"/>
    <col min="11787" max="11787" width="10" style="1491" bestFit="1" customWidth="1"/>
    <col min="11788" max="11788" width="9.140625" style="1491" bestFit="1" customWidth="1"/>
    <col min="11789" max="11789" width="9.42578125" style="1491" bestFit="1" customWidth="1"/>
    <col min="11790" max="11790" width="8.7109375" style="1491" bestFit="1" customWidth="1"/>
    <col min="11791" max="11791" width="9" style="1491" bestFit="1" customWidth="1"/>
    <col min="11792" max="11792" width="9.42578125" style="1491" bestFit="1" customWidth="1"/>
    <col min="11793" max="11793" width="10" style="1491" bestFit="1" customWidth="1"/>
    <col min="11794" max="11794" width="8.85546875" style="1491" bestFit="1" customWidth="1"/>
    <col min="11795" max="11795" width="10.42578125" style="1491" bestFit="1" customWidth="1"/>
    <col min="11796" max="11796" width="8.85546875" style="1491" bestFit="1" customWidth="1"/>
    <col min="11797" max="11797" width="10.42578125" style="1491" bestFit="1" customWidth="1"/>
    <col min="11798" max="11799" width="9.5703125" style="1491" bestFit="1" customWidth="1"/>
    <col min="11800" max="11800" width="9.140625" style="1491" bestFit="1" customWidth="1"/>
    <col min="11801" max="11801" width="10" style="1491" bestFit="1" customWidth="1"/>
    <col min="11802" max="11802" width="9.140625" style="1491" bestFit="1" customWidth="1"/>
    <col min="11803" max="11803" width="10.42578125" style="1491" bestFit="1" customWidth="1"/>
    <col min="11804" max="11804" width="9.5703125" style="1491" bestFit="1" customWidth="1"/>
    <col min="11805" max="11805" width="10.42578125" style="1491" bestFit="1" customWidth="1"/>
    <col min="11806" max="11806" width="9.5703125" style="1491" bestFit="1" customWidth="1"/>
    <col min="11807" max="11807" width="10" style="1491" bestFit="1" customWidth="1"/>
    <col min="11808" max="11808" width="9.5703125" style="1491" bestFit="1" customWidth="1"/>
    <col min="11809" max="11809" width="10" style="1491" bestFit="1" customWidth="1"/>
    <col min="11810" max="11810" width="9.5703125" style="1491" bestFit="1" customWidth="1"/>
    <col min="11811" max="11811" width="10.7109375" style="1491" bestFit="1" customWidth="1"/>
    <col min="11812" max="11812" width="9.5703125" style="1491" bestFit="1" customWidth="1"/>
    <col min="11813" max="11813" width="10.7109375" style="1491" bestFit="1" customWidth="1"/>
    <col min="11814" max="11814" width="9.5703125" style="1491" bestFit="1" customWidth="1"/>
    <col min="11815" max="11815" width="10.7109375" style="1491" bestFit="1" customWidth="1"/>
    <col min="11816" max="11816" width="9.5703125" style="1491" bestFit="1" customWidth="1"/>
    <col min="11817" max="11817" width="10.7109375" style="1491" bestFit="1" customWidth="1"/>
    <col min="11818" max="11818" width="9.140625" style="1491" bestFit="1" customWidth="1"/>
    <col min="11819" max="11819" width="10.7109375" style="1491" bestFit="1" customWidth="1"/>
    <col min="11820" max="11820" width="9.5703125" style="1491" bestFit="1" customWidth="1"/>
    <col min="11821" max="11821" width="10.42578125" style="1491" bestFit="1" customWidth="1"/>
    <col min="11822" max="11822" width="9.5703125" style="1491" bestFit="1" customWidth="1"/>
    <col min="11823" max="11823" width="10.7109375" style="1491" bestFit="1" customWidth="1"/>
    <col min="11824" max="11824" width="9.5703125" style="1491" bestFit="1" customWidth="1"/>
    <col min="11825" max="11825" width="10.7109375" style="1491" bestFit="1" customWidth="1"/>
    <col min="11826" max="11826" width="9.140625" style="1491" bestFit="1" customWidth="1"/>
    <col min="11827" max="11827" width="10.7109375" style="1491" bestFit="1" customWidth="1"/>
    <col min="11828" max="11828" width="9.5703125" style="1491" bestFit="1" customWidth="1"/>
    <col min="11829" max="11829" width="10.42578125" style="1491" bestFit="1" customWidth="1"/>
    <col min="11830" max="11830" width="9.140625" style="1491" bestFit="1" customWidth="1"/>
    <col min="11831" max="11831" width="10" style="1491" bestFit="1" customWidth="1"/>
    <col min="11832" max="11834" width="10.42578125" style="1491" bestFit="1" customWidth="1"/>
    <col min="11835" max="11835" width="10" style="1491" bestFit="1" customWidth="1"/>
    <col min="11836" max="11836" width="10.7109375" style="1491" bestFit="1" customWidth="1"/>
    <col min="11837" max="11837" width="10.42578125" style="1491" bestFit="1" customWidth="1"/>
    <col min="11838" max="11838" width="10.7109375" style="1491" bestFit="1" customWidth="1"/>
    <col min="11839" max="11841" width="10" style="1491" bestFit="1" customWidth="1"/>
    <col min="11842" max="11842" width="10.7109375" style="1491" bestFit="1" customWidth="1"/>
    <col min="11843" max="11843" width="10.42578125" style="1491" bestFit="1" customWidth="1"/>
    <col min="11844" max="11844" width="10.7109375" style="1491" bestFit="1" customWidth="1"/>
    <col min="11845" max="11845" width="10.42578125" style="1491" bestFit="1" customWidth="1"/>
    <col min="11846" max="11848" width="10" style="1491" bestFit="1" customWidth="1"/>
    <col min="11849" max="11849" width="10.42578125" style="1491" bestFit="1" customWidth="1"/>
    <col min="11850" max="11850" width="10" style="1491" bestFit="1" customWidth="1"/>
    <col min="11851" max="11854" width="10.42578125" style="1491" bestFit="1" customWidth="1"/>
    <col min="11855" max="11855" width="10" style="1491" bestFit="1" customWidth="1"/>
    <col min="11856" max="11856" width="10.42578125" style="1491" bestFit="1" customWidth="1"/>
    <col min="11857" max="11857" width="10.7109375" style="1491" bestFit="1" customWidth="1"/>
    <col min="11858" max="11858" width="10" style="1491" bestFit="1" customWidth="1"/>
    <col min="11859" max="11860" width="10.42578125" style="1491" bestFit="1" customWidth="1"/>
    <col min="11861" max="11863" width="10" style="1491" bestFit="1" customWidth="1"/>
    <col min="11864" max="11864" width="10.7109375" style="1491" bestFit="1" customWidth="1"/>
    <col min="11865" max="11865" width="10" style="1491" bestFit="1" customWidth="1"/>
    <col min="11866" max="11866" width="10.42578125" style="1491" bestFit="1" customWidth="1"/>
    <col min="11867" max="11868" width="10.7109375" style="1491" bestFit="1" customWidth="1"/>
    <col min="11869" max="11869" width="10" style="1491" bestFit="1" customWidth="1"/>
    <col min="11870" max="11871" width="10.42578125" style="1491" bestFit="1" customWidth="1"/>
    <col min="11872" max="11872" width="10.7109375" style="1491" bestFit="1" customWidth="1"/>
    <col min="11873" max="11873" width="10.42578125" style="1491" bestFit="1" customWidth="1"/>
    <col min="11874" max="11876" width="10.7109375" style="1491" bestFit="1" customWidth="1"/>
    <col min="11877" max="11878" width="0" style="1491" hidden="1" customWidth="1"/>
    <col min="11879" max="11879" width="10.7109375" style="1491" bestFit="1" customWidth="1"/>
    <col min="11880" max="11881" width="10.42578125" style="1491" bestFit="1" customWidth="1"/>
    <col min="11882" max="11884" width="10.7109375" style="1491" bestFit="1" customWidth="1"/>
    <col min="11885" max="11886" width="10.42578125" style="1491" bestFit="1" customWidth="1"/>
    <col min="11887" max="11887" width="10.7109375" style="1491" bestFit="1" customWidth="1"/>
    <col min="11888" max="11888" width="10.42578125" style="1491" bestFit="1" customWidth="1"/>
    <col min="11889" max="11893" width="10.7109375" style="1491" bestFit="1" customWidth="1"/>
    <col min="11894" max="11895" width="10.42578125" style="1491" bestFit="1" customWidth="1"/>
    <col min="11896" max="11897" width="10.7109375" style="1491" bestFit="1" customWidth="1"/>
    <col min="11898" max="11898" width="10.42578125" style="1491" bestFit="1" customWidth="1"/>
    <col min="11899" max="11902" width="10.7109375" style="1491" bestFit="1" customWidth="1"/>
    <col min="11903" max="11903" width="10.42578125" style="1491" bestFit="1" customWidth="1"/>
    <col min="11904" max="11904" width="10.5703125" style="1491" customWidth="1"/>
    <col min="11905" max="11907" width="10.7109375" style="1491" bestFit="1" customWidth="1"/>
    <col min="11908" max="11908" width="10.42578125" style="1491" bestFit="1" customWidth="1"/>
    <col min="11909" max="11910" width="10.7109375" style="1491" bestFit="1" customWidth="1"/>
    <col min="11911" max="11911" width="10.42578125" style="1491" bestFit="1" customWidth="1"/>
    <col min="11912" max="11914" width="10.7109375" style="1491" bestFit="1" customWidth="1"/>
    <col min="11915" max="11915" width="10" style="1491" bestFit="1" customWidth="1"/>
    <col min="11916" max="11918" width="10.7109375" style="1491" bestFit="1" customWidth="1"/>
    <col min="11919" max="11919" width="10.42578125" style="1491" bestFit="1" customWidth="1"/>
    <col min="11920" max="11920" width="10.7109375" style="1491" bestFit="1" customWidth="1"/>
    <col min="11921" max="12023" width="7.5703125" style="1491"/>
    <col min="12024" max="12024" width="44.5703125" style="1491" customWidth="1"/>
    <col min="12025" max="12025" width="11.42578125" style="1491" customWidth="1"/>
    <col min="12026" max="12026" width="9.28515625" style="1491" customWidth="1"/>
    <col min="12027" max="12027" width="11" style="1491" customWidth="1"/>
    <col min="12028" max="12028" width="11.140625" style="1491" customWidth="1"/>
    <col min="12029" max="12029" width="8.140625" style="1491" bestFit="1" customWidth="1"/>
    <col min="12030" max="12030" width="7.85546875" style="1491" bestFit="1" customWidth="1"/>
    <col min="12031" max="12031" width="9.5703125" style="1491" bestFit="1" customWidth="1"/>
    <col min="12032" max="12032" width="9" style="1491" bestFit="1" customWidth="1"/>
    <col min="12033" max="12033" width="9.5703125" style="1491" bestFit="1" customWidth="1"/>
    <col min="12034" max="12034" width="9.42578125" style="1491" bestFit="1" customWidth="1"/>
    <col min="12035" max="12035" width="9.140625" style="1491" bestFit="1" customWidth="1"/>
    <col min="12036" max="12036" width="9.42578125" style="1491" bestFit="1" customWidth="1"/>
    <col min="12037" max="12037" width="9.140625" style="1491" bestFit="1" customWidth="1"/>
    <col min="12038" max="12038" width="9.5703125" style="1491" bestFit="1" customWidth="1"/>
    <col min="12039" max="12039" width="9.42578125" style="1491" bestFit="1" customWidth="1"/>
    <col min="12040" max="12042" width="9.140625" style="1491" bestFit="1" customWidth="1"/>
    <col min="12043" max="12043" width="10" style="1491" bestFit="1" customWidth="1"/>
    <col min="12044" max="12044" width="9.140625" style="1491" bestFit="1" customWidth="1"/>
    <col min="12045" max="12045" width="9.42578125" style="1491" bestFit="1" customWidth="1"/>
    <col min="12046" max="12046" width="8.7109375" style="1491" bestFit="1" customWidth="1"/>
    <col min="12047" max="12047" width="9" style="1491" bestFit="1" customWidth="1"/>
    <col min="12048" max="12048" width="9.42578125" style="1491" bestFit="1" customWidth="1"/>
    <col min="12049" max="12049" width="10" style="1491" bestFit="1" customWidth="1"/>
    <col min="12050" max="12050" width="8.85546875" style="1491" bestFit="1" customWidth="1"/>
    <col min="12051" max="12051" width="10.42578125" style="1491" bestFit="1" customWidth="1"/>
    <col min="12052" max="12052" width="8.85546875" style="1491" bestFit="1" customWidth="1"/>
    <col min="12053" max="12053" width="10.42578125" style="1491" bestFit="1" customWidth="1"/>
    <col min="12054" max="12055" width="9.5703125" style="1491" bestFit="1" customWidth="1"/>
    <col min="12056" max="12056" width="9.140625" style="1491" bestFit="1" customWidth="1"/>
    <col min="12057" max="12057" width="10" style="1491" bestFit="1" customWidth="1"/>
    <col min="12058" max="12058" width="9.140625" style="1491" bestFit="1" customWidth="1"/>
    <col min="12059" max="12059" width="10.42578125" style="1491" bestFit="1" customWidth="1"/>
    <col min="12060" max="12060" width="9.5703125" style="1491" bestFit="1" customWidth="1"/>
    <col min="12061" max="12061" width="10.42578125" style="1491" bestFit="1" customWidth="1"/>
    <col min="12062" max="12062" width="9.5703125" style="1491" bestFit="1" customWidth="1"/>
    <col min="12063" max="12063" width="10" style="1491" bestFit="1" customWidth="1"/>
    <col min="12064" max="12064" width="9.5703125" style="1491" bestFit="1" customWidth="1"/>
    <col min="12065" max="12065" width="10" style="1491" bestFit="1" customWidth="1"/>
    <col min="12066" max="12066" width="9.5703125" style="1491" bestFit="1" customWidth="1"/>
    <col min="12067" max="12067" width="10.7109375" style="1491" bestFit="1" customWidth="1"/>
    <col min="12068" max="12068" width="9.5703125" style="1491" bestFit="1" customWidth="1"/>
    <col min="12069" max="12069" width="10.7109375" style="1491" bestFit="1" customWidth="1"/>
    <col min="12070" max="12070" width="9.5703125" style="1491" bestFit="1" customWidth="1"/>
    <col min="12071" max="12071" width="10.7109375" style="1491" bestFit="1" customWidth="1"/>
    <col min="12072" max="12072" width="9.5703125" style="1491" bestFit="1" customWidth="1"/>
    <col min="12073" max="12073" width="10.7109375" style="1491" bestFit="1" customWidth="1"/>
    <col min="12074" max="12074" width="9.140625" style="1491" bestFit="1" customWidth="1"/>
    <col min="12075" max="12075" width="10.7109375" style="1491" bestFit="1" customWidth="1"/>
    <col min="12076" max="12076" width="9.5703125" style="1491" bestFit="1" customWidth="1"/>
    <col min="12077" max="12077" width="10.42578125" style="1491" bestFit="1" customWidth="1"/>
    <col min="12078" max="12078" width="9.5703125" style="1491" bestFit="1" customWidth="1"/>
    <col min="12079" max="12079" width="10.7109375" style="1491" bestFit="1" customWidth="1"/>
    <col min="12080" max="12080" width="9.5703125" style="1491" bestFit="1" customWidth="1"/>
    <col min="12081" max="12081" width="10.7109375" style="1491" bestFit="1" customWidth="1"/>
    <col min="12082" max="12082" width="9.140625" style="1491" bestFit="1" customWidth="1"/>
    <col min="12083" max="12083" width="10.7109375" style="1491" bestFit="1" customWidth="1"/>
    <col min="12084" max="12084" width="9.5703125" style="1491" bestFit="1" customWidth="1"/>
    <col min="12085" max="12085" width="10.42578125" style="1491" bestFit="1" customWidth="1"/>
    <col min="12086" max="12086" width="9.140625" style="1491" bestFit="1" customWidth="1"/>
    <col min="12087" max="12087" width="10" style="1491" bestFit="1" customWidth="1"/>
    <col min="12088" max="12090" width="10.42578125" style="1491" bestFit="1" customWidth="1"/>
    <col min="12091" max="12091" width="10" style="1491" bestFit="1" customWidth="1"/>
    <col min="12092" max="12092" width="10.7109375" style="1491" bestFit="1" customWidth="1"/>
    <col min="12093" max="12093" width="10.42578125" style="1491" bestFit="1" customWidth="1"/>
    <col min="12094" max="12094" width="10.7109375" style="1491" bestFit="1" customWidth="1"/>
    <col min="12095" max="12097" width="10" style="1491" bestFit="1" customWidth="1"/>
    <col min="12098" max="12098" width="10.7109375" style="1491" bestFit="1" customWidth="1"/>
    <col min="12099" max="12099" width="10.42578125" style="1491" bestFit="1" customWidth="1"/>
    <col min="12100" max="12100" width="10.7109375" style="1491" bestFit="1" customWidth="1"/>
    <col min="12101" max="12101" width="10.42578125" style="1491" bestFit="1" customWidth="1"/>
    <col min="12102" max="12104" width="10" style="1491" bestFit="1" customWidth="1"/>
    <col min="12105" max="12105" width="10.42578125" style="1491" bestFit="1" customWidth="1"/>
    <col min="12106" max="12106" width="10" style="1491" bestFit="1" customWidth="1"/>
    <col min="12107" max="12110" width="10.42578125" style="1491" bestFit="1" customWidth="1"/>
    <col min="12111" max="12111" width="10" style="1491" bestFit="1" customWidth="1"/>
    <col min="12112" max="12112" width="10.42578125" style="1491" bestFit="1" customWidth="1"/>
    <col min="12113" max="12113" width="10.7109375" style="1491" bestFit="1" customWidth="1"/>
    <col min="12114" max="12114" width="10" style="1491" bestFit="1" customWidth="1"/>
    <col min="12115" max="12116" width="10.42578125" style="1491" bestFit="1" customWidth="1"/>
    <col min="12117" max="12119" width="10" style="1491" bestFit="1" customWidth="1"/>
    <col min="12120" max="12120" width="10.7109375" style="1491" bestFit="1" customWidth="1"/>
    <col min="12121" max="12121" width="10" style="1491" bestFit="1" customWidth="1"/>
    <col min="12122" max="12122" width="10.42578125" style="1491" bestFit="1" customWidth="1"/>
    <col min="12123" max="12124" width="10.7109375" style="1491" bestFit="1" customWidth="1"/>
    <col min="12125" max="12125" width="10" style="1491" bestFit="1" customWidth="1"/>
    <col min="12126" max="12127" width="10.42578125" style="1491" bestFit="1" customWidth="1"/>
    <col min="12128" max="12128" width="10.7109375" style="1491" bestFit="1" customWidth="1"/>
    <col min="12129" max="12129" width="10.42578125" style="1491" bestFit="1" customWidth="1"/>
    <col min="12130" max="12132" width="10.7109375" style="1491" bestFit="1" customWidth="1"/>
    <col min="12133" max="12134" width="0" style="1491" hidden="1" customWidth="1"/>
    <col min="12135" max="12135" width="10.7109375" style="1491" bestFit="1" customWidth="1"/>
    <col min="12136" max="12137" width="10.42578125" style="1491" bestFit="1" customWidth="1"/>
    <col min="12138" max="12140" width="10.7109375" style="1491" bestFit="1" customWidth="1"/>
    <col min="12141" max="12142" width="10.42578125" style="1491" bestFit="1" customWidth="1"/>
    <col min="12143" max="12143" width="10.7109375" style="1491" bestFit="1" customWidth="1"/>
    <col min="12144" max="12144" width="10.42578125" style="1491" bestFit="1" customWidth="1"/>
    <col min="12145" max="12149" width="10.7109375" style="1491" bestFit="1" customWidth="1"/>
    <col min="12150" max="12151" width="10.42578125" style="1491" bestFit="1" customWidth="1"/>
    <col min="12152" max="12153" width="10.7109375" style="1491" bestFit="1" customWidth="1"/>
    <col min="12154" max="12154" width="10.42578125" style="1491" bestFit="1" customWidth="1"/>
    <col min="12155" max="12158" width="10.7109375" style="1491" bestFit="1" customWidth="1"/>
    <col min="12159" max="12159" width="10.42578125" style="1491" bestFit="1" customWidth="1"/>
    <col min="12160" max="12160" width="10.5703125" style="1491" customWidth="1"/>
    <col min="12161" max="12163" width="10.7109375" style="1491" bestFit="1" customWidth="1"/>
    <col min="12164" max="12164" width="10.42578125" style="1491" bestFit="1" customWidth="1"/>
    <col min="12165" max="12166" width="10.7109375" style="1491" bestFit="1" customWidth="1"/>
    <col min="12167" max="12167" width="10.42578125" style="1491" bestFit="1" customWidth="1"/>
    <col min="12168" max="12170" width="10.7109375" style="1491" bestFit="1" customWidth="1"/>
    <col min="12171" max="12171" width="10" style="1491" bestFit="1" customWidth="1"/>
    <col min="12172" max="12174" width="10.7109375" style="1491" bestFit="1" customWidth="1"/>
    <col min="12175" max="12175" width="10.42578125" style="1491" bestFit="1" customWidth="1"/>
    <col min="12176" max="12176" width="10.7109375" style="1491" bestFit="1" customWidth="1"/>
    <col min="12177" max="12279" width="7.5703125" style="1491"/>
    <col min="12280" max="12280" width="44.5703125" style="1491" customWidth="1"/>
    <col min="12281" max="12281" width="11.42578125" style="1491" customWidth="1"/>
    <col min="12282" max="12282" width="9.28515625" style="1491" customWidth="1"/>
    <col min="12283" max="12283" width="11" style="1491" customWidth="1"/>
    <col min="12284" max="12284" width="11.140625" style="1491" customWidth="1"/>
    <col min="12285" max="12285" width="8.140625" style="1491" bestFit="1" customWidth="1"/>
    <col min="12286" max="12286" width="7.85546875" style="1491" bestFit="1" customWidth="1"/>
    <col min="12287" max="12287" width="9.5703125" style="1491" bestFit="1" customWidth="1"/>
    <col min="12288" max="12288" width="9" style="1491" bestFit="1" customWidth="1"/>
    <col min="12289" max="12289" width="9.5703125" style="1491" bestFit="1" customWidth="1"/>
    <col min="12290" max="12290" width="9.42578125" style="1491" bestFit="1" customWidth="1"/>
    <col min="12291" max="12291" width="9.140625" style="1491" bestFit="1" customWidth="1"/>
    <col min="12292" max="12292" width="9.42578125" style="1491" bestFit="1" customWidth="1"/>
    <col min="12293" max="12293" width="9.140625" style="1491" bestFit="1" customWidth="1"/>
    <col min="12294" max="12294" width="9.5703125" style="1491" bestFit="1" customWidth="1"/>
    <col min="12295" max="12295" width="9.42578125" style="1491" bestFit="1" customWidth="1"/>
    <col min="12296" max="12298" width="9.140625" style="1491" bestFit="1" customWidth="1"/>
    <col min="12299" max="12299" width="10" style="1491" bestFit="1" customWidth="1"/>
    <col min="12300" max="12300" width="9.140625" style="1491" bestFit="1" customWidth="1"/>
    <col min="12301" max="12301" width="9.42578125" style="1491" bestFit="1" customWidth="1"/>
    <col min="12302" max="12302" width="8.7109375" style="1491" bestFit="1" customWidth="1"/>
    <col min="12303" max="12303" width="9" style="1491" bestFit="1" customWidth="1"/>
    <col min="12304" max="12304" width="9.42578125" style="1491" bestFit="1" customWidth="1"/>
    <col min="12305" max="12305" width="10" style="1491" bestFit="1" customWidth="1"/>
    <col min="12306" max="12306" width="8.85546875" style="1491" bestFit="1" customWidth="1"/>
    <col min="12307" max="12307" width="10.42578125" style="1491" bestFit="1" customWidth="1"/>
    <col min="12308" max="12308" width="8.85546875" style="1491" bestFit="1" customWidth="1"/>
    <col min="12309" max="12309" width="10.42578125" style="1491" bestFit="1" customWidth="1"/>
    <col min="12310" max="12311" width="9.5703125" style="1491" bestFit="1" customWidth="1"/>
    <col min="12312" max="12312" width="9.140625" style="1491" bestFit="1" customWidth="1"/>
    <col min="12313" max="12313" width="10" style="1491" bestFit="1" customWidth="1"/>
    <col min="12314" max="12314" width="9.140625" style="1491" bestFit="1" customWidth="1"/>
    <col min="12315" max="12315" width="10.42578125" style="1491" bestFit="1" customWidth="1"/>
    <col min="12316" max="12316" width="9.5703125" style="1491" bestFit="1" customWidth="1"/>
    <col min="12317" max="12317" width="10.42578125" style="1491" bestFit="1" customWidth="1"/>
    <col min="12318" max="12318" width="9.5703125" style="1491" bestFit="1" customWidth="1"/>
    <col min="12319" max="12319" width="10" style="1491" bestFit="1" customWidth="1"/>
    <col min="12320" max="12320" width="9.5703125" style="1491" bestFit="1" customWidth="1"/>
    <col min="12321" max="12321" width="10" style="1491" bestFit="1" customWidth="1"/>
    <col min="12322" max="12322" width="9.5703125" style="1491" bestFit="1" customWidth="1"/>
    <col min="12323" max="12323" width="10.7109375" style="1491" bestFit="1" customWidth="1"/>
    <col min="12324" max="12324" width="9.5703125" style="1491" bestFit="1" customWidth="1"/>
    <col min="12325" max="12325" width="10.7109375" style="1491" bestFit="1" customWidth="1"/>
    <col min="12326" max="12326" width="9.5703125" style="1491" bestFit="1" customWidth="1"/>
    <col min="12327" max="12327" width="10.7109375" style="1491" bestFit="1" customWidth="1"/>
    <col min="12328" max="12328" width="9.5703125" style="1491" bestFit="1" customWidth="1"/>
    <col min="12329" max="12329" width="10.7109375" style="1491" bestFit="1" customWidth="1"/>
    <col min="12330" max="12330" width="9.140625" style="1491" bestFit="1" customWidth="1"/>
    <col min="12331" max="12331" width="10.7109375" style="1491" bestFit="1" customWidth="1"/>
    <col min="12332" max="12332" width="9.5703125" style="1491" bestFit="1" customWidth="1"/>
    <col min="12333" max="12333" width="10.42578125" style="1491" bestFit="1" customWidth="1"/>
    <col min="12334" max="12334" width="9.5703125" style="1491" bestFit="1" customWidth="1"/>
    <col min="12335" max="12335" width="10.7109375" style="1491" bestFit="1" customWidth="1"/>
    <col min="12336" max="12336" width="9.5703125" style="1491" bestFit="1" customWidth="1"/>
    <col min="12337" max="12337" width="10.7109375" style="1491" bestFit="1" customWidth="1"/>
    <col min="12338" max="12338" width="9.140625" style="1491" bestFit="1" customWidth="1"/>
    <col min="12339" max="12339" width="10.7109375" style="1491" bestFit="1" customWidth="1"/>
    <col min="12340" max="12340" width="9.5703125" style="1491" bestFit="1" customWidth="1"/>
    <col min="12341" max="12341" width="10.42578125" style="1491" bestFit="1" customWidth="1"/>
    <col min="12342" max="12342" width="9.140625" style="1491" bestFit="1" customWidth="1"/>
    <col min="12343" max="12343" width="10" style="1491" bestFit="1" customWidth="1"/>
    <col min="12344" max="12346" width="10.42578125" style="1491" bestFit="1" customWidth="1"/>
    <col min="12347" max="12347" width="10" style="1491" bestFit="1" customWidth="1"/>
    <col min="12348" max="12348" width="10.7109375" style="1491" bestFit="1" customWidth="1"/>
    <col min="12349" max="12349" width="10.42578125" style="1491" bestFit="1" customWidth="1"/>
    <col min="12350" max="12350" width="10.7109375" style="1491" bestFit="1" customWidth="1"/>
    <col min="12351" max="12353" width="10" style="1491" bestFit="1" customWidth="1"/>
    <col min="12354" max="12354" width="10.7109375" style="1491" bestFit="1" customWidth="1"/>
    <col min="12355" max="12355" width="10.42578125" style="1491" bestFit="1" customWidth="1"/>
    <col min="12356" max="12356" width="10.7109375" style="1491" bestFit="1" customWidth="1"/>
    <col min="12357" max="12357" width="10.42578125" style="1491" bestFit="1" customWidth="1"/>
    <col min="12358" max="12360" width="10" style="1491" bestFit="1" customWidth="1"/>
    <col min="12361" max="12361" width="10.42578125" style="1491" bestFit="1" customWidth="1"/>
    <col min="12362" max="12362" width="10" style="1491" bestFit="1" customWidth="1"/>
    <col min="12363" max="12366" width="10.42578125" style="1491" bestFit="1" customWidth="1"/>
    <col min="12367" max="12367" width="10" style="1491" bestFit="1" customWidth="1"/>
    <col min="12368" max="12368" width="10.42578125" style="1491" bestFit="1" customWidth="1"/>
    <col min="12369" max="12369" width="10.7109375" style="1491" bestFit="1" customWidth="1"/>
    <col min="12370" max="12370" width="10" style="1491" bestFit="1" customWidth="1"/>
    <col min="12371" max="12372" width="10.42578125" style="1491" bestFit="1" customWidth="1"/>
    <col min="12373" max="12375" width="10" style="1491" bestFit="1" customWidth="1"/>
    <col min="12376" max="12376" width="10.7109375" style="1491" bestFit="1" customWidth="1"/>
    <col min="12377" max="12377" width="10" style="1491" bestFit="1" customWidth="1"/>
    <col min="12378" max="12378" width="10.42578125" style="1491" bestFit="1" customWidth="1"/>
    <col min="12379" max="12380" width="10.7109375" style="1491" bestFit="1" customWidth="1"/>
    <col min="12381" max="12381" width="10" style="1491" bestFit="1" customWidth="1"/>
    <col min="12382" max="12383" width="10.42578125" style="1491" bestFit="1" customWidth="1"/>
    <col min="12384" max="12384" width="10.7109375" style="1491" bestFit="1" customWidth="1"/>
    <col min="12385" max="12385" width="10.42578125" style="1491" bestFit="1" customWidth="1"/>
    <col min="12386" max="12388" width="10.7109375" style="1491" bestFit="1" customWidth="1"/>
    <col min="12389" max="12390" width="0" style="1491" hidden="1" customWidth="1"/>
    <col min="12391" max="12391" width="10.7109375" style="1491" bestFit="1" customWidth="1"/>
    <col min="12392" max="12393" width="10.42578125" style="1491" bestFit="1" customWidth="1"/>
    <col min="12394" max="12396" width="10.7109375" style="1491" bestFit="1" customWidth="1"/>
    <col min="12397" max="12398" width="10.42578125" style="1491" bestFit="1" customWidth="1"/>
    <col min="12399" max="12399" width="10.7109375" style="1491" bestFit="1" customWidth="1"/>
    <col min="12400" max="12400" width="10.42578125" style="1491" bestFit="1" customWidth="1"/>
    <col min="12401" max="12405" width="10.7109375" style="1491" bestFit="1" customWidth="1"/>
    <col min="12406" max="12407" width="10.42578125" style="1491" bestFit="1" customWidth="1"/>
    <col min="12408" max="12409" width="10.7109375" style="1491" bestFit="1" customWidth="1"/>
    <col min="12410" max="12410" width="10.42578125" style="1491" bestFit="1" customWidth="1"/>
    <col min="12411" max="12414" width="10.7109375" style="1491" bestFit="1" customWidth="1"/>
    <col min="12415" max="12415" width="10.42578125" style="1491" bestFit="1" customWidth="1"/>
    <col min="12416" max="12416" width="10.5703125" style="1491" customWidth="1"/>
    <col min="12417" max="12419" width="10.7109375" style="1491" bestFit="1" customWidth="1"/>
    <col min="12420" max="12420" width="10.42578125" style="1491" bestFit="1" customWidth="1"/>
    <col min="12421" max="12422" width="10.7109375" style="1491" bestFit="1" customWidth="1"/>
    <col min="12423" max="12423" width="10.42578125" style="1491" bestFit="1" customWidth="1"/>
    <col min="12424" max="12426" width="10.7109375" style="1491" bestFit="1" customWidth="1"/>
    <col min="12427" max="12427" width="10" style="1491" bestFit="1" customWidth="1"/>
    <col min="12428" max="12430" width="10.7109375" style="1491" bestFit="1" customWidth="1"/>
    <col min="12431" max="12431" width="10.42578125" style="1491" bestFit="1" customWidth="1"/>
    <col min="12432" max="12432" width="10.7109375" style="1491" bestFit="1" customWidth="1"/>
    <col min="12433" max="12535" width="7.5703125" style="1491"/>
    <col min="12536" max="12536" width="44.5703125" style="1491" customWidth="1"/>
    <col min="12537" max="12537" width="11.42578125" style="1491" customWidth="1"/>
    <col min="12538" max="12538" width="9.28515625" style="1491" customWidth="1"/>
    <col min="12539" max="12539" width="11" style="1491" customWidth="1"/>
    <col min="12540" max="12540" width="11.140625" style="1491" customWidth="1"/>
    <col min="12541" max="12541" width="8.140625" style="1491" bestFit="1" customWidth="1"/>
    <col min="12542" max="12542" width="7.85546875" style="1491" bestFit="1" customWidth="1"/>
    <col min="12543" max="12543" width="9.5703125" style="1491" bestFit="1" customWidth="1"/>
    <col min="12544" max="12544" width="9" style="1491" bestFit="1" customWidth="1"/>
    <col min="12545" max="12545" width="9.5703125" style="1491" bestFit="1" customWidth="1"/>
    <col min="12546" max="12546" width="9.42578125" style="1491" bestFit="1" customWidth="1"/>
    <col min="12547" max="12547" width="9.140625" style="1491" bestFit="1" customWidth="1"/>
    <col min="12548" max="12548" width="9.42578125" style="1491" bestFit="1" customWidth="1"/>
    <col min="12549" max="12549" width="9.140625" style="1491" bestFit="1" customWidth="1"/>
    <col min="12550" max="12550" width="9.5703125" style="1491" bestFit="1" customWidth="1"/>
    <col min="12551" max="12551" width="9.42578125" style="1491" bestFit="1" customWidth="1"/>
    <col min="12552" max="12554" width="9.140625" style="1491" bestFit="1" customWidth="1"/>
    <col min="12555" max="12555" width="10" style="1491" bestFit="1" customWidth="1"/>
    <col min="12556" max="12556" width="9.140625" style="1491" bestFit="1" customWidth="1"/>
    <col min="12557" max="12557" width="9.42578125" style="1491" bestFit="1" customWidth="1"/>
    <col min="12558" max="12558" width="8.7109375" style="1491" bestFit="1" customWidth="1"/>
    <col min="12559" max="12559" width="9" style="1491" bestFit="1" customWidth="1"/>
    <col min="12560" max="12560" width="9.42578125" style="1491" bestFit="1" customWidth="1"/>
    <col min="12561" max="12561" width="10" style="1491" bestFit="1" customWidth="1"/>
    <col min="12562" max="12562" width="8.85546875" style="1491" bestFit="1" customWidth="1"/>
    <col min="12563" max="12563" width="10.42578125" style="1491" bestFit="1" customWidth="1"/>
    <col min="12564" max="12564" width="8.85546875" style="1491" bestFit="1" customWidth="1"/>
    <col min="12565" max="12565" width="10.42578125" style="1491" bestFit="1" customWidth="1"/>
    <col min="12566" max="12567" width="9.5703125" style="1491" bestFit="1" customWidth="1"/>
    <col min="12568" max="12568" width="9.140625" style="1491" bestFit="1" customWidth="1"/>
    <col min="12569" max="12569" width="10" style="1491" bestFit="1" customWidth="1"/>
    <col min="12570" max="12570" width="9.140625" style="1491" bestFit="1" customWidth="1"/>
    <col min="12571" max="12571" width="10.42578125" style="1491" bestFit="1" customWidth="1"/>
    <col min="12572" max="12572" width="9.5703125" style="1491" bestFit="1" customWidth="1"/>
    <col min="12573" max="12573" width="10.42578125" style="1491" bestFit="1" customWidth="1"/>
    <col min="12574" max="12574" width="9.5703125" style="1491" bestFit="1" customWidth="1"/>
    <col min="12575" max="12575" width="10" style="1491" bestFit="1" customWidth="1"/>
    <col min="12576" max="12576" width="9.5703125" style="1491" bestFit="1" customWidth="1"/>
    <col min="12577" max="12577" width="10" style="1491" bestFit="1" customWidth="1"/>
    <col min="12578" max="12578" width="9.5703125" style="1491" bestFit="1" customWidth="1"/>
    <col min="12579" max="12579" width="10.7109375" style="1491" bestFit="1" customWidth="1"/>
    <col min="12580" max="12580" width="9.5703125" style="1491" bestFit="1" customWidth="1"/>
    <col min="12581" max="12581" width="10.7109375" style="1491" bestFit="1" customWidth="1"/>
    <col min="12582" max="12582" width="9.5703125" style="1491" bestFit="1" customWidth="1"/>
    <col min="12583" max="12583" width="10.7109375" style="1491" bestFit="1" customWidth="1"/>
    <col min="12584" max="12584" width="9.5703125" style="1491" bestFit="1" customWidth="1"/>
    <col min="12585" max="12585" width="10.7109375" style="1491" bestFit="1" customWidth="1"/>
    <col min="12586" max="12586" width="9.140625" style="1491" bestFit="1" customWidth="1"/>
    <col min="12587" max="12587" width="10.7109375" style="1491" bestFit="1" customWidth="1"/>
    <col min="12588" max="12588" width="9.5703125" style="1491" bestFit="1" customWidth="1"/>
    <col min="12589" max="12589" width="10.42578125" style="1491" bestFit="1" customWidth="1"/>
    <col min="12590" max="12590" width="9.5703125" style="1491" bestFit="1" customWidth="1"/>
    <col min="12591" max="12591" width="10.7109375" style="1491" bestFit="1" customWidth="1"/>
    <col min="12592" max="12592" width="9.5703125" style="1491" bestFit="1" customWidth="1"/>
    <col min="12593" max="12593" width="10.7109375" style="1491" bestFit="1" customWidth="1"/>
    <col min="12594" max="12594" width="9.140625" style="1491" bestFit="1" customWidth="1"/>
    <col min="12595" max="12595" width="10.7109375" style="1491" bestFit="1" customWidth="1"/>
    <col min="12596" max="12596" width="9.5703125" style="1491" bestFit="1" customWidth="1"/>
    <col min="12597" max="12597" width="10.42578125" style="1491" bestFit="1" customWidth="1"/>
    <col min="12598" max="12598" width="9.140625" style="1491" bestFit="1" customWidth="1"/>
    <col min="12599" max="12599" width="10" style="1491" bestFit="1" customWidth="1"/>
    <col min="12600" max="12602" width="10.42578125" style="1491" bestFit="1" customWidth="1"/>
    <col min="12603" max="12603" width="10" style="1491" bestFit="1" customWidth="1"/>
    <col min="12604" max="12604" width="10.7109375" style="1491" bestFit="1" customWidth="1"/>
    <col min="12605" max="12605" width="10.42578125" style="1491" bestFit="1" customWidth="1"/>
    <col min="12606" max="12606" width="10.7109375" style="1491" bestFit="1" customWidth="1"/>
    <col min="12607" max="12609" width="10" style="1491" bestFit="1" customWidth="1"/>
    <col min="12610" max="12610" width="10.7109375" style="1491" bestFit="1" customWidth="1"/>
    <col min="12611" max="12611" width="10.42578125" style="1491" bestFit="1" customWidth="1"/>
    <col min="12612" max="12612" width="10.7109375" style="1491" bestFit="1" customWidth="1"/>
    <col min="12613" max="12613" width="10.42578125" style="1491" bestFit="1" customWidth="1"/>
    <col min="12614" max="12616" width="10" style="1491" bestFit="1" customWidth="1"/>
    <col min="12617" max="12617" width="10.42578125" style="1491" bestFit="1" customWidth="1"/>
    <col min="12618" max="12618" width="10" style="1491" bestFit="1" customWidth="1"/>
    <col min="12619" max="12622" width="10.42578125" style="1491" bestFit="1" customWidth="1"/>
    <col min="12623" max="12623" width="10" style="1491" bestFit="1" customWidth="1"/>
    <col min="12624" max="12624" width="10.42578125" style="1491" bestFit="1" customWidth="1"/>
    <col min="12625" max="12625" width="10.7109375" style="1491" bestFit="1" customWidth="1"/>
    <col min="12626" max="12626" width="10" style="1491" bestFit="1" customWidth="1"/>
    <col min="12627" max="12628" width="10.42578125" style="1491" bestFit="1" customWidth="1"/>
    <col min="12629" max="12631" width="10" style="1491" bestFit="1" customWidth="1"/>
    <col min="12632" max="12632" width="10.7109375" style="1491" bestFit="1" customWidth="1"/>
    <col min="12633" max="12633" width="10" style="1491" bestFit="1" customWidth="1"/>
    <col min="12634" max="12634" width="10.42578125" style="1491" bestFit="1" customWidth="1"/>
    <col min="12635" max="12636" width="10.7109375" style="1491" bestFit="1" customWidth="1"/>
    <col min="12637" max="12637" width="10" style="1491" bestFit="1" customWidth="1"/>
    <col min="12638" max="12639" width="10.42578125" style="1491" bestFit="1" customWidth="1"/>
    <col min="12640" max="12640" width="10.7109375" style="1491" bestFit="1" customWidth="1"/>
    <col min="12641" max="12641" width="10.42578125" style="1491" bestFit="1" customWidth="1"/>
    <col min="12642" max="12644" width="10.7109375" style="1491" bestFit="1" customWidth="1"/>
    <col min="12645" max="12646" width="0" style="1491" hidden="1" customWidth="1"/>
    <col min="12647" max="12647" width="10.7109375" style="1491" bestFit="1" customWidth="1"/>
    <col min="12648" max="12649" width="10.42578125" style="1491" bestFit="1" customWidth="1"/>
    <col min="12650" max="12652" width="10.7109375" style="1491" bestFit="1" customWidth="1"/>
    <col min="12653" max="12654" width="10.42578125" style="1491" bestFit="1" customWidth="1"/>
    <col min="12655" max="12655" width="10.7109375" style="1491" bestFit="1" customWidth="1"/>
    <col min="12656" max="12656" width="10.42578125" style="1491" bestFit="1" customWidth="1"/>
    <col min="12657" max="12661" width="10.7109375" style="1491" bestFit="1" customWidth="1"/>
    <col min="12662" max="12663" width="10.42578125" style="1491" bestFit="1" customWidth="1"/>
    <col min="12664" max="12665" width="10.7109375" style="1491" bestFit="1" customWidth="1"/>
    <col min="12666" max="12666" width="10.42578125" style="1491" bestFit="1" customWidth="1"/>
    <col min="12667" max="12670" width="10.7109375" style="1491" bestFit="1" customWidth="1"/>
    <col min="12671" max="12671" width="10.42578125" style="1491" bestFit="1" customWidth="1"/>
    <col min="12672" max="12672" width="10.5703125" style="1491" customWidth="1"/>
    <col min="12673" max="12675" width="10.7109375" style="1491" bestFit="1" customWidth="1"/>
    <col min="12676" max="12676" width="10.42578125" style="1491" bestFit="1" customWidth="1"/>
    <col min="12677" max="12678" width="10.7109375" style="1491" bestFit="1" customWidth="1"/>
    <col min="12679" max="12679" width="10.42578125" style="1491" bestFit="1" customWidth="1"/>
    <col min="12680" max="12682" width="10.7109375" style="1491" bestFit="1" customWidth="1"/>
    <col min="12683" max="12683" width="10" style="1491" bestFit="1" customWidth="1"/>
    <col min="12684" max="12686" width="10.7109375" style="1491" bestFit="1" customWidth="1"/>
    <col min="12687" max="12687" width="10.42578125" style="1491" bestFit="1" customWidth="1"/>
    <col min="12688" max="12688" width="10.7109375" style="1491" bestFit="1" customWidth="1"/>
    <col min="12689" max="12791" width="7.5703125" style="1491"/>
    <col min="12792" max="12792" width="44.5703125" style="1491" customWidth="1"/>
    <col min="12793" max="12793" width="11.42578125" style="1491" customWidth="1"/>
    <col min="12794" max="12794" width="9.28515625" style="1491" customWidth="1"/>
    <col min="12795" max="12795" width="11" style="1491" customWidth="1"/>
    <col min="12796" max="12796" width="11.140625" style="1491" customWidth="1"/>
    <col min="12797" max="12797" width="8.140625" style="1491" bestFit="1" customWidth="1"/>
    <col min="12798" max="12798" width="7.85546875" style="1491" bestFit="1" customWidth="1"/>
    <col min="12799" max="12799" width="9.5703125" style="1491" bestFit="1" customWidth="1"/>
    <col min="12800" max="12800" width="9" style="1491" bestFit="1" customWidth="1"/>
    <col min="12801" max="12801" width="9.5703125" style="1491" bestFit="1" customWidth="1"/>
    <col min="12802" max="12802" width="9.42578125" style="1491" bestFit="1" customWidth="1"/>
    <col min="12803" max="12803" width="9.140625" style="1491" bestFit="1" customWidth="1"/>
    <col min="12804" max="12804" width="9.42578125" style="1491" bestFit="1" customWidth="1"/>
    <col min="12805" max="12805" width="9.140625" style="1491" bestFit="1" customWidth="1"/>
    <col min="12806" max="12806" width="9.5703125" style="1491" bestFit="1" customWidth="1"/>
    <col min="12807" max="12807" width="9.42578125" style="1491" bestFit="1" customWidth="1"/>
    <col min="12808" max="12810" width="9.140625" style="1491" bestFit="1" customWidth="1"/>
    <col min="12811" max="12811" width="10" style="1491" bestFit="1" customWidth="1"/>
    <col min="12812" max="12812" width="9.140625" style="1491" bestFit="1" customWidth="1"/>
    <col min="12813" max="12813" width="9.42578125" style="1491" bestFit="1" customWidth="1"/>
    <col min="12814" max="12814" width="8.7109375" style="1491" bestFit="1" customWidth="1"/>
    <col min="12815" max="12815" width="9" style="1491" bestFit="1" customWidth="1"/>
    <col min="12816" max="12816" width="9.42578125" style="1491" bestFit="1" customWidth="1"/>
    <col min="12817" max="12817" width="10" style="1491" bestFit="1" customWidth="1"/>
    <col min="12818" max="12818" width="8.85546875" style="1491" bestFit="1" customWidth="1"/>
    <col min="12819" max="12819" width="10.42578125" style="1491" bestFit="1" customWidth="1"/>
    <col min="12820" max="12820" width="8.85546875" style="1491" bestFit="1" customWidth="1"/>
    <col min="12821" max="12821" width="10.42578125" style="1491" bestFit="1" customWidth="1"/>
    <col min="12822" max="12823" width="9.5703125" style="1491" bestFit="1" customWidth="1"/>
    <col min="12824" max="12824" width="9.140625" style="1491" bestFit="1" customWidth="1"/>
    <col min="12825" max="12825" width="10" style="1491" bestFit="1" customWidth="1"/>
    <col min="12826" max="12826" width="9.140625" style="1491" bestFit="1" customWidth="1"/>
    <col min="12827" max="12827" width="10.42578125" style="1491" bestFit="1" customWidth="1"/>
    <col min="12828" max="12828" width="9.5703125" style="1491" bestFit="1" customWidth="1"/>
    <col min="12829" max="12829" width="10.42578125" style="1491" bestFit="1" customWidth="1"/>
    <col min="12830" max="12830" width="9.5703125" style="1491" bestFit="1" customWidth="1"/>
    <col min="12831" max="12831" width="10" style="1491" bestFit="1" customWidth="1"/>
    <col min="12832" max="12832" width="9.5703125" style="1491" bestFit="1" customWidth="1"/>
    <col min="12833" max="12833" width="10" style="1491" bestFit="1" customWidth="1"/>
    <col min="12834" max="12834" width="9.5703125" style="1491" bestFit="1" customWidth="1"/>
    <col min="12835" max="12835" width="10.7109375" style="1491" bestFit="1" customWidth="1"/>
    <col min="12836" max="12836" width="9.5703125" style="1491" bestFit="1" customWidth="1"/>
    <col min="12837" max="12837" width="10.7109375" style="1491" bestFit="1" customWidth="1"/>
    <col min="12838" max="12838" width="9.5703125" style="1491" bestFit="1" customWidth="1"/>
    <col min="12839" max="12839" width="10.7109375" style="1491" bestFit="1" customWidth="1"/>
    <col min="12840" max="12840" width="9.5703125" style="1491" bestFit="1" customWidth="1"/>
    <col min="12841" max="12841" width="10.7109375" style="1491" bestFit="1" customWidth="1"/>
    <col min="12842" max="12842" width="9.140625" style="1491" bestFit="1" customWidth="1"/>
    <col min="12843" max="12843" width="10.7109375" style="1491" bestFit="1" customWidth="1"/>
    <col min="12844" max="12844" width="9.5703125" style="1491" bestFit="1" customWidth="1"/>
    <col min="12845" max="12845" width="10.42578125" style="1491" bestFit="1" customWidth="1"/>
    <col min="12846" max="12846" width="9.5703125" style="1491" bestFit="1" customWidth="1"/>
    <col min="12847" max="12847" width="10.7109375" style="1491" bestFit="1" customWidth="1"/>
    <col min="12848" max="12848" width="9.5703125" style="1491" bestFit="1" customWidth="1"/>
    <col min="12849" max="12849" width="10.7109375" style="1491" bestFit="1" customWidth="1"/>
    <col min="12850" max="12850" width="9.140625" style="1491" bestFit="1" customWidth="1"/>
    <col min="12851" max="12851" width="10.7109375" style="1491" bestFit="1" customWidth="1"/>
    <col min="12852" max="12852" width="9.5703125" style="1491" bestFit="1" customWidth="1"/>
    <col min="12853" max="12853" width="10.42578125" style="1491" bestFit="1" customWidth="1"/>
    <col min="12854" max="12854" width="9.140625" style="1491" bestFit="1" customWidth="1"/>
    <col min="12855" max="12855" width="10" style="1491" bestFit="1" customWidth="1"/>
    <col min="12856" max="12858" width="10.42578125" style="1491" bestFit="1" customWidth="1"/>
    <col min="12859" max="12859" width="10" style="1491" bestFit="1" customWidth="1"/>
    <col min="12860" max="12860" width="10.7109375" style="1491" bestFit="1" customWidth="1"/>
    <col min="12861" max="12861" width="10.42578125" style="1491" bestFit="1" customWidth="1"/>
    <col min="12862" max="12862" width="10.7109375" style="1491" bestFit="1" customWidth="1"/>
    <col min="12863" max="12865" width="10" style="1491" bestFit="1" customWidth="1"/>
    <col min="12866" max="12866" width="10.7109375" style="1491" bestFit="1" customWidth="1"/>
    <col min="12867" max="12867" width="10.42578125" style="1491" bestFit="1" customWidth="1"/>
    <col min="12868" max="12868" width="10.7109375" style="1491" bestFit="1" customWidth="1"/>
    <col min="12869" max="12869" width="10.42578125" style="1491" bestFit="1" customWidth="1"/>
    <col min="12870" max="12872" width="10" style="1491" bestFit="1" customWidth="1"/>
    <col min="12873" max="12873" width="10.42578125" style="1491" bestFit="1" customWidth="1"/>
    <col min="12874" max="12874" width="10" style="1491" bestFit="1" customWidth="1"/>
    <col min="12875" max="12878" width="10.42578125" style="1491" bestFit="1" customWidth="1"/>
    <col min="12879" max="12879" width="10" style="1491" bestFit="1" customWidth="1"/>
    <col min="12880" max="12880" width="10.42578125" style="1491" bestFit="1" customWidth="1"/>
    <col min="12881" max="12881" width="10.7109375" style="1491" bestFit="1" customWidth="1"/>
    <col min="12882" max="12882" width="10" style="1491" bestFit="1" customWidth="1"/>
    <col min="12883" max="12884" width="10.42578125" style="1491" bestFit="1" customWidth="1"/>
    <col min="12885" max="12887" width="10" style="1491" bestFit="1" customWidth="1"/>
    <col min="12888" max="12888" width="10.7109375" style="1491" bestFit="1" customWidth="1"/>
    <col min="12889" max="12889" width="10" style="1491" bestFit="1" customWidth="1"/>
    <col min="12890" max="12890" width="10.42578125" style="1491" bestFit="1" customWidth="1"/>
    <col min="12891" max="12892" width="10.7109375" style="1491" bestFit="1" customWidth="1"/>
    <col min="12893" max="12893" width="10" style="1491" bestFit="1" customWidth="1"/>
    <col min="12894" max="12895" width="10.42578125" style="1491" bestFit="1" customWidth="1"/>
    <col min="12896" max="12896" width="10.7109375" style="1491" bestFit="1" customWidth="1"/>
    <col min="12897" max="12897" width="10.42578125" style="1491" bestFit="1" customWidth="1"/>
    <col min="12898" max="12900" width="10.7109375" style="1491" bestFit="1" customWidth="1"/>
    <col min="12901" max="12902" width="0" style="1491" hidden="1" customWidth="1"/>
    <col min="12903" max="12903" width="10.7109375" style="1491" bestFit="1" customWidth="1"/>
    <col min="12904" max="12905" width="10.42578125" style="1491" bestFit="1" customWidth="1"/>
    <col min="12906" max="12908" width="10.7109375" style="1491" bestFit="1" customWidth="1"/>
    <col min="12909" max="12910" width="10.42578125" style="1491" bestFit="1" customWidth="1"/>
    <col min="12911" max="12911" width="10.7109375" style="1491" bestFit="1" customWidth="1"/>
    <col min="12912" max="12912" width="10.42578125" style="1491" bestFit="1" customWidth="1"/>
    <col min="12913" max="12917" width="10.7109375" style="1491" bestFit="1" customWidth="1"/>
    <col min="12918" max="12919" width="10.42578125" style="1491" bestFit="1" customWidth="1"/>
    <col min="12920" max="12921" width="10.7109375" style="1491" bestFit="1" customWidth="1"/>
    <col min="12922" max="12922" width="10.42578125" style="1491" bestFit="1" customWidth="1"/>
    <col min="12923" max="12926" width="10.7109375" style="1491" bestFit="1" customWidth="1"/>
    <col min="12927" max="12927" width="10.42578125" style="1491" bestFit="1" customWidth="1"/>
    <col min="12928" max="12928" width="10.5703125" style="1491" customWidth="1"/>
    <col min="12929" max="12931" width="10.7109375" style="1491" bestFit="1" customWidth="1"/>
    <col min="12932" max="12932" width="10.42578125" style="1491" bestFit="1" customWidth="1"/>
    <col min="12933" max="12934" width="10.7109375" style="1491" bestFit="1" customWidth="1"/>
    <col min="12935" max="12935" width="10.42578125" style="1491" bestFit="1" customWidth="1"/>
    <col min="12936" max="12938" width="10.7109375" style="1491" bestFit="1" customWidth="1"/>
    <col min="12939" max="12939" width="10" style="1491" bestFit="1" customWidth="1"/>
    <col min="12940" max="12942" width="10.7109375" style="1491" bestFit="1" customWidth="1"/>
    <col min="12943" max="12943" width="10.42578125" style="1491" bestFit="1" customWidth="1"/>
    <col min="12944" max="12944" width="10.7109375" style="1491" bestFit="1" customWidth="1"/>
    <col min="12945" max="13047" width="7.5703125" style="1491"/>
    <col min="13048" max="13048" width="44.5703125" style="1491" customWidth="1"/>
    <col min="13049" max="13049" width="11.42578125" style="1491" customWidth="1"/>
    <col min="13050" max="13050" width="9.28515625" style="1491" customWidth="1"/>
    <col min="13051" max="13051" width="11" style="1491" customWidth="1"/>
    <col min="13052" max="13052" width="11.140625" style="1491" customWidth="1"/>
    <col min="13053" max="13053" width="8.140625" style="1491" bestFit="1" customWidth="1"/>
    <col min="13054" max="13054" width="7.85546875" style="1491" bestFit="1" customWidth="1"/>
    <col min="13055" max="13055" width="9.5703125" style="1491" bestFit="1" customWidth="1"/>
    <col min="13056" max="13056" width="9" style="1491" bestFit="1" customWidth="1"/>
    <col min="13057" max="13057" width="9.5703125" style="1491" bestFit="1" customWidth="1"/>
    <col min="13058" max="13058" width="9.42578125" style="1491" bestFit="1" customWidth="1"/>
    <col min="13059" max="13059" width="9.140625" style="1491" bestFit="1" customWidth="1"/>
    <col min="13060" max="13060" width="9.42578125" style="1491" bestFit="1" customWidth="1"/>
    <col min="13061" max="13061" width="9.140625" style="1491" bestFit="1" customWidth="1"/>
    <col min="13062" max="13062" width="9.5703125" style="1491" bestFit="1" customWidth="1"/>
    <col min="13063" max="13063" width="9.42578125" style="1491" bestFit="1" customWidth="1"/>
    <col min="13064" max="13066" width="9.140625" style="1491" bestFit="1" customWidth="1"/>
    <col min="13067" max="13067" width="10" style="1491" bestFit="1" customWidth="1"/>
    <col min="13068" max="13068" width="9.140625" style="1491" bestFit="1" customWidth="1"/>
    <col min="13069" max="13069" width="9.42578125" style="1491" bestFit="1" customWidth="1"/>
    <col min="13070" max="13070" width="8.7109375" style="1491" bestFit="1" customWidth="1"/>
    <col min="13071" max="13071" width="9" style="1491" bestFit="1" customWidth="1"/>
    <col min="13072" max="13072" width="9.42578125" style="1491" bestFit="1" customWidth="1"/>
    <col min="13073" max="13073" width="10" style="1491" bestFit="1" customWidth="1"/>
    <col min="13074" max="13074" width="8.85546875" style="1491" bestFit="1" customWidth="1"/>
    <col min="13075" max="13075" width="10.42578125" style="1491" bestFit="1" customWidth="1"/>
    <col min="13076" max="13076" width="8.85546875" style="1491" bestFit="1" customWidth="1"/>
    <col min="13077" max="13077" width="10.42578125" style="1491" bestFit="1" customWidth="1"/>
    <col min="13078" max="13079" width="9.5703125" style="1491" bestFit="1" customWidth="1"/>
    <col min="13080" max="13080" width="9.140625" style="1491" bestFit="1" customWidth="1"/>
    <col min="13081" max="13081" width="10" style="1491" bestFit="1" customWidth="1"/>
    <col min="13082" max="13082" width="9.140625" style="1491" bestFit="1" customWidth="1"/>
    <col min="13083" max="13083" width="10.42578125" style="1491" bestFit="1" customWidth="1"/>
    <col min="13084" max="13084" width="9.5703125" style="1491" bestFit="1" customWidth="1"/>
    <col min="13085" max="13085" width="10.42578125" style="1491" bestFit="1" customWidth="1"/>
    <col min="13086" max="13086" width="9.5703125" style="1491" bestFit="1" customWidth="1"/>
    <col min="13087" max="13087" width="10" style="1491" bestFit="1" customWidth="1"/>
    <col min="13088" max="13088" width="9.5703125" style="1491" bestFit="1" customWidth="1"/>
    <col min="13089" max="13089" width="10" style="1491" bestFit="1" customWidth="1"/>
    <col min="13090" max="13090" width="9.5703125" style="1491" bestFit="1" customWidth="1"/>
    <col min="13091" max="13091" width="10.7109375" style="1491" bestFit="1" customWidth="1"/>
    <col min="13092" max="13092" width="9.5703125" style="1491" bestFit="1" customWidth="1"/>
    <col min="13093" max="13093" width="10.7109375" style="1491" bestFit="1" customWidth="1"/>
    <col min="13094" max="13094" width="9.5703125" style="1491" bestFit="1" customWidth="1"/>
    <col min="13095" max="13095" width="10.7109375" style="1491" bestFit="1" customWidth="1"/>
    <col min="13096" max="13096" width="9.5703125" style="1491" bestFit="1" customWidth="1"/>
    <col min="13097" max="13097" width="10.7109375" style="1491" bestFit="1" customWidth="1"/>
    <col min="13098" max="13098" width="9.140625" style="1491" bestFit="1" customWidth="1"/>
    <col min="13099" max="13099" width="10.7109375" style="1491" bestFit="1" customWidth="1"/>
    <col min="13100" max="13100" width="9.5703125" style="1491" bestFit="1" customWidth="1"/>
    <col min="13101" max="13101" width="10.42578125" style="1491" bestFit="1" customWidth="1"/>
    <col min="13102" max="13102" width="9.5703125" style="1491" bestFit="1" customWidth="1"/>
    <col min="13103" max="13103" width="10.7109375" style="1491" bestFit="1" customWidth="1"/>
    <col min="13104" max="13104" width="9.5703125" style="1491" bestFit="1" customWidth="1"/>
    <col min="13105" max="13105" width="10.7109375" style="1491" bestFit="1" customWidth="1"/>
    <col min="13106" max="13106" width="9.140625" style="1491" bestFit="1" customWidth="1"/>
    <col min="13107" max="13107" width="10.7109375" style="1491" bestFit="1" customWidth="1"/>
    <col min="13108" max="13108" width="9.5703125" style="1491" bestFit="1" customWidth="1"/>
    <col min="13109" max="13109" width="10.42578125" style="1491" bestFit="1" customWidth="1"/>
    <col min="13110" max="13110" width="9.140625" style="1491" bestFit="1" customWidth="1"/>
    <col min="13111" max="13111" width="10" style="1491" bestFit="1" customWidth="1"/>
    <col min="13112" max="13114" width="10.42578125" style="1491" bestFit="1" customWidth="1"/>
    <col min="13115" max="13115" width="10" style="1491" bestFit="1" customWidth="1"/>
    <col min="13116" max="13116" width="10.7109375" style="1491" bestFit="1" customWidth="1"/>
    <col min="13117" max="13117" width="10.42578125" style="1491" bestFit="1" customWidth="1"/>
    <col min="13118" max="13118" width="10.7109375" style="1491" bestFit="1" customWidth="1"/>
    <col min="13119" max="13121" width="10" style="1491" bestFit="1" customWidth="1"/>
    <col min="13122" max="13122" width="10.7109375" style="1491" bestFit="1" customWidth="1"/>
    <col min="13123" max="13123" width="10.42578125" style="1491" bestFit="1" customWidth="1"/>
    <col min="13124" max="13124" width="10.7109375" style="1491" bestFit="1" customWidth="1"/>
    <col min="13125" max="13125" width="10.42578125" style="1491" bestFit="1" customWidth="1"/>
    <col min="13126" max="13128" width="10" style="1491" bestFit="1" customWidth="1"/>
    <col min="13129" max="13129" width="10.42578125" style="1491" bestFit="1" customWidth="1"/>
    <col min="13130" max="13130" width="10" style="1491" bestFit="1" customWidth="1"/>
    <col min="13131" max="13134" width="10.42578125" style="1491" bestFit="1" customWidth="1"/>
    <col min="13135" max="13135" width="10" style="1491" bestFit="1" customWidth="1"/>
    <col min="13136" max="13136" width="10.42578125" style="1491" bestFit="1" customWidth="1"/>
    <col min="13137" max="13137" width="10.7109375" style="1491" bestFit="1" customWidth="1"/>
    <col min="13138" max="13138" width="10" style="1491" bestFit="1" customWidth="1"/>
    <col min="13139" max="13140" width="10.42578125" style="1491" bestFit="1" customWidth="1"/>
    <col min="13141" max="13143" width="10" style="1491" bestFit="1" customWidth="1"/>
    <col min="13144" max="13144" width="10.7109375" style="1491" bestFit="1" customWidth="1"/>
    <col min="13145" max="13145" width="10" style="1491" bestFit="1" customWidth="1"/>
    <col min="13146" max="13146" width="10.42578125" style="1491" bestFit="1" customWidth="1"/>
    <col min="13147" max="13148" width="10.7109375" style="1491" bestFit="1" customWidth="1"/>
    <col min="13149" max="13149" width="10" style="1491" bestFit="1" customWidth="1"/>
    <col min="13150" max="13151" width="10.42578125" style="1491" bestFit="1" customWidth="1"/>
    <col min="13152" max="13152" width="10.7109375" style="1491" bestFit="1" customWidth="1"/>
    <col min="13153" max="13153" width="10.42578125" style="1491" bestFit="1" customWidth="1"/>
    <col min="13154" max="13156" width="10.7109375" style="1491" bestFit="1" customWidth="1"/>
    <col min="13157" max="13158" width="0" style="1491" hidden="1" customWidth="1"/>
    <col min="13159" max="13159" width="10.7109375" style="1491" bestFit="1" customWidth="1"/>
    <col min="13160" max="13161" width="10.42578125" style="1491" bestFit="1" customWidth="1"/>
    <col min="13162" max="13164" width="10.7109375" style="1491" bestFit="1" customWidth="1"/>
    <col min="13165" max="13166" width="10.42578125" style="1491" bestFit="1" customWidth="1"/>
    <col min="13167" max="13167" width="10.7109375" style="1491" bestFit="1" customWidth="1"/>
    <col min="13168" max="13168" width="10.42578125" style="1491" bestFit="1" customWidth="1"/>
    <col min="13169" max="13173" width="10.7109375" style="1491" bestFit="1" customWidth="1"/>
    <col min="13174" max="13175" width="10.42578125" style="1491" bestFit="1" customWidth="1"/>
    <col min="13176" max="13177" width="10.7109375" style="1491" bestFit="1" customWidth="1"/>
    <col min="13178" max="13178" width="10.42578125" style="1491" bestFit="1" customWidth="1"/>
    <col min="13179" max="13182" width="10.7109375" style="1491" bestFit="1" customWidth="1"/>
    <col min="13183" max="13183" width="10.42578125" style="1491" bestFit="1" customWidth="1"/>
    <col min="13184" max="13184" width="10.5703125" style="1491" customWidth="1"/>
    <col min="13185" max="13187" width="10.7109375" style="1491" bestFit="1" customWidth="1"/>
    <col min="13188" max="13188" width="10.42578125" style="1491" bestFit="1" customWidth="1"/>
    <col min="13189" max="13190" width="10.7109375" style="1491" bestFit="1" customWidth="1"/>
    <col min="13191" max="13191" width="10.42578125" style="1491" bestFit="1" customWidth="1"/>
    <col min="13192" max="13194" width="10.7109375" style="1491" bestFit="1" customWidth="1"/>
    <col min="13195" max="13195" width="10" style="1491" bestFit="1" customWidth="1"/>
    <col min="13196" max="13198" width="10.7109375" style="1491" bestFit="1" customWidth="1"/>
    <col min="13199" max="13199" width="10.42578125" style="1491" bestFit="1" customWidth="1"/>
    <col min="13200" max="13200" width="10.7109375" style="1491" bestFit="1" customWidth="1"/>
    <col min="13201" max="13303" width="7.5703125" style="1491"/>
    <col min="13304" max="13304" width="44.5703125" style="1491" customWidth="1"/>
    <col min="13305" max="13305" width="11.42578125" style="1491" customWidth="1"/>
    <col min="13306" max="13306" width="9.28515625" style="1491" customWidth="1"/>
    <col min="13307" max="13307" width="11" style="1491" customWidth="1"/>
    <col min="13308" max="13308" width="11.140625" style="1491" customWidth="1"/>
    <col min="13309" max="13309" width="8.140625" style="1491" bestFit="1" customWidth="1"/>
    <col min="13310" max="13310" width="7.85546875" style="1491" bestFit="1" customWidth="1"/>
    <col min="13311" max="13311" width="9.5703125" style="1491" bestFit="1" customWidth="1"/>
    <col min="13312" max="13312" width="9" style="1491" bestFit="1" customWidth="1"/>
    <col min="13313" max="13313" width="9.5703125" style="1491" bestFit="1" customWidth="1"/>
    <col min="13314" max="13314" width="9.42578125" style="1491" bestFit="1" customWidth="1"/>
    <col min="13315" max="13315" width="9.140625" style="1491" bestFit="1" customWidth="1"/>
    <col min="13316" max="13316" width="9.42578125" style="1491" bestFit="1" customWidth="1"/>
    <col min="13317" max="13317" width="9.140625" style="1491" bestFit="1" customWidth="1"/>
    <col min="13318" max="13318" width="9.5703125" style="1491" bestFit="1" customWidth="1"/>
    <col min="13319" max="13319" width="9.42578125" style="1491" bestFit="1" customWidth="1"/>
    <col min="13320" max="13322" width="9.140625" style="1491" bestFit="1" customWidth="1"/>
    <col min="13323" max="13323" width="10" style="1491" bestFit="1" customWidth="1"/>
    <col min="13324" max="13324" width="9.140625" style="1491" bestFit="1" customWidth="1"/>
    <col min="13325" max="13325" width="9.42578125" style="1491" bestFit="1" customWidth="1"/>
    <col min="13326" max="13326" width="8.7109375" style="1491" bestFit="1" customWidth="1"/>
    <col min="13327" max="13327" width="9" style="1491" bestFit="1" customWidth="1"/>
    <col min="13328" max="13328" width="9.42578125" style="1491" bestFit="1" customWidth="1"/>
    <col min="13329" max="13329" width="10" style="1491" bestFit="1" customWidth="1"/>
    <col min="13330" max="13330" width="8.85546875" style="1491" bestFit="1" customWidth="1"/>
    <col min="13331" max="13331" width="10.42578125" style="1491" bestFit="1" customWidth="1"/>
    <col min="13332" max="13332" width="8.85546875" style="1491" bestFit="1" customWidth="1"/>
    <col min="13333" max="13333" width="10.42578125" style="1491" bestFit="1" customWidth="1"/>
    <col min="13334" max="13335" width="9.5703125" style="1491" bestFit="1" customWidth="1"/>
    <col min="13336" max="13336" width="9.140625" style="1491" bestFit="1" customWidth="1"/>
    <col min="13337" max="13337" width="10" style="1491" bestFit="1" customWidth="1"/>
    <col min="13338" max="13338" width="9.140625" style="1491" bestFit="1" customWidth="1"/>
    <col min="13339" max="13339" width="10.42578125" style="1491" bestFit="1" customWidth="1"/>
    <col min="13340" max="13340" width="9.5703125" style="1491" bestFit="1" customWidth="1"/>
    <col min="13341" max="13341" width="10.42578125" style="1491" bestFit="1" customWidth="1"/>
    <col min="13342" max="13342" width="9.5703125" style="1491" bestFit="1" customWidth="1"/>
    <col min="13343" max="13343" width="10" style="1491" bestFit="1" customWidth="1"/>
    <col min="13344" max="13344" width="9.5703125" style="1491" bestFit="1" customWidth="1"/>
    <col min="13345" max="13345" width="10" style="1491" bestFit="1" customWidth="1"/>
    <col min="13346" max="13346" width="9.5703125" style="1491" bestFit="1" customWidth="1"/>
    <col min="13347" max="13347" width="10.7109375" style="1491" bestFit="1" customWidth="1"/>
    <col min="13348" max="13348" width="9.5703125" style="1491" bestFit="1" customWidth="1"/>
    <col min="13349" max="13349" width="10.7109375" style="1491" bestFit="1" customWidth="1"/>
    <col min="13350" max="13350" width="9.5703125" style="1491" bestFit="1" customWidth="1"/>
    <col min="13351" max="13351" width="10.7109375" style="1491" bestFit="1" customWidth="1"/>
    <col min="13352" max="13352" width="9.5703125" style="1491" bestFit="1" customWidth="1"/>
    <col min="13353" max="13353" width="10.7109375" style="1491" bestFit="1" customWidth="1"/>
    <col min="13354" max="13354" width="9.140625" style="1491" bestFit="1" customWidth="1"/>
    <col min="13355" max="13355" width="10.7109375" style="1491" bestFit="1" customWidth="1"/>
    <col min="13356" max="13356" width="9.5703125" style="1491" bestFit="1" customWidth="1"/>
    <col min="13357" max="13357" width="10.42578125" style="1491" bestFit="1" customWidth="1"/>
    <col min="13358" max="13358" width="9.5703125" style="1491" bestFit="1" customWidth="1"/>
    <col min="13359" max="13359" width="10.7109375" style="1491" bestFit="1" customWidth="1"/>
    <col min="13360" max="13360" width="9.5703125" style="1491" bestFit="1" customWidth="1"/>
    <col min="13361" max="13361" width="10.7109375" style="1491" bestFit="1" customWidth="1"/>
    <col min="13362" max="13362" width="9.140625" style="1491" bestFit="1" customWidth="1"/>
    <col min="13363" max="13363" width="10.7109375" style="1491" bestFit="1" customWidth="1"/>
    <col min="13364" max="13364" width="9.5703125" style="1491" bestFit="1" customWidth="1"/>
    <col min="13365" max="13365" width="10.42578125" style="1491" bestFit="1" customWidth="1"/>
    <col min="13366" max="13366" width="9.140625" style="1491" bestFit="1" customWidth="1"/>
    <col min="13367" max="13367" width="10" style="1491" bestFit="1" customWidth="1"/>
    <col min="13368" max="13370" width="10.42578125" style="1491" bestFit="1" customWidth="1"/>
    <col min="13371" max="13371" width="10" style="1491" bestFit="1" customWidth="1"/>
    <col min="13372" max="13372" width="10.7109375" style="1491" bestFit="1" customWidth="1"/>
    <col min="13373" max="13373" width="10.42578125" style="1491" bestFit="1" customWidth="1"/>
    <col min="13374" max="13374" width="10.7109375" style="1491" bestFit="1" customWidth="1"/>
    <col min="13375" max="13377" width="10" style="1491" bestFit="1" customWidth="1"/>
    <col min="13378" max="13378" width="10.7109375" style="1491" bestFit="1" customWidth="1"/>
    <col min="13379" max="13379" width="10.42578125" style="1491" bestFit="1" customWidth="1"/>
    <col min="13380" max="13380" width="10.7109375" style="1491" bestFit="1" customWidth="1"/>
    <col min="13381" max="13381" width="10.42578125" style="1491" bestFit="1" customWidth="1"/>
    <col min="13382" max="13384" width="10" style="1491" bestFit="1" customWidth="1"/>
    <col min="13385" max="13385" width="10.42578125" style="1491" bestFit="1" customWidth="1"/>
    <col min="13386" max="13386" width="10" style="1491" bestFit="1" customWidth="1"/>
    <col min="13387" max="13390" width="10.42578125" style="1491" bestFit="1" customWidth="1"/>
    <col min="13391" max="13391" width="10" style="1491" bestFit="1" customWidth="1"/>
    <col min="13392" max="13392" width="10.42578125" style="1491" bestFit="1" customWidth="1"/>
    <col min="13393" max="13393" width="10.7109375" style="1491" bestFit="1" customWidth="1"/>
    <col min="13394" max="13394" width="10" style="1491" bestFit="1" customWidth="1"/>
    <col min="13395" max="13396" width="10.42578125" style="1491" bestFit="1" customWidth="1"/>
    <col min="13397" max="13399" width="10" style="1491" bestFit="1" customWidth="1"/>
    <col min="13400" max="13400" width="10.7109375" style="1491" bestFit="1" customWidth="1"/>
    <col min="13401" max="13401" width="10" style="1491" bestFit="1" customWidth="1"/>
    <col min="13402" max="13402" width="10.42578125" style="1491" bestFit="1" customWidth="1"/>
    <col min="13403" max="13404" width="10.7109375" style="1491" bestFit="1" customWidth="1"/>
    <col min="13405" max="13405" width="10" style="1491" bestFit="1" customWidth="1"/>
    <col min="13406" max="13407" width="10.42578125" style="1491" bestFit="1" customWidth="1"/>
    <col min="13408" max="13408" width="10.7109375" style="1491" bestFit="1" customWidth="1"/>
    <col min="13409" max="13409" width="10.42578125" style="1491" bestFit="1" customWidth="1"/>
    <col min="13410" max="13412" width="10.7109375" style="1491" bestFit="1" customWidth="1"/>
    <col min="13413" max="13414" width="0" style="1491" hidden="1" customWidth="1"/>
    <col min="13415" max="13415" width="10.7109375" style="1491" bestFit="1" customWidth="1"/>
    <col min="13416" max="13417" width="10.42578125" style="1491" bestFit="1" customWidth="1"/>
    <col min="13418" max="13420" width="10.7109375" style="1491" bestFit="1" customWidth="1"/>
    <col min="13421" max="13422" width="10.42578125" style="1491" bestFit="1" customWidth="1"/>
    <col min="13423" max="13423" width="10.7109375" style="1491" bestFit="1" customWidth="1"/>
    <col min="13424" max="13424" width="10.42578125" style="1491" bestFit="1" customWidth="1"/>
    <col min="13425" max="13429" width="10.7109375" style="1491" bestFit="1" customWidth="1"/>
    <col min="13430" max="13431" width="10.42578125" style="1491" bestFit="1" customWidth="1"/>
    <col min="13432" max="13433" width="10.7109375" style="1491" bestFit="1" customWidth="1"/>
    <col min="13434" max="13434" width="10.42578125" style="1491" bestFit="1" customWidth="1"/>
    <col min="13435" max="13438" width="10.7109375" style="1491" bestFit="1" customWidth="1"/>
    <col min="13439" max="13439" width="10.42578125" style="1491" bestFit="1" customWidth="1"/>
    <col min="13440" max="13440" width="10.5703125" style="1491" customWidth="1"/>
    <col min="13441" max="13443" width="10.7109375" style="1491" bestFit="1" customWidth="1"/>
    <col min="13444" max="13444" width="10.42578125" style="1491" bestFit="1" customWidth="1"/>
    <col min="13445" max="13446" width="10.7109375" style="1491" bestFit="1" customWidth="1"/>
    <col min="13447" max="13447" width="10.42578125" style="1491" bestFit="1" customWidth="1"/>
    <col min="13448" max="13450" width="10.7109375" style="1491" bestFit="1" customWidth="1"/>
    <col min="13451" max="13451" width="10" style="1491" bestFit="1" customWidth="1"/>
    <col min="13452" max="13454" width="10.7109375" style="1491" bestFit="1" customWidth="1"/>
    <col min="13455" max="13455" width="10.42578125" style="1491" bestFit="1" customWidth="1"/>
    <col min="13456" max="13456" width="10.7109375" style="1491" bestFit="1" customWidth="1"/>
    <col min="13457" max="13559" width="7.5703125" style="1491"/>
    <col min="13560" max="13560" width="44.5703125" style="1491" customWidth="1"/>
    <col min="13561" max="13561" width="11.42578125" style="1491" customWidth="1"/>
    <col min="13562" max="13562" width="9.28515625" style="1491" customWidth="1"/>
    <col min="13563" max="13563" width="11" style="1491" customWidth="1"/>
    <col min="13564" max="13564" width="11.140625" style="1491" customWidth="1"/>
    <col min="13565" max="13565" width="8.140625" style="1491" bestFit="1" customWidth="1"/>
    <col min="13566" max="13566" width="7.85546875" style="1491" bestFit="1" customWidth="1"/>
    <col min="13567" max="13567" width="9.5703125" style="1491" bestFit="1" customWidth="1"/>
    <col min="13568" max="13568" width="9" style="1491" bestFit="1" customWidth="1"/>
    <col min="13569" max="13569" width="9.5703125" style="1491" bestFit="1" customWidth="1"/>
    <col min="13570" max="13570" width="9.42578125" style="1491" bestFit="1" customWidth="1"/>
    <col min="13571" max="13571" width="9.140625" style="1491" bestFit="1" customWidth="1"/>
    <col min="13572" max="13572" width="9.42578125" style="1491" bestFit="1" customWidth="1"/>
    <col min="13573" max="13573" width="9.140625" style="1491" bestFit="1" customWidth="1"/>
    <col min="13574" max="13574" width="9.5703125" style="1491" bestFit="1" customWidth="1"/>
    <col min="13575" max="13575" width="9.42578125" style="1491" bestFit="1" customWidth="1"/>
    <col min="13576" max="13578" width="9.140625" style="1491" bestFit="1" customWidth="1"/>
    <col min="13579" max="13579" width="10" style="1491" bestFit="1" customWidth="1"/>
    <col min="13580" max="13580" width="9.140625" style="1491" bestFit="1" customWidth="1"/>
    <col min="13581" max="13581" width="9.42578125" style="1491" bestFit="1" customWidth="1"/>
    <col min="13582" max="13582" width="8.7109375" style="1491" bestFit="1" customWidth="1"/>
    <col min="13583" max="13583" width="9" style="1491" bestFit="1" customWidth="1"/>
    <col min="13584" max="13584" width="9.42578125" style="1491" bestFit="1" customWidth="1"/>
    <col min="13585" max="13585" width="10" style="1491" bestFit="1" customWidth="1"/>
    <col min="13586" max="13586" width="8.85546875" style="1491" bestFit="1" customWidth="1"/>
    <col min="13587" max="13587" width="10.42578125" style="1491" bestFit="1" customWidth="1"/>
    <col min="13588" max="13588" width="8.85546875" style="1491" bestFit="1" customWidth="1"/>
    <col min="13589" max="13589" width="10.42578125" style="1491" bestFit="1" customWidth="1"/>
    <col min="13590" max="13591" width="9.5703125" style="1491" bestFit="1" customWidth="1"/>
    <col min="13592" max="13592" width="9.140625" style="1491" bestFit="1" customWidth="1"/>
    <col min="13593" max="13593" width="10" style="1491" bestFit="1" customWidth="1"/>
    <col min="13594" max="13594" width="9.140625" style="1491" bestFit="1" customWidth="1"/>
    <col min="13595" max="13595" width="10.42578125" style="1491" bestFit="1" customWidth="1"/>
    <col min="13596" max="13596" width="9.5703125" style="1491" bestFit="1" customWidth="1"/>
    <col min="13597" max="13597" width="10.42578125" style="1491" bestFit="1" customWidth="1"/>
    <col min="13598" max="13598" width="9.5703125" style="1491" bestFit="1" customWidth="1"/>
    <col min="13599" max="13599" width="10" style="1491" bestFit="1" customWidth="1"/>
    <col min="13600" max="13600" width="9.5703125" style="1491" bestFit="1" customWidth="1"/>
    <col min="13601" max="13601" width="10" style="1491" bestFit="1" customWidth="1"/>
    <col min="13602" max="13602" width="9.5703125" style="1491" bestFit="1" customWidth="1"/>
    <col min="13603" max="13603" width="10.7109375" style="1491" bestFit="1" customWidth="1"/>
    <col min="13604" max="13604" width="9.5703125" style="1491" bestFit="1" customWidth="1"/>
    <col min="13605" max="13605" width="10.7109375" style="1491" bestFit="1" customWidth="1"/>
    <col min="13606" max="13606" width="9.5703125" style="1491" bestFit="1" customWidth="1"/>
    <col min="13607" max="13607" width="10.7109375" style="1491" bestFit="1" customWidth="1"/>
    <col min="13608" max="13608" width="9.5703125" style="1491" bestFit="1" customWidth="1"/>
    <col min="13609" max="13609" width="10.7109375" style="1491" bestFit="1" customWidth="1"/>
    <col min="13610" max="13610" width="9.140625" style="1491" bestFit="1" customWidth="1"/>
    <col min="13611" max="13611" width="10.7109375" style="1491" bestFit="1" customWidth="1"/>
    <col min="13612" max="13612" width="9.5703125" style="1491" bestFit="1" customWidth="1"/>
    <col min="13613" max="13613" width="10.42578125" style="1491" bestFit="1" customWidth="1"/>
    <col min="13614" max="13614" width="9.5703125" style="1491" bestFit="1" customWidth="1"/>
    <col min="13615" max="13615" width="10.7109375" style="1491" bestFit="1" customWidth="1"/>
    <col min="13616" max="13616" width="9.5703125" style="1491" bestFit="1" customWidth="1"/>
    <col min="13617" max="13617" width="10.7109375" style="1491" bestFit="1" customWidth="1"/>
    <col min="13618" max="13618" width="9.140625" style="1491" bestFit="1" customWidth="1"/>
    <col min="13619" max="13619" width="10.7109375" style="1491" bestFit="1" customWidth="1"/>
    <col min="13620" max="13620" width="9.5703125" style="1491" bestFit="1" customWidth="1"/>
    <col min="13621" max="13621" width="10.42578125" style="1491" bestFit="1" customWidth="1"/>
    <col min="13622" max="13622" width="9.140625" style="1491" bestFit="1" customWidth="1"/>
    <col min="13623" max="13623" width="10" style="1491" bestFit="1" customWidth="1"/>
    <col min="13624" max="13626" width="10.42578125" style="1491" bestFit="1" customWidth="1"/>
    <col min="13627" max="13627" width="10" style="1491" bestFit="1" customWidth="1"/>
    <col min="13628" max="13628" width="10.7109375" style="1491" bestFit="1" customWidth="1"/>
    <col min="13629" max="13629" width="10.42578125" style="1491" bestFit="1" customWidth="1"/>
    <col min="13630" max="13630" width="10.7109375" style="1491" bestFit="1" customWidth="1"/>
    <col min="13631" max="13633" width="10" style="1491" bestFit="1" customWidth="1"/>
    <col min="13634" max="13634" width="10.7109375" style="1491" bestFit="1" customWidth="1"/>
    <col min="13635" max="13635" width="10.42578125" style="1491" bestFit="1" customWidth="1"/>
    <col min="13636" max="13636" width="10.7109375" style="1491" bestFit="1" customWidth="1"/>
    <col min="13637" max="13637" width="10.42578125" style="1491" bestFit="1" customWidth="1"/>
    <col min="13638" max="13640" width="10" style="1491" bestFit="1" customWidth="1"/>
    <col min="13641" max="13641" width="10.42578125" style="1491" bestFit="1" customWidth="1"/>
    <col min="13642" max="13642" width="10" style="1491" bestFit="1" customWidth="1"/>
    <col min="13643" max="13646" width="10.42578125" style="1491" bestFit="1" customWidth="1"/>
    <col min="13647" max="13647" width="10" style="1491" bestFit="1" customWidth="1"/>
    <col min="13648" max="13648" width="10.42578125" style="1491" bestFit="1" customWidth="1"/>
    <col min="13649" max="13649" width="10.7109375" style="1491" bestFit="1" customWidth="1"/>
    <col min="13650" max="13650" width="10" style="1491" bestFit="1" customWidth="1"/>
    <col min="13651" max="13652" width="10.42578125" style="1491" bestFit="1" customWidth="1"/>
    <col min="13653" max="13655" width="10" style="1491" bestFit="1" customWidth="1"/>
    <col min="13656" max="13656" width="10.7109375" style="1491" bestFit="1" customWidth="1"/>
    <col min="13657" max="13657" width="10" style="1491" bestFit="1" customWidth="1"/>
    <col min="13658" max="13658" width="10.42578125" style="1491" bestFit="1" customWidth="1"/>
    <col min="13659" max="13660" width="10.7109375" style="1491" bestFit="1" customWidth="1"/>
    <col min="13661" max="13661" width="10" style="1491" bestFit="1" customWidth="1"/>
    <col min="13662" max="13663" width="10.42578125" style="1491" bestFit="1" customWidth="1"/>
    <col min="13664" max="13664" width="10.7109375" style="1491" bestFit="1" customWidth="1"/>
    <col min="13665" max="13665" width="10.42578125" style="1491" bestFit="1" customWidth="1"/>
    <col min="13666" max="13668" width="10.7109375" style="1491" bestFit="1" customWidth="1"/>
    <col min="13669" max="13670" width="0" style="1491" hidden="1" customWidth="1"/>
    <col min="13671" max="13671" width="10.7109375" style="1491" bestFit="1" customWidth="1"/>
    <col min="13672" max="13673" width="10.42578125" style="1491" bestFit="1" customWidth="1"/>
    <col min="13674" max="13676" width="10.7109375" style="1491" bestFit="1" customWidth="1"/>
    <col min="13677" max="13678" width="10.42578125" style="1491" bestFit="1" customWidth="1"/>
    <col min="13679" max="13679" width="10.7109375" style="1491" bestFit="1" customWidth="1"/>
    <col min="13680" max="13680" width="10.42578125" style="1491" bestFit="1" customWidth="1"/>
    <col min="13681" max="13685" width="10.7109375" style="1491" bestFit="1" customWidth="1"/>
    <col min="13686" max="13687" width="10.42578125" style="1491" bestFit="1" customWidth="1"/>
    <col min="13688" max="13689" width="10.7109375" style="1491" bestFit="1" customWidth="1"/>
    <col min="13690" max="13690" width="10.42578125" style="1491" bestFit="1" customWidth="1"/>
    <col min="13691" max="13694" width="10.7109375" style="1491" bestFit="1" customWidth="1"/>
    <col min="13695" max="13695" width="10.42578125" style="1491" bestFit="1" customWidth="1"/>
    <col min="13696" max="13696" width="10.5703125" style="1491" customWidth="1"/>
    <col min="13697" max="13699" width="10.7109375" style="1491" bestFit="1" customWidth="1"/>
    <col min="13700" max="13700" width="10.42578125" style="1491" bestFit="1" customWidth="1"/>
    <col min="13701" max="13702" width="10.7109375" style="1491" bestFit="1" customWidth="1"/>
    <col min="13703" max="13703" width="10.42578125" style="1491" bestFit="1" customWidth="1"/>
    <col min="13704" max="13706" width="10.7109375" style="1491" bestFit="1" customWidth="1"/>
    <col min="13707" max="13707" width="10" style="1491" bestFit="1" customWidth="1"/>
    <col min="13708" max="13710" width="10.7109375" style="1491" bestFit="1" customWidth="1"/>
    <col min="13711" max="13711" width="10.42578125" style="1491" bestFit="1" customWidth="1"/>
    <col min="13712" max="13712" width="10.7109375" style="1491" bestFit="1" customWidth="1"/>
    <col min="13713" max="13815" width="7.5703125" style="1491"/>
    <col min="13816" max="13816" width="44.5703125" style="1491" customWidth="1"/>
    <col min="13817" max="13817" width="11.42578125" style="1491" customWidth="1"/>
    <col min="13818" max="13818" width="9.28515625" style="1491" customWidth="1"/>
    <col min="13819" max="13819" width="11" style="1491" customWidth="1"/>
    <col min="13820" max="13820" width="11.140625" style="1491" customWidth="1"/>
    <col min="13821" max="13821" width="8.140625" style="1491" bestFit="1" customWidth="1"/>
    <col min="13822" max="13822" width="7.85546875" style="1491" bestFit="1" customWidth="1"/>
    <col min="13823" max="13823" width="9.5703125" style="1491" bestFit="1" customWidth="1"/>
    <col min="13824" max="13824" width="9" style="1491" bestFit="1" customWidth="1"/>
    <col min="13825" max="13825" width="9.5703125" style="1491" bestFit="1" customWidth="1"/>
    <col min="13826" max="13826" width="9.42578125" style="1491" bestFit="1" customWidth="1"/>
    <col min="13827" max="13827" width="9.140625" style="1491" bestFit="1" customWidth="1"/>
    <col min="13828" max="13828" width="9.42578125" style="1491" bestFit="1" customWidth="1"/>
    <col min="13829" max="13829" width="9.140625" style="1491" bestFit="1" customWidth="1"/>
    <col min="13830" max="13830" width="9.5703125" style="1491" bestFit="1" customWidth="1"/>
    <col min="13831" max="13831" width="9.42578125" style="1491" bestFit="1" customWidth="1"/>
    <col min="13832" max="13834" width="9.140625" style="1491" bestFit="1" customWidth="1"/>
    <col min="13835" max="13835" width="10" style="1491" bestFit="1" customWidth="1"/>
    <col min="13836" max="13836" width="9.140625" style="1491" bestFit="1" customWidth="1"/>
    <col min="13837" max="13837" width="9.42578125" style="1491" bestFit="1" customWidth="1"/>
    <col min="13838" max="13838" width="8.7109375" style="1491" bestFit="1" customWidth="1"/>
    <col min="13839" max="13839" width="9" style="1491" bestFit="1" customWidth="1"/>
    <col min="13840" max="13840" width="9.42578125" style="1491" bestFit="1" customWidth="1"/>
    <col min="13841" max="13841" width="10" style="1491" bestFit="1" customWidth="1"/>
    <col min="13842" max="13842" width="8.85546875" style="1491" bestFit="1" customWidth="1"/>
    <col min="13843" max="13843" width="10.42578125" style="1491" bestFit="1" customWidth="1"/>
    <col min="13844" max="13844" width="8.85546875" style="1491" bestFit="1" customWidth="1"/>
    <col min="13845" max="13845" width="10.42578125" style="1491" bestFit="1" customWidth="1"/>
    <col min="13846" max="13847" width="9.5703125" style="1491" bestFit="1" customWidth="1"/>
    <col min="13848" max="13848" width="9.140625" style="1491" bestFit="1" customWidth="1"/>
    <col min="13849" max="13849" width="10" style="1491" bestFit="1" customWidth="1"/>
    <col min="13850" max="13850" width="9.140625" style="1491" bestFit="1" customWidth="1"/>
    <col min="13851" max="13851" width="10.42578125" style="1491" bestFit="1" customWidth="1"/>
    <col min="13852" max="13852" width="9.5703125" style="1491" bestFit="1" customWidth="1"/>
    <col min="13853" max="13853" width="10.42578125" style="1491" bestFit="1" customWidth="1"/>
    <col min="13854" max="13854" width="9.5703125" style="1491" bestFit="1" customWidth="1"/>
    <col min="13855" max="13855" width="10" style="1491" bestFit="1" customWidth="1"/>
    <col min="13856" max="13856" width="9.5703125" style="1491" bestFit="1" customWidth="1"/>
    <col min="13857" max="13857" width="10" style="1491" bestFit="1" customWidth="1"/>
    <col min="13858" max="13858" width="9.5703125" style="1491" bestFit="1" customWidth="1"/>
    <col min="13859" max="13859" width="10.7109375" style="1491" bestFit="1" customWidth="1"/>
    <col min="13860" max="13860" width="9.5703125" style="1491" bestFit="1" customWidth="1"/>
    <col min="13861" max="13861" width="10.7109375" style="1491" bestFit="1" customWidth="1"/>
    <col min="13862" max="13862" width="9.5703125" style="1491" bestFit="1" customWidth="1"/>
    <col min="13863" max="13863" width="10.7109375" style="1491" bestFit="1" customWidth="1"/>
    <col min="13864" max="13864" width="9.5703125" style="1491" bestFit="1" customWidth="1"/>
    <col min="13865" max="13865" width="10.7109375" style="1491" bestFit="1" customWidth="1"/>
    <col min="13866" max="13866" width="9.140625" style="1491" bestFit="1" customWidth="1"/>
    <col min="13867" max="13867" width="10.7109375" style="1491" bestFit="1" customWidth="1"/>
    <col min="13868" max="13868" width="9.5703125" style="1491" bestFit="1" customWidth="1"/>
    <col min="13869" max="13869" width="10.42578125" style="1491" bestFit="1" customWidth="1"/>
    <col min="13870" max="13870" width="9.5703125" style="1491" bestFit="1" customWidth="1"/>
    <col min="13871" max="13871" width="10.7109375" style="1491" bestFit="1" customWidth="1"/>
    <col min="13872" max="13872" width="9.5703125" style="1491" bestFit="1" customWidth="1"/>
    <col min="13873" max="13873" width="10.7109375" style="1491" bestFit="1" customWidth="1"/>
    <col min="13874" max="13874" width="9.140625" style="1491" bestFit="1" customWidth="1"/>
    <col min="13875" max="13875" width="10.7109375" style="1491" bestFit="1" customWidth="1"/>
    <col min="13876" max="13876" width="9.5703125" style="1491" bestFit="1" customWidth="1"/>
    <col min="13877" max="13877" width="10.42578125" style="1491" bestFit="1" customWidth="1"/>
    <col min="13878" max="13878" width="9.140625" style="1491" bestFit="1" customWidth="1"/>
    <col min="13879" max="13879" width="10" style="1491" bestFit="1" customWidth="1"/>
    <col min="13880" max="13882" width="10.42578125" style="1491" bestFit="1" customWidth="1"/>
    <col min="13883" max="13883" width="10" style="1491" bestFit="1" customWidth="1"/>
    <col min="13884" max="13884" width="10.7109375" style="1491" bestFit="1" customWidth="1"/>
    <col min="13885" max="13885" width="10.42578125" style="1491" bestFit="1" customWidth="1"/>
    <col min="13886" max="13886" width="10.7109375" style="1491" bestFit="1" customWidth="1"/>
    <col min="13887" max="13889" width="10" style="1491" bestFit="1" customWidth="1"/>
    <col min="13890" max="13890" width="10.7109375" style="1491" bestFit="1" customWidth="1"/>
    <col min="13891" max="13891" width="10.42578125" style="1491" bestFit="1" customWidth="1"/>
    <col min="13892" max="13892" width="10.7109375" style="1491" bestFit="1" customWidth="1"/>
    <col min="13893" max="13893" width="10.42578125" style="1491" bestFit="1" customWidth="1"/>
    <col min="13894" max="13896" width="10" style="1491" bestFit="1" customWidth="1"/>
    <col min="13897" max="13897" width="10.42578125" style="1491" bestFit="1" customWidth="1"/>
    <col min="13898" max="13898" width="10" style="1491" bestFit="1" customWidth="1"/>
    <col min="13899" max="13902" width="10.42578125" style="1491" bestFit="1" customWidth="1"/>
    <col min="13903" max="13903" width="10" style="1491" bestFit="1" customWidth="1"/>
    <col min="13904" max="13904" width="10.42578125" style="1491" bestFit="1" customWidth="1"/>
    <col min="13905" max="13905" width="10.7109375" style="1491" bestFit="1" customWidth="1"/>
    <col min="13906" max="13906" width="10" style="1491" bestFit="1" customWidth="1"/>
    <col min="13907" max="13908" width="10.42578125" style="1491" bestFit="1" customWidth="1"/>
    <col min="13909" max="13911" width="10" style="1491" bestFit="1" customWidth="1"/>
    <col min="13912" max="13912" width="10.7109375" style="1491" bestFit="1" customWidth="1"/>
    <col min="13913" max="13913" width="10" style="1491" bestFit="1" customWidth="1"/>
    <col min="13914" max="13914" width="10.42578125" style="1491" bestFit="1" customWidth="1"/>
    <col min="13915" max="13916" width="10.7109375" style="1491" bestFit="1" customWidth="1"/>
    <col min="13917" max="13917" width="10" style="1491" bestFit="1" customWidth="1"/>
    <col min="13918" max="13919" width="10.42578125" style="1491" bestFit="1" customWidth="1"/>
    <col min="13920" max="13920" width="10.7109375" style="1491" bestFit="1" customWidth="1"/>
    <col min="13921" max="13921" width="10.42578125" style="1491" bestFit="1" customWidth="1"/>
    <col min="13922" max="13924" width="10.7109375" style="1491" bestFit="1" customWidth="1"/>
    <col min="13925" max="13926" width="0" style="1491" hidden="1" customWidth="1"/>
    <col min="13927" max="13927" width="10.7109375" style="1491" bestFit="1" customWidth="1"/>
    <col min="13928" max="13929" width="10.42578125" style="1491" bestFit="1" customWidth="1"/>
    <col min="13930" max="13932" width="10.7109375" style="1491" bestFit="1" customWidth="1"/>
    <col min="13933" max="13934" width="10.42578125" style="1491" bestFit="1" customWidth="1"/>
    <col min="13935" max="13935" width="10.7109375" style="1491" bestFit="1" customWidth="1"/>
    <col min="13936" max="13936" width="10.42578125" style="1491" bestFit="1" customWidth="1"/>
    <col min="13937" max="13941" width="10.7109375" style="1491" bestFit="1" customWidth="1"/>
    <col min="13942" max="13943" width="10.42578125" style="1491" bestFit="1" customWidth="1"/>
    <col min="13944" max="13945" width="10.7109375" style="1491" bestFit="1" customWidth="1"/>
    <col min="13946" max="13946" width="10.42578125" style="1491" bestFit="1" customWidth="1"/>
    <col min="13947" max="13950" width="10.7109375" style="1491" bestFit="1" customWidth="1"/>
    <col min="13951" max="13951" width="10.42578125" style="1491" bestFit="1" customWidth="1"/>
    <col min="13952" max="13952" width="10.5703125" style="1491" customWidth="1"/>
    <col min="13953" max="13955" width="10.7109375" style="1491" bestFit="1" customWidth="1"/>
    <col min="13956" max="13956" width="10.42578125" style="1491" bestFit="1" customWidth="1"/>
    <col min="13957" max="13958" width="10.7109375" style="1491" bestFit="1" customWidth="1"/>
    <col min="13959" max="13959" width="10.42578125" style="1491" bestFit="1" customWidth="1"/>
    <col min="13960" max="13962" width="10.7109375" style="1491" bestFit="1" customWidth="1"/>
    <col min="13963" max="13963" width="10" style="1491" bestFit="1" customWidth="1"/>
    <col min="13964" max="13966" width="10.7109375" style="1491" bestFit="1" customWidth="1"/>
    <col min="13967" max="13967" width="10.42578125" style="1491" bestFit="1" customWidth="1"/>
    <col min="13968" max="13968" width="10.7109375" style="1491" bestFit="1" customWidth="1"/>
    <col min="13969" max="14071" width="7.5703125" style="1491"/>
    <col min="14072" max="14072" width="44.5703125" style="1491" customWidth="1"/>
    <col min="14073" max="14073" width="11.42578125" style="1491" customWidth="1"/>
    <col min="14074" max="14074" width="9.28515625" style="1491" customWidth="1"/>
    <col min="14075" max="14075" width="11" style="1491" customWidth="1"/>
    <col min="14076" max="14076" width="11.140625" style="1491" customWidth="1"/>
    <col min="14077" max="14077" width="8.140625" style="1491" bestFit="1" customWidth="1"/>
    <col min="14078" max="14078" width="7.85546875" style="1491" bestFit="1" customWidth="1"/>
    <col min="14079" max="14079" width="9.5703125" style="1491" bestFit="1" customWidth="1"/>
    <col min="14080" max="14080" width="9" style="1491" bestFit="1" customWidth="1"/>
    <col min="14081" max="14081" width="9.5703125" style="1491" bestFit="1" customWidth="1"/>
    <col min="14082" max="14082" width="9.42578125" style="1491" bestFit="1" customWidth="1"/>
    <col min="14083" max="14083" width="9.140625" style="1491" bestFit="1" customWidth="1"/>
    <col min="14084" max="14084" width="9.42578125" style="1491" bestFit="1" customWidth="1"/>
    <col min="14085" max="14085" width="9.140625" style="1491" bestFit="1" customWidth="1"/>
    <col min="14086" max="14086" width="9.5703125" style="1491" bestFit="1" customWidth="1"/>
    <col min="14087" max="14087" width="9.42578125" style="1491" bestFit="1" customWidth="1"/>
    <col min="14088" max="14090" width="9.140625" style="1491" bestFit="1" customWidth="1"/>
    <col min="14091" max="14091" width="10" style="1491" bestFit="1" customWidth="1"/>
    <col min="14092" max="14092" width="9.140625" style="1491" bestFit="1" customWidth="1"/>
    <col min="14093" max="14093" width="9.42578125" style="1491" bestFit="1" customWidth="1"/>
    <col min="14094" max="14094" width="8.7109375" style="1491" bestFit="1" customWidth="1"/>
    <col min="14095" max="14095" width="9" style="1491" bestFit="1" customWidth="1"/>
    <col min="14096" max="14096" width="9.42578125" style="1491" bestFit="1" customWidth="1"/>
    <col min="14097" max="14097" width="10" style="1491" bestFit="1" customWidth="1"/>
    <col min="14098" max="14098" width="8.85546875" style="1491" bestFit="1" customWidth="1"/>
    <col min="14099" max="14099" width="10.42578125" style="1491" bestFit="1" customWidth="1"/>
    <col min="14100" max="14100" width="8.85546875" style="1491" bestFit="1" customWidth="1"/>
    <col min="14101" max="14101" width="10.42578125" style="1491" bestFit="1" customWidth="1"/>
    <col min="14102" max="14103" width="9.5703125" style="1491" bestFit="1" customWidth="1"/>
    <col min="14104" max="14104" width="9.140625" style="1491" bestFit="1" customWidth="1"/>
    <col min="14105" max="14105" width="10" style="1491" bestFit="1" customWidth="1"/>
    <col min="14106" max="14106" width="9.140625" style="1491" bestFit="1" customWidth="1"/>
    <col min="14107" max="14107" width="10.42578125" style="1491" bestFit="1" customWidth="1"/>
    <col min="14108" max="14108" width="9.5703125" style="1491" bestFit="1" customWidth="1"/>
    <col min="14109" max="14109" width="10.42578125" style="1491" bestFit="1" customWidth="1"/>
    <col min="14110" max="14110" width="9.5703125" style="1491" bestFit="1" customWidth="1"/>
    <col min="14111" max="14111" width="10" style="1491" bestFit="1" customWidth="1"/>
    <col min="14112" max="14112" width="9.5703125" style="1491" bestFit="1" customWidth="1"/>
    <col min="14113" max="14113" width="10" style="1491" bestFit="1" customWidth="1"/>
    <col min="14114" max="14114" width="9.5703125" style="1491" bestFit="1" customWidth="1"/>
    <col min="14115" max="14115" width="10.7109375" style="1491" bestFit="1" customWidth="1"/>
    <col min="14116" max="14116" width="9.5703125" style="1491" bestFit="1" customWidth="1"/>
    <col min="14117" max="14117" width="10.7109375" style="1491" bestFit="1" customWidth="1"/>
    <col min="14118" max="14118" width="9.5703125" style="1491" bestFit="1" customWidth="1"/>
    <col min="14119" max="14119" width="10.7109375" style="1491" bestFit="1" customWidth="1"/>
    <col min="14120" max="14120" width="9.5703125" style="1491" bestFit="1" customWidth="1"/>
    <col min="14121" max="14121" width="10.7109375" style="1491" bestFit="1" customWidth="1"/>
    <col min="14122" max="14122" width="9.140625" style="1491" bestFit="1" customWidth="1"/>
    <col min="14123" max="14123" width="10.7109375" style="1491" bestFit="1" customWidth="1"/>
    <col min="14124" max="14124" width="9.5703125" style="1491" bestFit="1" customWidth="1"/>
    <col min="14125" max="14125" width="10.42578125" style="1491" bestFit="1" customWidth="1"/>
    <col min="14126" max="14126" width="9.5703125" style="1491" bestFit="1" customWidth="1"/>
    <col min="14127" max="14127" width="10.7109375" style="1491" bestFit="1" customWidth="1"/>
    <col min="14128" max="14128" width="9.5703125" style="1491" bestFit="1" customWidth="1"/>
    <col min="14129" max="14129" width="10.7109375" style="1491" bestFit="1" customWidth="1"/>
    <col min="14130" max="14130" width="9.140625" style="1491" bestFit="1" customWidth="1"/>
    <col min="14131" max="14131" width="10.7109375" style="1491" bestFit="1" customWidth="1"/>
    <col min="14132" max="14132" width="9.5703125" style="1491" bestFit="1" customWidth="1"/>
    <col min="14133" max="14133" width="10.42578125" style="1491" bestFit="1" customWidth="1"/>
    <col min="14134" max="14134" width="9.140625" style="1491" bestFit="1" customWidth="1"/>
    <col min="14135" max="14135" width="10" style="1491" bestFit="1" customWidth="1"/>
    <col min="14136" max="14138" width="10.42578125" style="1491" bestFit="1" customWidth="1"/>
    <col min="14139" max="14139" width="10" style="1491" bestFit="1" customWidth="1"/>
    <col min="14140" max="14140" width="10.7109375" style="1491" bestFit="1" customWidth="1"/>
    <col min="14141" max="14141" width="10.42578125" style="1491" bestFit="1" customWidth="1"/>
    <col min="14142" max="14142" width="10.7109375" style="1491" bestFit="1" customWidth="1"/>
    <col min="14143" max="14145" width="10" style="1491" bestFit="1" customWidth="1"/>
    <col min="14146" max="14146" width="10.7109375" style="1491" bestFit="1" customWidth="1"/>
    <col min="14147" max="14147" width="10.42578125" style="1491" bestFit="1" customWidth="1"/>
    <col min="14148" max="14148" width="10.7109375" style="1491" bestFit="1" customWidth="1"/>
    <col min="14149" max="14149" width="10.42578125" style="1491" bestFit="1" customWidth="1"/>
    <col min="14150" max="14152" width="10" style="1491" bestFit="1" customWidth="1"/>
    <col min="14153" max="14153" width="10.42578125" style="1491" bestFit="1" customWidth="1"/>
    <col min="14154" max="14154" width="10" style="1491" bestFit="1" customWidth="1"/>
    <col min="14155" max="14158" width="10.42578125" style="1491" bestFit="1" customWidth="1"/>
    <col min="14159" max="14159" width="10" style="1491" bestFit="1" customWidth="1"/>
    <col min="14160" max="14160" width="10.42578125" style="1491" bestFit="1" customWidth="1"/>
    <col min="14161" max="14161" width="10.7109375" style="1491" bestFit="1" customWidth="1"/>
    <col min="14162" max="14162" width="10" style="1491" bestFit="1" customWidth="1"/>
    <col min="14163" max="14164" width="10.42578125" style="1491" bestFit="1" customWidth="1"/>
    <col min="14165" max="14167" width="10" style="1491" bestFit="1" customWidth="1"/>
    <col min="14168" max="14168" width="10.7109375" style="1491" bestFit="1" customWidth="1"/>
    <col min="14169" max="14169" width="10" style="1491" bestFit="1" customWidth="1"/>
    <col min="14170" max="14170" width="10.42578125" style="1491" bestFit="1" customWidth="1"/>
    <col min="14171" max="14172" width="10.7109375" style="1491" bestFit="1" customWidth="1"/>
    <col min="14173" max="14173" width="10" style="1491" bestFit="1" customWidth="1"/>
    <col min="14174" max="14175" width="10.42578125" style="1491" bestFit="1" customWidth="1"/>
    <col min="14176" max="14176" width="10.7109375" style="1491" bestFit="1" customWidth="1"/>
    <col min="14177" max="14177" width="10.42578125" style="1491" bestFit="1" customWidth="1"/>
    <col min="14178" max="14180" width="10.7109375" style="1491" bestFit="1" customWidth="1"/>
    <col min="14181" max="14182" width="0" style="1491" hidden="1" customWidth="1"/>
    <col min="14183" max="14183" width="10.7109375" style="1491" bestFit="1" customWidth="1"/>
    <col min="14184" max="14185" width="10.42578125" style="1491" bestFit="1" customWidth="1"/>
    <col min="14186" max="14188" width="10.7109375" style="1491" bestFit="1" customWidth="1"/>
    <col min="14189" max="14190" width="10.42578125" style="1491" bestFit="1" customWidth="1"/>
    <col min="14191" max="14191" width="10.7109375" style="1491" bestFit="1" customWidth="1"/>
    <col min="14192" max="14192" width="10.42578125" style="1491" bestFit="1" customWidth="1"/>
    <col min="14193" max="14197" width="10.7109375" style="1491" bestFit="1" customWidth="1"/>
    <col min="14198" max="14199" width="10.42578125" style="1491" bestFit="1" customWidth="1"/>
    <col min="14200" max="14201" width="10.7109375" style="1491" bestFit="1" customWidth="1"/>
    <col min="14202" max="14202" width="10.42578125" style="1491" bestFit="1" customWidth="1"/>
    <col min="14203" max="14206" width="10.7109375" style="1491" bestFit="1" customWidth="1"/>
    <col min="14207" max="14207" width="10.42578125" style="1491" bestFit="1" customWidth="1"/>
    <col min="14208" max="14208" width="10.5703125" style="1491" customWidth="1"/>
    <col min="14209" max="14211" width="10.7109375" style="1491" bestFit="1" customWidth="1"/>
    <col min="14212" max="14212" width="10.42578125" style="1491" bestFit="1" customWidth="1"/>
    <col min="14213" max="14214" width="10.7109375" style="1491" bestFit="1" customWidth="1"/>
    <col min="14215" max="14215" width="10.42578125" style="1491" bestFit="1" customWidth="1"/>
    <col min="14216" max="14218" width="10.7109375" style="1491" bestFit="1" customWidth="1"/>
    <col min="14219" max="14219" width="10" style="1491" bestFit="1" customWidth="1"/>
    <col min="14220" max="14222" width="10.7109375" style="1491" bestFit="1" customWidth="1"/>
    <col min="14223" max="14223" width="10.42578125" style="1491" bestFit="1" customWidth="1"/>
    <col min="14224" max="14224" width="10.7109375" style="1491" bestFit="1" customWidth="1"/>
    <col min="14225" max="14327" width="7.5703125" style="1491"/>
    <col min="14328" max="14328" width="44.5703125" style="1491" customWidth="1"/>
    <col min="14329" max="14329" width="11.42578125" style="1491" customWidth="1"/>
    <col min="14330" max="14330" width="9.28515625" style="1491" customWidth="1"/>
    <col min="14331" max="14331" width="11" style="1491" customWidth="1"/>
    <col min="14332" max="14332" width="11.140625" style="1491" customWidth="1"/>
    <col min="14333" max="14333" width="8.140625" style="1491" bestFit="1" customWidth="1"/>
    <col min="14334" max="14334" width="7.85546875" style="1491" bestFit="1" customWidth="1"/>
    <col min="14335" max="14335" width="9.5703125" style="1491" bestFit="1" customWidth="1"/>
    <col min="14336" max="14336" width="9" style="1491" bestFit="1" customWidth="1"/>
    <col min="14337" max="14337" width="9.5703125" style="1491" bestFit="1" customWidth="1"/>
    <col min="14338" max="14338" width="9.42578125" style="1491" bestFit="1" customWidth="1"/>
    <col min="14339" max="14339" width="9.140625" style="1491" bestFit="1" customWidth="1"/>
    <col min="14340" max="14340" width="9.42578125" style="1491" bestFit="1" customWidth="1"/>
    <col min="14341" max="14341" width="9.140625" style="1491" bestFit="1" customWidth="1"/>
    <col min="14342" max="14342" width="9.5703125" style="1491" bestFit="1" customWidth="1"/>
    <col min="14343" max="14343" width="9.42578125" style="1491" bestFit="1" customWidth="1"/>
    <col min="14344" max="14346" width="9.140625" style="1491" bestFit="1" customWidth="1"/>
    <col min="14347" max="14347" width="10" style="1491" bestFit="1" customWidth="1"/>
    <col min="14348" max="14348" width="9.140625" style="1491" bestFit="1" customWidth="1"/>
    <col min="14349" max="14349" width="9.42578125" style="1491" bestFit="1" customWidth="1"/>
    <col min="14350" max="14350" width="8.7109375" style="1491" bestFit="1" customWidth="1"/>
    <col min="14351" max="14351" width="9" style="1491" bestFit="1" customWidth="1"/>
    <col min="14352" max="14352" width="9.42578125" style="1491" bestFit="1" customWidth="1"/>
    <col min="14353" max="14353" width="10" style="1491" bestFit="1" customWidth="1"/>
    <col min="14354" max="14354" width="8.85546875" style="1491" bestFit="1" customWidth="1"/>
    <col min="14355" max="14355" width="10.42578125" style="1491" bestFit="1" customWidth="1"/>
    <col min="14356" max="14356" width="8.85546875" style="1491" bestFit="1" customWidth="1"/>
    <col min="14357" max="14357" width="10.42578125" style="1491" bestFit="1" customWidth="1"/>
    <col min="14358" max="14359" width="9.5703125" style="1491" bestFit="1" customWidth="1"/>
    <col min="14360" max="14360" width="9.140625" style="1491" bestFit="1" customWidth="1"/>
    <col min="14361" max="14361" width="10" style="1491" bestFit="1" customWidth="1"/>
    <col min="14362" max="14362" width="9.140625" style="1491" bestFit="1" customWidth="1"/>
    <col min="14363" max="14363" width="10.42578125" style="1491" bestFit="1" customWidth="1"/>
    <col min="14364" max="14364" width="9.5703125" style="1491" bestFit="1" customWidth="1"/>
    <col min="14365" max="14365" width="10.42578125" style="1491" bestFit="1" customWidth="1"/>
    <col min="14366" max="14366" width="9.5703125" style="1491" bestFit="1" customWidth="1"/>
    <col min="14367" max="14367" width="10" style="1491" bestFit="1" customWidth="1"/>
    <col min="14368" max="14368" width="9.5703125" style="1491" bestFit="1" customWidth="1"/>
    <col min="14369" max="14369" width="10" style="1491" bestFit="1" customWidth="1"/>
    <col min="14370" max="14370" width="9.5703125" style="1491" bestFit="1" customWidth="1"/>
    <col min="14371" max="14371" width="10.7109375" style="1491" bestFit="1" customWidth="1"/>
    <col min="14372" max="14372" width="9.5703125" style="1491" bestFit="1" customWidth="1"/>
    <col min="14373" max="14373" width="10.7109375" style="1491" bestFit="1" customWidth="1"/>
    <col min="14374" max="14374" width="9.5703125" style="1491" bestFit="1" customWidth="1"/>
    <col min="14375" max="14375" width="10.7109375" style="1491" bestFit="1" customWidth="1"/>
    <col min="14376" max="14376" width="9.5703125" style="1491" bestFit="1" customWidth="1"/>
    <col min="14377" max="14377" width="10.7109375" style="1491" bestFit="1" customWidth="1"/>
    <col min="14378" max="14378" width="9.140625" style="1491" bestFit="1" customWidth="1"/>
    <col min="14379" max="14379" width="10.7109375" style="1491" bestFit="1" customWidth="1"/>
    <col min="14380" max="14380" width="9.5703125" style="1491" bestFit="1" customWidth="1"/>
    <col min="14381" max="14381" width="10.42578125" style="1491" bestFit="1" customWidth="1"/>
    <col min="14382" max="14382" width="9.5703125" style="1491" bestFit="1" customWidth="1"/>
    <col min="14383" max="14383" width="10.7109375" style="1491" bestFit="1" customWidth="1"/>
    <col min="14384" max="14384" width="9.5703125" style="1491" bestFit="1" customWidth="1"/>
    <col min="14385" max="14385" width="10.7109375" style="1491" bestFit="1" customWidth="1"/>
    <col min="14386" max="14386" width="9.140625" style="1491" bestFit="1" customWidth="1"/>
    <col min="14387" max="14387" width="10.7109375" style="1491" bestFit="1" customWidth="1"/>
    <col min="14388" max="14388" width="9.5703125" style="1491" bestFit="1" customWidth="1"/>
    <col min="14389" max="14389" width="10.42578125" style="1491" bestFit="1" customWidth="1"/>
    <col min="14390" max="14390" width="9.140625" style="1491" bestFit="1" customWidth="1"/>
    <col min="14391" max="14391" width="10" style="1491" bestFit="1" customWidth="1"/>
    <col min="14392" max="14394" width="10.42578125" style="1491" bestFit="1" customWidth="1"/>
    <col min="14395" max="14395" width="10" style="1491" bestFit="1" customWidth="1"/>
    <col min="14396" max="14396" width="10.7109375" style="1491" bestFit="1" customWidth="1"/>
    <col min="14397" max="14397" width="10.42578125" style="1491" bestFit="1" customWidth="1"/>
    <col min="14398" max="14398" width="10.7109375" style="1491" bestFit="1" customWidth="1"/>
    <col min="14399" max="14401" width="10" style="1491" bestFit="1" customWidth="1"/>
    <col min="14402" max="14402" width="10.7109375" style="1491" bestFit="1" customWidth="1"/>
    <col min="14403" max="14403" width="10.42578125" style="1491" bestFit="1" customWidth="1"/>
    <col min="14404" max="14404" width="10.7109375" style="1491" bestFit="1" customWidth="1"/>
    <col min="14405" max="14405" width="10.42578125" style="1491" bestFit="1" customWidth="1"/>
    <col min="14406" max="14408" width="10" style="1491" bestFit="1" customWidth="1"/>
    <col min="14409" max="14409" width="10.42578125" style="1491" bestFit="1" customWidth="1"/>
    <col min="14410" max="14410" width="10" style="1491" bestFit="1" customWidth="1"/>
    <col min="14411" max="14414" width="10.42578125" style="1491" bestFit="1" customWidth="1"/>
    <col min="14415" max="14415" width="10" style="1491" bestFit="1" customWidth="1"/>
    <col min="14416" max="14416" width="10.42578125" style="1491" bestFit="1" customWidth="1"/>
    <col min="14417" max="14417" width="10.7109375" style="1491" bestFit="1" customWidth="1"/>
    <col min="14418" max="14418" width="10" style="1491" bestFit="1" customWidth="1"/>
    <col min="14419" max="14420" width="10.42578125" style="1491" bestFit="1" customWidth="1"/>
    <col min="14421" max="14423" width="10" style="1491" bestFit="1" customWidth="1"/>
    <col min="14424" max="14424" width="10.7109375" style="1491" bestFit="1" customWidth="1"/>
    <col min="14425" max="14425" width="10" style="1491" bestFit="1" customWidth="1"/>
    <col min="14426" max="14426" width="10.42578125" style="1491" bestFit="1" customWidth="1"/>
    <col min="14427" max="14428" width="10.7109375" style="1491" bestFit="1" customWidth="1"/>
    <col min="14429" max="14429" width="10" style="1491" bestFit="1" customWidth="1"/>
    <col min="14430" max="14431" width="10.42578125" style="1491" bestFit="1" customWidth="1"/>
    <col min="14432" max="14432" width="10.7109375" style="1491" bestFit="1" customWidth="1"/>
    <col min="14433" max="14433" width="10.42578125" style="1491" bestFit="1" customWidth="1"/>
    <col min="14434" max="14436" width="10.7109375" style="1491" bestFit="1" customWidth="1"/>
    <col min="14437" max="14438" width="0" style="1491" hidden="1" customWidth="1"/>
    <col min="14439" max="14439" width="10.7109375" style="1491" bestFit="1" customWidth="1"/>
    <col min="14440" max="14441" width="10.42578125" style="1491" bestFit="1" customWidth="1"/>
    <col min="14442" max="14444" width="10.7109375" style="1491" bestFit="1" customWidth="1"/>
    <col min="14445" max="14446" width="10.42578125" style="1491" bestFit="1" customWidth="1"/>
    <col min="14447" max="14447" width="10.7109375" style="1491" bestFit="1" customWidth="1"/>
    <col min="14448" max="14448" width="10.42578125" style="1491" bestFit="1" customWidth="1"/>
    <col min="14449" max="14453" width="10.7109375" style="1491" bestFit="1" customWidth="1"/>
    <col min="14454" max="14455" width="10.42578125" style="1491" bestFit="1" customWidth="1"/>
    <col min="14456" max="14457" width="10.7109375" style="1491" bestFit="1" customWidth="1"/>
    <col min="14458" max="14458" width="10.42578125" style="1491" bestFit="1" customWidth="1"/>
    <col min="14459" max="14462" width="10.7109375" style="1491" bestFit="1" customWidth="1"/>
    <col min="14463" max="14463" width="10.42578125" style="1491" bestFit="1" customWidth="1"/>
    <col min="14464" max="14464" width="10.5703125" style="1491" customWidth="1"/>
    <col min="14465" max="14467" width="10.7109375" style="1491" bestFit="1" customWidth="1"/>
    <col min="14468" max="14468" width="10.42578125" style="1491" bestFit="1" customWidth="1"/>
    <col min="14469" max="14470" width="10.7109375" style="1491" bestFit="1" customWidth="1"/>
    <col min="14471" max="14471" width="10.42578125" style="1491" bestFit="1" customWidth="1"/>
    <col min="14472" max="14474" width="10.7109375" style="1491" bestFit="1" customWidth="1"/>
    <col min="14475" max="14475" width="10" style="1491" bestFit="1" customWidth="1"/>
    <col min="14476" max="14478" width="10.7109375" style="1491" bestFit="1" customWidth="1"/>
    <col min="14479" max="14479" width="10.42578125" style="1491" bestFit="1" customWidth="1"/>
    <col min="14480" max="14480" width="10.7109375" style="1491" bestFit="1" customWidth="1"/>
    <col min="14481" max="14583" width="7.5703125" style="1491"/>
    <col min="14584" max="14584" width="44.5703125" style="1491" customWidth="1"/>
    <col min="14585" max="14585" width="11.42578125" style="1491" customWidth="1"/>
    <col min="14586" max="14586" width="9.28515625" style="1491" customWidth="1"/>
    <col min="14587" max="14587" width="11" style="1491" customWidth="1"/>
    <col min="14588" max="14588" width="11.140625" style="1491" customWidth="1"/>
    <col min="14589" max="14589" width="8.140625" style="1491" bestFit="1" customWidth="1"/>
    <col min="14590" max="14590" width="7.85546875" style="1491" bestFit="1" customWidth="1"/>
    <col min="14591" max="14591" width="9.5703125" style="1491" bestFit="1" customWidth="1"/>
    <col min="14592" max="14592" width="9" style="1491" bestFit="1" customWidth="1"/>
    <col min="14593" max="14593" width="9.5703125" style="1491" bestFit="1" customWidth="1"/>
    <col min="14594" max="14594" width="9.42578125" style="1491" bestFit="1" customWidth="1"/>
    <col min="14595" max="14595" width="9.140625" style="1491" bestFit="1" customWidth="1"/>
    <col min="14596" max="14596" width="9.42578125" style="1491" bestFit="1" customWidth="1"/>
    <col min="14597" max="14597" width="9.140625" style="1491" bestFit="1" customWidth="1"/>
    <col min="14598" max="14598" width="9.5703125" style="1491" bestFit="1" customWidth="1"/>
    <col min="14599" max="14599" width="9.42578125" style="1491" bestFit="1" customWidth="1"/>
    <col min="14600" max="14602" width="9.140625" style="1491" bestFit="1" customWidth="1"/>
    <col min="14603" max="14603" width="10" style="1491" bestFit="1" customWidth="1"/>
    <col min="14604" max="14604" width="9.140625" style="1491" bestFit="1" customWidth="1"/>
    <col min="14605" max="14605" width="9.42578125" style="1491" bestFit="1" customWidth="1"/>
    <col min="14606" max="14606" width="8.7109375" style="1491" bestFit="1" customWidth="1"/>
    <col min="14607" max="14607" width="9" style="1491" bestFit="1" customWidth="1"/>
    <col min="14608" max="14608" width="9.42578125" style="1491" bestFit="1" customWidth="1"/>
    <col min="14609" max="14609" width="10" style="1491" bestFit="1" customWidth="1"/>
    <col min="14610" max="14610" width="8.85546875" style="1491" bestFit="1" customWidth="1"/>
    <col min="14611" max="14611" width="10.42578125" style="1491" bestFit="1" customWidth="1"/>
    <col min="14612" max="14612" width="8.85546875" style="1491" bestFit="1" customWidth="1"/>
    <col min="14613" max="14613" width="10.42578125" style="1491" bestFit="1" customWidth="1"/>
    <col min="14614" max="14615" width="9.5703125" style="1491" bestFit="1" customWidth="1"/>
    <col min="14616" max="14616" width="9.140625" style="1491" bestFit="1" customWidth="1"/>
    <col min="14617" max="14617" width="10" style="1491" bestFit="1" customWidth="1"/>
    <col min="14618" max="14618" width="9.140625" style="1491" bestFit="1" customWidth="1"/>
    <col min="14619" max="14619" width="10.42578125" style="1491" bestFit="1" customWidth="1"/>
    <col min="14620" max="14620" width="9.5703125" style="1491" bestFit="1" customWidth="1"/>
    <col min="14621" max="14621" width="10.42578125" style="1491" bestFit="1" customWidth="1"/>
    <col min="14622" max="14622" width="9.5703125" style="1491" bestFit="1" customWidth="1"/>
    <col min="14623" max="14623" width="10" style="1491" bestFit="1" customWidth="1"/>
    <col min="14624" max="14624" width="9.5703125" style="1491" bestFit="1" customWidth="1"/>
    <col min="14625" max="14625" width="10" style="1491" bestFit="1" customWidth="1"/>
    <col min="14626" max="14626" width="9.5703125" style="1491" bestFit="1" customWidth="1"/>
    <col min="14627" max="14627" width="10.7109375" style="1491" bestFit="1" customWidth="1"/>
    <col min="14628" max="14628" width="9.5703125" style="1491" bestFit="1" customWidth="1"/>
    <col min="14629" max="14629" width="10.7109375" style="1491" bestFit="1" customWidth="1"/>
    <col min="14630" max="14630" width="9.5703125" style="1491" bestFit="1" customWidth="1"/>
    <col min="14631" max="14631" width="10.7109375" style="1491" bestFit="1" customWidth="1"/>
    <col min="14632" max="14632" width="9.5703125" style="1491" bestFit="1" customWidth="1"/>
    <col min="14633" max="14633" width="10.7109375" style="1491" bestFit="1" customWidth="1"/>
    <col min="14634" max="14634" width="9.140625" style="1491" bestFit="1" customWidth="1"/>
    <col min="14635" max="14635" width="10.7109375" style="1491" bestFit="1" customWidth="1"/>
    <col min="14636" max="14636" width="9.5703125" style="1491" bestFit="1" customWidth="1"/>
    <col min="14637" max="14637" width="10.42578125" style="1491" bestFit="1" customWidth="1"/>
    <col min="14638" max="14638" width="9.5703125" style="1491" bestFit="1" customWidth="1"/>
    <col min="14639" max="14639" width="10.7109375" style="1491" bestFit="1" customWidth="1"/>
    <col min="14640" max="14640" width="9.5703125" style="1491" bestFit="1" customWidth="1"/>
    <col min="14641" max="14641" width="10.7109375" style="1491" bestFit="1" customWidth="1"/>
    <col min="14642" max="14642" width="9.140625" style="1491" bestFit="1" customWidth="1"/>
    <col min="14643" max="14643" width="10.7109375" style="1491" bestFit="1" customWidth="1"/>
    <col min="14644" max="14644" width="9.5703125" style="1491" bestFit="1" customWidth="1"/>
    <col min="14645" max="14645" width="10.42578125" style="1491" bestFit="1" customWidth="1"/>
    <col min="14646" max="14646" width="9.140625" style="1491" bestFit="1" customWidth="1"/>
    <col min="14647" max="14647" width="10" style="1491" bestFit="1" customWidth="1"/>
    <col min="14648" max="14650" width="10.42578125" style="1491" bestFit="1" customWidth="1"/>
    <col min="14651" max="14651" width="10" style="1491" bestFit="1" customWidth="1"/>
    <col min="14652" max="14652" width="10.7109375" style="1491" bestFit="1" customWidth="1"/>
    <col min="14653" max="14653" width="10.42578125" style="1491" bestFit="1" customWidth="1"/>
    <col min="14654" max="14654" width="10.7109375" style="1491" bestFit="1" customWidth="1"/>
    <col min="14655" max="14657" width="10" style="1491" bestFit="1" customWidth="1"/>
    <col min="14658" max="14658" width="10.7109375" style="1491" bestFit="1" customWidth="1"/>
    <col min="14659" max="14659" width="10.42578125" style="1491" bestFit="1" customWidth="1"/>
    <col min="14660" max="14660" width="10.7109375" style="1491" bestFit="1" customWidth="1"/>
    <col min="14661" max="14661" width="10.42578125" style="1491" bestFit="1" customWidth="1"/>
    <col min="14662" max="14664" width="10" style="1491" bestFit="1" customWidth="1"/>
    <col min="14665" max="14665" width="10.42578125" style="1491" bestFit="1" customWidth="1"/>
    <col min="14666" max="14666" width="10" style="1491" bestFit="1" customWidth="1"/>
    <col min="14667" max="14670" width="10.42578125" style="1491" bestFit="1" customWidth="1"/>
    <col min="14671" max="14671" width="10" style="1491" bestFit="1" customWidth="1"/>
    <col min="14672" max="14672" width="10.42578125" style="1491" bestFit="1" customWidth="1"/>
    <col min="14673" max="14673" width="10.7109375" style="1491" bestFit="1" customWidth="1"/>
    <col min="14674" max="14674" width="10" style="1491" bestFit="1" customWidth="1"/>
    <col min="14675" max="14676" width="10.42578125" style="1491" bestFit="1" customWidth="1"/>
    <col min="14677" max="14679" width="10" style="1491" bestFit="1" customWidth="1"/>
    <col min="14680" max="14680" width="10.7109375" style="1491" bestFit="1" customWidth="1"/>
    <col min="14681" max="14681" width="10" style="1491" bestFit="1" customWidth="1"/>
    <col min="14682" max="14682" width="10.42578125" style="1491" bestFit="1" customWidth="1"/>
    <col min="14683" max="14684" width="10.7109375" style="1491" bestFit="1" customWidth="1"/>
    <col min="14685" max="14685" width="10" style="1491" bestFit="1" customWidth="1"/>
    <col min="14686" max="14687" width="10.42578125" style="1491" bestFit="1" customWidth="1"/>
    <col min="14688" max="14688" width="10.7109375" style="1491" bestFit="1" customWidth="1"/>
    <col min="14689" max="14689" width="10.42578125" style="1491" bestFit="1" customWidth="1"/>
    <col min="14690" max="14692" width="10.7109375" style="1491" bestFit="1" customWidth="1"/>
    <col min="14693" max="14694" width="0" style="1491" hidden="1" customWidth="1"/>
    <col min="14695" max="14695" width="10.7109375" style="1491" bestFit="1" customWidth="1"/>
    <col min="14696" max="14697" width="10.42578125" style="1491" bestFit="1" customWidth="1"/>
    <col min="14698" max="14700" width="10.7109375" style="1491" bestFit="1" customWidth="1"/>
    <col min="14701" max="14702" width="10.42578125" style="1491" bestFit="1" customWidth="1"/>
    <col min="14703" max="14703" width="10.7109375" style="1491" bestFit="1" customWidth="1"/>
    <col min="14704" max="14704" width="10.42578125" style="1491" bestFit="1" customWidth="1"/>
    <col min="14705" max="14709" width="10.7109375" style="1491" bestFit="1" customWidth="1"/>
    <col min="14710" max="14711" width="10.42578125" style="1491" bestFit="1" customWidth="1"/>
    <col min="14712" max="14713" width="10.7109375" style="1491" bestFit="1" customWidth="1"/>
    <col min="14714" max="14714" width="10.42578125" style="1491" bestFit="1" customWidth="1"/>
    <col min="14715" max="14718" width="10.7109375" style="1491" bestFit="1" customWidth="1"/>
    <col min="14719" max="14719" width="10.42578125" style="1491" bestFit="1" customWidth="1"/>
    <col min="14720" max="14720" width="10.5703125" style="1491" customWidth="1"/>
    <col min="14721" max="14723" width="10.7109375" style="1491" bestFit="1" customWidth="1"/>
    <col min="14724" max="14724" width="10.42578125" style="1491" bestFit="1" customWidth="1"/>
    <col min="14725" max="14726" width="10.7109375" style="1491" bestFit="1" customWidth="1"/>
    <col min="14727" max="14727" width="10.42578125" style="1491" bestFit="1" customWidth="1"/>
    <col min="14728" max="14730" width="10.7109375" style="1491" bestFit="1" customWidth="1"/>
    <col min="14731" max="14731" width="10" style="1491" bestFit="1" customWidth="1"/>
    <col min="14732" max="14734" width="10.7109375" style="1491" bestFit="1" customWidth="1"/>
    <col min="14735" max="14735" width="10.42578125" style="1491" bestFit="1" customWidth="1"/>
    <col min="14736" max="14736" width="10.7109375" style="1491" bestFit="1" customWidth="1"/>
    <col min="14737" max="14839" width="7.5703125" style="1491"/>
    <col min="14840" max="14840" width="44.5703125" style="1491" customWidth="1"/>
    <col min="14841" max="14841" width="11.42578125" style="1491" customWidth="1"/>
    <col min="14842" max="14842" width="9.28515625" style="1491" customWidth="1"/>
    <col min="14843" max="14843" width="11" style="1491" customWidth="1"/>
    <col min="14844" max="14844" width="11.140625" style="1491" customWidth="1"/>
    <col min="14845" max="14845" width="8.140625" style="1491" bestFit="1" customWidth="1"/>
    <col min="14846" max="14846" width="7.85546875" style="1491" bestFit="1" customWidth="1"/>
    <col min="14847" max="14847" width="9.5703125" style="1491" bestFit="1" customWidth="1"/>
    <col min="14848" max="14848" width="9" style="1491" bestFit="1" customWidth="1"/>
    <col min="14849" max="14849" width="9.5703125" style="1491" bestFit="1" customWidth="1"/>
    <col min="14850" max="14850" width="9.42578125" style="1491" bestFit="1" customWidth="1"/>
    <col min="14851" max="14851" width="9.140625" style="1491" bestFit="1" customWidth="1"/>
    <col min="14852" max="14852" width="9.42578125" style="1491" bestFit="1" customWidth="1"/>
    <col min="14853" max="14853" width="9.140625" style="1491" bestFit="1" customWidth="1"/>
    <col min="14854" max="14854" width="9.5703125" style="1491" bestFit="1" customWidth="1"/>
    <col min="14855" max="14855" width="9.42578125" style="1491" bestFit="1" customWidth="1"/>
    <col min="14856" max="14858" width="9.140625" style="1491" bestFit="1" customWidth="1"/>
    <col min="14859" max="14859" width="10" style="1491" bestFit="1" customWidth="1"/>
    <col min="14860" max="14860" width="9.140625" style="1491" bestFit="1" customWidth="1"/>
    <col min="14861" max="14861" width="9.42578125" style="1491" bestFit="1" customWidth="1"/>
    <col min="14862" max="14862" width="8.7109375" style="1491" bestFit="1" customWidth="1"/>
    <col min="14863" max="14863" width="9" style="1491" bestFit="1" customWidth="1"/>
    <col min="14864" max="14864" width="9.42578125" style="1491" bestFit="1" customWidth="1"/>
    <col min="14865" max="14865" width="10" style="1491" bestFit="1" customWidth="1"/>
    <col min="14866" max="14866" width="8.85546875" style="1491" bestFit="1" customWidth="1"/>
    <col min="14867" max="14867" width="10.42578125" style="1491" bestFit="1" customWidth="1"/>
    <col min="14868" max="14868" width="8.85546875" style="1491" bestFit="1" customWidth="1"/>
    <col min="14869" max="14869" width="10.42578125" style="1491" bestFit="1" customWidth="1"/>
    <col min="14870" max="14871" width="9.5703125" style="1491" bestFit="1" customWidth="1"/>
    <col min="14872" max="14872" width="9.140625" style="1491" bestFit="1" customWidth="1"/>
    <col min="14873" max="14873" width="10" style="1491" bestFit="1" customWidth="1"/>
    <col min="14874" max="14874" width="9.140625" style="1491" bestFit="1" customWidth="1"/>
    <col min="14875" max="14875" width="10.42578125" style="1491" bestFit="1" customWidth="1"/>
    <col min="14876" max="14876" width="9.5703125" style="1491" bestFit="1" customWidth="1"/>
    <col min="14877" max="14877" width="10.42578125" style="1491" bestFit="1" customWidth="1"/>
    <col min="14878" max="14878" width="9.5703125" style="1491" bestFit="1" customWidth="1"/>
    <col min="14879" max="14879" width="10" style="1491" bestFit="1" customWidth="1"/>
    <col min="14880" max="14880" width="9.5703125" style="1491" bestFit="1" customWidth="1"/>
    <col min="14881" max="14881" width="10" style="1491" bestFit="1" customWidth="1"/>
    <col min="14882" max="14882" width="9.5703125" style="1491" bestFit="1" customWidth="1"/>
    <col min="14883" max="14883" width="10.7109375" style="1491" bestFit="1" customWidth="1"/>
    <col min="14884" max="14884" width="9.5703125" style="1491" bestFit="1" customWidth="1"/>
    <col min="14885" max="14885" width="10.7109375" style="1491" bestFit="1" customWidth="1"/>
    <col min="14886" max="14886" width="9.5703125" style="1491" bestFit="1" customWidth="1"/>
    <col min="14887" max="14887" width="10.7109375" style="1491" bestFit="1" customWidth="1"/>
    <col min="14888" max="14888" width="9.5703125" style="1491" bestFit="1" customWidth="1"/>
    <col min="14889" max="14889" width="10.7109375" style="1491" bestFit="1" customWidth="1"/>
    <col min="14890" max="14890" width="9.140625" style="1491" bestFit="1" customWidth="1"/>
    <col min="14891" max="14891" width="10.7109375" style="1491" bestFit="1" customWidth="1"/>
    <col min="14892" max="14892" width="9.5703125" style="1491" bestFit="1" customWidth="1"/>
    <col min="14893" max="14893" width="10.42578125" style="1491" bestFit="1" customWidth="1"/>
    <col min="14894" max="14894" width="9.5703125" style="1491" bestFit="1" customWidth="1"/>
    <col min="14895" max="14895" width="10.7109375" style="1491" bestFit="1" customWidth="1"/>
    <col min="14896" max="14896" width="9.5703125" style="1491" bestFit="1" customWidth="1"/>
    <col min="14897" max="14897" width="10.7109375" style="1491" bestFit="1" customWidth="1"/>
    <col min="14898" max="14898" width="9.140625" style="1491" bestFit="1" customWidth="1"/>
    <col min="14899" max="14899" width="10.7109375" style="1491" bestFit="1" customWidth="1"/>
    <col min="14900" max="14900" width="9.5703125" style="1491" bestFit="1" customWidth="1"/>
    <col min="14901" max="14901" width="10.42578125" style="1491" bestFit="1" customWidth="1"/>
    <col min="14902" max="14902" width="9.140625" style="1491" bestFit="1" customWidth="1"/>
    <col min="14903" max="14903" width="10" style="1491" bestFit="1" customWidth="1"/>
    <col min="14904" max="14906" width="10.42578125" style="1491" bestFit="1" customWidth="1"/>
    <col min="14907" max="14907" width="10" style="1491" bestFit="1" customWidth="1"/>
    <col min="14908" max="14908" width="10.7109375" style="1491" bestFit="1" customWidth="1"/>
    <col min="14909" max="14909" width="10.42578125" style="1491" bestFit="1" customWidth="1"/>
    <col min="14910" max="14910" width="10.7109375" style="1491" bestFit="1" customWidth="1"/>
    <col min="14911" max="14913" width="10" style="1491" bestFit="1" customWidth="1"/>
    <col min="14914" max="14914" width="10.7109375" style="1491" bestFit="1" customWidth="1"/>
    <col min="14915" max="14915" width="10.42578125" style="1491" bestFit="1" customWidth="1"/>
    <col min="14916" max="14916" width="10.7109375" style="1491" bestFit="1" customWidth="1"/>
    <col min="14917" max="14917" width="10.42578125" style="1491" bestFit="1" customWidth="1"/>
    <col min="14918" max="14920" width="10" style="1491" bestFit="1" customWidth="1"/>
    <col min="14921" max="14921" width="10.42578125" style="1491" bestFit="1" customWidth="1"/>
    <col min="14922" max="14922" width="10" style="1491" bestFit="1" customWidth="1"/>
    <col min="14923" max="14926" width="10.42578125" style="1491" bestFit="1" customWidth="1"/>
    <col min="14927" max="14927" width="10" style="1491" bestFit="1" customWidth="1"/>
    <col min="14928" max="14928" width="10.42578125" style="1491" bestFit="1" customWidth="1"/>
    <col min="14929" max="14929" width="10.7109375" style="1491" bestFit="1" customWidth="1"/>
    <col min="14930" max="14930" width="10" style="1491" bestFit="1" customWidth="1"/>
    <col min="14931" max="14932" width="10.42578125" style="1491" bestFit="1" customWidth="1"/>
    <col min="14933" max="14935" width="10" style="1491" bestFit="1" customWidth="1"/>
    <col min="14936" max="14936" width="10.7109375" style="1491" bestFit="1" customWidth="1"/>
    <col min="14937" max="14937" width="10" style="1491" bestFit="1" customWidth="1"/>
    <col min="14938" max="14938" width="10.42578125" style="1491" bestFit="1" customWidth="1"/>
    <col min="14939" max="14940" width="10.7109375" style="1491" bestFit="1" customWidth="1"/>
    <col min="14941" max="14941" width="10" style="1491" bestFit="1" customWidth="1"/>
    <col min="14942" max="14943" width="10.42578125" style="1491" bestFit="1" customWidth="1"/>
    <col min="14944" max="14944" width="10.7109375" style="1491" bestFit="1" customWidth="1"/>
    <col min="14945" max="14945" width="10.42578125" style="1491" bestFit="1" customWidth="1"/>
    <col min="14946" max="14948" width="10.7109375" style="1491" bestFit="1" customWidth="1"/>
    <col min="14949" max="14950" width="0" style="1491" hidden="1" customWidth="1"/>
    <col min="14951" max="14951" width="10.7109375" style="1491" bestFit="1" customWidth="1"/>
    <col min="14952" max="14953" width="10.42578125" style="1491" bestFit="1" customWidth="1"/>
    <col min="14954" max="14956" width="10.7109375" style="1491" bestFit="1" customWidth="1"/>
    <col min="14957" max="14958" width="10.42578125" style="1491" bestFit="1" customWidth="1"/>
    <col min="14959" max="14959" width="10.7109375" style="1491" bestFit="1" customWidth="1"/>
    <col min="14960" max="14960" width="10.42578125" style="1491" bestFit="1" customWidth="1"/>
    <col min="14961" max="14965" width="10.7109375" style="1491" bestFit="1" customWidth="1"/>
    <col min="14966" max="14967" width="10.42578125" style="1491" bestFit="1" customWidth="1"/>
    <col min="14968" max="14969" width="10.7109375" style="1491" bestFit="1" customWidth="1"/>
    <col min="14970" max="14970" width="10.42578125" style="1491" bestFit="1" customWidth="1"/>
    <col min="14971" max="14974" width="10.7109375" style="1491" bestFit="1" customWidth="1"/>
    <col min="14975" max="14975" width="10.42578125" style="1491" bestFit="1" customWidth="1"/>
    <col min="14976" max="14976" width="10.5703125" style="1491" customWidth="1"/>
    <col min="14977" max="14979" width="10.7109375" style="1491" bestFit="1" customWidth="1"/>
    <col min="14980" max="14980" width="10.42578125" style="1491" bestFit="1" customWidth="1"/>
    <col min="14981" max="14982" width="10.7109375" style="1491" bestFit="1" customWidth="1"/>
    <col min="14983" max="14983" width="10.42578125" style="1491" bestFit="1" customWidth="1"/>
    <col min="14984" max="14986" width="10.7109375" style="1491" bestFit="1" customWidth="1"/>
    <col min="14987" max="14987" width="10" style="1491" bestFit="1" customWidth="1"/>
    <col min="14988" max="14990" width="10.7109375" style="1491" bestFit="1" customWidth="1"/>
    <col min="14991" max="14991" width="10.42578125" style="1491" bestFit="1" customWidth="1"/>
    <col min="14992" max="14992" width="10.7109375" style="1491" bestFit="1" customWidth="1"/>
    <col min="14993" max="15095" width="7.5703125" style="1491"/>
    <col min="15096" max="15096" width="44.5703125" style="1491" customWidth="1"/>
    <col min="15097" max="15097" width="11.42578125" style="1491" customWidth="1"/>
    <col min="15098" max="15098" width="9.28515625" style="1491" customWidth="1"/>
    <col min="15099" max="15099" width="11" style="1491" customWidth="1"/>
    <col min="15100" max="15100" width="11.140625" style="1491" customWidth="1"/>
    <col min="15101" max="15101" width="8.140625" style="1491" bestFit="1" customWidth="1"/>
    <col min="15102" max="15102" width="7.85546875" style="1491" bestFit="1" customWidth="1"/>
    <col min="15103" max="15103" width="9.5703125" style="1491" bestFit="1" customWidth="1"/>
    <col min="15104" max="15104" width="9" style="1491" bestFit="1" customWidth="1"/>
    <col min="15105" max="15105" width="9.5703125" style="1491" bestFit="1" customWidth="1"/>
    <col min="15106" max="15106" width="9.42578125" style="1491" bestFit="1" customWidth="1"/>
    <col min="15107" max="15107" width="9.140625" style="1491" bestFit="1" customWidth="1"/>
    <col min="15108" max="15108" width="9.42578125" style="1491" bestFit="1" customWidth="1"/>
    <col min="15109" max="15109" width="9.140625" style="1491" bestFit="1" customWidth="1"/>
    <col min="15110" max="15110" width="9.5703125" style="1491" bestFit="1" customWidth="1"/>
    <col min="15111" max="15111" width="9.42578125" style="1491" bestFit="1" customWidth="1"/>
    <col min="15112" max="15114" width="9.140625" style="1491" bestFit="1" customWidth="1"/>
    <col min="15115" max="15115" width="10" style="1491" bestFit="1" customWidth="1"/>
    <col min="15116" max="15116" width="9.140625" style="1491" bestFit="1" customWidth="1"/>
    <col min="15117" max="15117" width="9.42578125" style="1491" bestFit="1" customWidth="1"/>
    <col min="15118" max="15118" width="8.7109375" style="1491" bestFit="1" customWidth="1"/>
    <col min="15119" max="15119" width="9" style="1491" bestFit="1" customWidth="1"/>
    <col min="15120" max="15120" width="9.42578125" style="1491" bestFit="1" customWidth="1"/>
    <col min="15121" max="15121" width="10" style="1491" bestFit="1" customWidth="1"/>
    <col min="15122" max="15122" width="8.85546875" style="1491" bestFit="1" customWidth="1"/>
    <col min="15123" max="15123" width="10.42578125" style="1491" bestFit="1" customWidth="1"/>
    <col min="15124" max="15124" width="8.85546875" style="1491" bestFit="1" customWidth="1"/>
    <col min="15125" max="15125" width="10.42578125" style="1491" bestFit="1" customWidth="1"/>
    <col min="15126" max="15127" width="9.5703125" style="1491" bestFit="1" customWidth="1"/>
    <col min="15128" max="15128" width="9.140625" style="1491" bestFit="1" customWidth="1"/>
    <col min="15129" max="15129" width="10" style="1491" bestFit="1" customWidth="1"/>
    <col min="15130" max="15130" width="9.140625" style="1491" bestFit="1" customWidth="1"/>
    <col min="15131" max="15131" width="10.42578125" style="1491" bestFit="1" customWidth="1"/>
    <col min="15132" max="15132" width="9.5703125" style="1491" bestFit="1" customWidth="1"/>
    <col min="15133" max="15133" width="10.42578125" style="1491" bestFit="1" customWidth="1"/>
    <col min="15134" max="15134" width="9.5703125" style="1491" bestFit="1" customWidth="1"/>
    <col min="15135" max="15135" width="10" style="1491" bestFit="1" customWidth="1"/>
    <col min="15136" max="15136" width="9.5703125" style="1491" bestFit="1" customWidth="1"/>
    <col min="15137" max="15137" width="10" style="1491" bestFit="1" customWidth="1"/>
    <col min="15138" max="15138" width="9.5703125" style="1491" bestFit="1" customWidth="1"/>
    <col min="15139" max="15139" width="10.7109375" style="1491" bestFit="1" customWidth="1"/>
    <col min="15140" max="15140" width="9.5703125" style="1491" bestFit="1" customWidth="1"/>
    <col min="15141" max="15141" width="10.7109375" style="1491" bestFit="1" customWidth="1"/>
    <col min="15142" max="15142" width="9.5703125" style="1491" bestFit="1" customWidth="1"/>
    <col min="15143" max="15143" width="10.7109375" style="1491" bestFit="1" customWidth="1"/>
    <col min="15144" max="15144" width="9.5703125" style="1491" bestFit="1" customWidth="1"/>
    <col min="15145" max="15145" width="10.7109375" style="1491" bestFit="1" customWidth="1"/>
    <col min="15146" max="15146" width="9.140625" style="1491" bestFit="1" customWidth="1"/>
    <col min="15147" max="15147" width="10.7109375" style="1491" bestFit="1" customWidth="1"/>
    <col min="15148" max="15148" width="9.5703125" style="1491" bestFit="1" customWidth="1"/>
    <col min="15149" max="15149" width="10.42578125" style="1491" bestFit="1" customWidth="1"/>
    <col min="15150" max="15150" width="9.5703125" style="1491" bestFit="1" customWidth="1"/>
    <col min="15151" max="15151" width="10.7109375" style="1491" bestFit="1" customWidth="1"/>
    <col min="15152" max="15152" width="9.5703125" style="1491" bestFit="1" customWidth="1"/>
    <col min="15153" max="15153" width="10.7109375" style="1491" bestFit="1" customWidth="1"/>
    <col min="15154" max="15154" width="9.140625" style="1491" bestFit="1" customWidth="1"/>
    <col min="15155" max="15155" width="10.7109375" style="1491" bestFit="1" customWidth="1"/>
    <col min="15156" max="15156" width="9.5703125" style="1491" bestFit="1" customWidth="1"/>
    <col min="15157" max="15157" width="10.42578125" style="1491" bestFit="1" customWidth="1"/>
    <col min="15158" max="15158" width="9.140625" style="1491" bestFit="1" customWidth="1"/>
    <col min="15159" max="15159" width="10" style="1491" bestFit="1" customWidth="1"/>
    <col min="15160" max="15162" width="10.42578125" style="1491" bestFit="1" customWidth="1"/>
    <col min="15163" max="15163" width="10" style="1491" bestFit="1" customWidth="1"/>
    <col min="15164" max="15164" width="10.7109375" style="1491" bestFit="1" customWidth="1"/>
    <col min="15165" max="15165" width="10.42578125" style="1491" bestFit="1" customWidth="1"/>
    <col min="15166" max="15166" width="10.7109375" style="1491" bestFit="1" customWidth="1"/>
    <col min="15167" max="15169" width="10" style="1491" bestFit="1" customWidth="1"/>
    <col min="15170" max="15170" width="10.7109375" style="1491" bestFit="1" customWidth="1"/>
    <col min="15171" max="15171" width="10.42578125" style="1491" bestFit="1" customWidth="1"/>
    <col min="15172" max="15172" width="10.7109375" style="1491" bestFit="1" customWidth="1"/>
    <col min="15173" max="15173" width="10.42578125" style="1491" bestFit="1" customWidth="1"/>
    <col min="15174" max="15176" width="10" style="1491" bestFit="1" customWidth="1"/>
    <col min="15177" max="15177" width="10.42578125" style="1491" bestFit="1" customWidth="1"/>
    <col min="15178" max="15178" width="10" style="1491" bestFit="1" customWidth="1"/>
    <col min="15179" max="15182" width="10.42578125" style="1491" bestFit="1" customWidth="1"/>
    <col min="15183" max="15183" width="10" style="1491" bestFit="1" customWidth="1"/>
    <col min="15184" max="15184" width="10.42578125" style="1491" bestFit="1" customWidth="1"/>
    <col min="15185" max="15185" width="10.7109375" style="1491" bestFit="1" customWidth="1"/>
    <col min="15186" max="15186" width="10" style="1491" bestFit="1" customWidth="1"/>
    <col min="15187" max="15188" width="10.42578125" style="1491" bestFit="1" customWidth="1"/>
    <col min="15189" max="15191" width="10" style="1491" bestFit="1" customWidth="1"/>
    <col min="15192" max="15192" width="10.7109375" style="1491" bestFit="1" customWidth="1"/>
    <col min="15193" max="15193" width="10" style="1491" bestFit="1" customWidth="1"/>
    <col min="15194" max="15194" width="10.42578125" style="1491" bestFit="1" customWidth="1"/>
    <col min="15195" max="15196" width="10.7109375" style="1491" bestFit="1" customWidth="1"/>
    <col min="15197" max="15197" width="10" style="1491" bestFit="1" customWidth="1"/>
    <col min="15198" max="15199" width="10.42578125" style="1491" bestFit="1" customWidth="1"/>
    <col min="15200" max="15200" width="10.7109375" style="1491" bestFit="1" customWidth="1"/>
    <col min="15201" max="15201" width="10.42578125" style="1491" bestFit="1" customWidth="1"/>
    <col min="15202" max="15204" width="10.7109375" style="1491" bestFit="1" customWidth="1"/>
    <col min="15205" max="15206" width="0" style="1491" hidden="1" customWidth="1"/>
    <col min="15207" max="15207" width="10.7109375" style="1491" bestFit="1" customWidth="1"/>
    <col min="15208" max="15209" width="10.42578125" style="1491" bestFit="1" customWidth="1"/>
    <col min="15210" max="15212" width="10.7109375" style="1491" bestFit="1" customWidth="1"/>
    <col min="15213" max="15214" width="10.42578125" style="1491" bestFit="1" customWidth="1"/>
    <col min="15215" max="15215" width="10.7109375" style="1491" bestFit="1" customWidth="1"/>
    <col min="15216" max="15216" width="10.42578125" style="1491" bestFit="1" customWidth="1"/>
    <col min="15217" max="15221" width="10.7109375" style="1491" bestFit="1" customWidth="1"/>
    <col min="15222" max="15223" width="10.42578125" style="1491" bestFit="1" customWidth="1"/>
    <col min="15224" max="15225" width="10.7109375" style="1491" bestFit="1" customWidth="1"/>
    <col min="15226" max="15226" width="10.42578125" style="1491" bestFit="1" customWidth="1"/>
    <col min="15227" max="15230" width="10.7109375" style="1491" bestFit="1" customWidth="1"/>
    <col min="15231" max="15231" width="10.42578125" style="1491" bestFit="1" customWidth="1"/>
    <col min="15232" max="15232" width="10.5703125" style="1491" customWidth="1"/>
    <col min="15233" max="15235" width="10.7109375" style="1491" bestFit="1" customWidth="1"/>
    <col min="15236" max="15236" width="10.42578125" style="1491" bestFit="1" customWidth="1"/>
    <col min="15237" max="15238" width="10.7109375" style="1491" bestFit="1" customWidth="1"/>
    <col min="15239" max="15239" width="10.42578125" style="1491" bestFit="1" customWidth="1"/>
    <col min="15240" max="15242" width="10.7109375" style="1491" bestFit="1" customWidth="1"/>
    <col min="15243" max="15243" width="10" style="1491" bestFit="1" customWidth="1"/>
    <col min="15244" max="15246" width="10.7109375" style="1491" bestFit="1" customWidth="1"/>
    <col min="15247" max="15247" width="10.42578125" style="1491" bestFit="1" customWidth="1"/>
    <col min="15248" max="15248" width="10.7109375" style="1491" bestFit="1" customWidth="1"/>
    <col min="15249" max="15351" width="7.5703125" style="1491"/>
    <col min="15352" max="15352" width="44.5703125" style="1491" customWidth="1"/>
    <col min="15353" max="15353" width="11.42578125" style="1491" customWidth="1"/>
    <col min="15354" max="15354" width="9.28515625" style="1491" customWidth="1"/>
    <col min="15355" max="15355" width="11" style="1491" customWidth="1"/>
    <col min="15356" max="15356" width="11.140625" style="1491" customWidth="1"/>
    <col min="15357" max="15357" width="8.140625" style="1491" bestFit="1" customWidth="1"/>
    <col min="15358" max="15358" width="7.85546875" style="1491" bestFit="1" customWidth="1"/>
    <col min="15359" max="15359" width="9.5703125" style="1491" bestFit="1" customWidth="1"/>
    <col min="15360" max="15360" width="9" style="1491" bestFit="1" customWidth="1"/>
    <col min="15361" max="15361" width="9.5703125" style="1491" bestFit="1" customWidth="1"/>
    <col min="15362" max="15362" width="9.42578125" style="1491" bestFit="1" customWidth="1"/>
    <col min="15363" max="15363" width="9.140625" style="1491" bestFit="1" customWidth="1"/>
    <col min="15364" max="15364" width="9.42578125" style="1491" bestFit="1" customWidth="1"/>
    <col min="15365" max="15365" width="9.140625" style="1491" bestFit="1" customWidth="1"/>
    <col min="15366" max="15366" width="9.5703125" style="1491" bestFit="1" customWidth="1"/>
    <col min="15367" max="15367" width="9.42578125" style="1491" bestFit="1" customWidth="1"/>
    <col min="15368" max="15370" width="9.140625" style="1491" bestFit="1" customWidth="1"/>
    <col min="15371" max="15371" width="10" style="1491" bestFit="1" customWidth="1"/>
    <col min="15372" max="15372" width="9.140625" style="1491" bestFit="1" customWidth="1"/>
    <col min="15373" max="15373" width="9.42578125" style="1491" bestFit="1" customWidth="1"/>
    <col min="15374" max="15374" width="8.7109375" style="1491" bestFit="1" customWidth="1"/>
    <col min="15375" max="15375" width="9" style="1491" bestFit="1" customWidth="1"/>
    <col min="15376" max="15376" width="9.42578125" style="1491" bestFit="1" customWidth="1"/>
    <col min="15377" max="15377" width="10" style="1491" bestFit="1" customWidth="1"/>
    <col min="15378" max="15378" width="8.85546875" style="1491" bestFit="1" customWidth="1"/>
    <col min="15379" max="15379" width="10.42578125" style="1491" bestFit="1" customWidth="1"/>
    <col min="15380" max="15380" width="8.85546875" style="1491" bestFit="1" customWidth="1"/>
    <col min="15381" max="15381" width="10.42578125" style="1491" bestFit="1" customWidth="1"/>
    <col min="15382" max="15383" width="9.5703125" style="1491" bestFit="1" customWidth="1"/>
    <col min="15384" max="15384" width="9.140625" style="1491" bestFit="1" customWidth="1"/>
    <col min="15385" max="15385" width="10" style="1491" bestFit="1" customWidth="1"/>
    <col min="15386" max="15386" width="9.140625" style="1491" bestFit="1" customWidth="1"/>
    <col min="15387" max="15387" width="10.42578125" style="1491" bestFit="1" customWidth="1"/>
    <col min="15388" max="15388" width="9.5703125" style="1491" bestFit="1" customWidth="1"/>
    <col min="15389" max="15389" width="10.42578125" style="1491" bestFit="1" customWidth="1"/>
    <col min="15390" max="15390" width="9.5703125" style="1491" bestFit="1" customWidth="1"/>
    <col min="15391" max="15391" width="10" style="1491" bestFit="1" customWidth="1"/>
    <col min="15392" max="15392" width="9.5703125" style="1491" bestFit="1" customWidth="1"/>
    <col min="15393" max="15393" width="10" style="1491" bestFit="1" customWidth="1"/>
    <col min="15394" max="15394" width="9.5703125" style="1491" bestFit="1" customWidth="1"/>
    <col min="15395" max="15395" width="10.7109375" style="1491" bestFit="1" customWidth="1"/>
    <col min="15396" max="15396" width="9.5703125" style="1491" bestFit="1" customWidth="1"/>
    <col min="15397" max="15397" width="10.7109375" style="1491" bestFit="1" customWidth="1"/>
    <col min="15398" max="15398" width="9.5703125" style="1491" bestFit="1" customWidth="1"/>
    <col min="15399" max="15399" width="10.7109375" style="1491" bestFit="1" customWidth="1"/>
    <col min="15400" max="15400" width="9.5703125" style="1491" bestFit="1" customWidth="1"/>
    <col min="15401" max="15401" width="10.7109375" style="1491" bestFit="1" customWidth="1"/>
    <col min="15402" max="15402" width="9.140625" style="1491" bestFit="1" customWidth="1"/>
    <col min="15403" max="15403" width="10.7109375" style="1491" bestFit="1" customWidth="1"/>
    <col min="15404" max="15404" width="9.5703125" style="1491" bestFit="1" customWidth="1"/>
    <col min="15405" max="15405" width="10.42578125" style="1491" bestFit="1" customWidth="1"/>
    <col min="15406" max="15406" width="9.5703125" style="1491" bestFit="1" customWidth="1"/>
    <col min="15407" max="15407" width="10.7109375" style="1491" bestFit="1" customWidth="1"/>
    <col min="15408" max="15408" width="9.5703125" style="1491" bestFit="1" customWidth="1"/>
    <col min="15409" max="15409" width="10.7109375" style="1491" bestFit="1" customWidth="1"/>
    <col min="15410" max="15410" width="9.140625" style="1491" bestFit="1" customWidth="1"/>
    <col min="15411" max="15411" width="10.7109375" style="1491" bestFit="1" customWidth="1"/>
    <col min="15412" max="15412" width="9.5703125" style="1491" bestFit="1" customWidth="1"/>
    <col min="15413" max="15413" width="10.42578125" style="1491" bestFit="1" customWidth="1"/>
    <col min="15414" max="15414" width="9.140625" style="1491" bestFit="1" customWidth="1"/>
    <col min="15415" max="15415" width="10" style="1491" bestFit="1" customWidth="1"/>
    <col min="15416" max="15418" width="10.42578125" style="1491" bestFit="1" customWidth="1"/>
    <col min="15419" max="15419" width="10" style="1491" bestFit="1" customWidth="1"/>
    <col min="15420" max="15420" width="10.7109375" style="1491" bestFit="1" customWidth="1"/>
    <col min="15421" max="15421" width="10.42578125" style="1491" bestFit="1" customWidth="1"/>
    <col min="15422" max="15422" width="10.7109375" style="1491" bestFit="1" customWidth="1"/>
    <col min="15423" max="15425" width="10" style="1491" bestFit="1" customWidth="1"/>
    <col min="15426" max="15426" width="10.7109375" style="1491" bestFit="1" customWidth="1"/>
    <col min="15427" max="15427" width="10.42578125" style="1491" bestFit="1" customWidth="1"/>
    <col min="15428" max="15428" width="10.7109375" style="1491" bestFit="1" customWidth="1"/>
    <col min="15429" max="15429" width="10.42578125" style="1491" bestFit="1" customWidth="1"/>
    <col min="15430" max="15432" width="10" style="1491" bestFit="1" customWidth="1"/>
    <col min="15433" max="15433" width="10.42578125" style="1491" bestFit="1" customWidth="1"/>
    <col min="15434" max="15434" width="10" style="1491" bestFit="1" customWidth="1"/>
    <col min="15435" max="15438" width="10.42578125" style="1491" bestFit="1" customWidth="1"/>
    <col min="15439" max="15439" width="10" style="1491" bestFit="1" customWidth="1"/>
    <col min="15440" max="15440" width="10.42578125" style="1491" bestFit="1" customWidth="1"/>
    <col min="15441" max="15441" width="10.7109375" style="1491" bestFit="1" customWidth="1"/>
    <col min="15442" max="15442" width="10" style="1491" bestFit="1" customWidth="1"/>
    <col min="15443" max="15444" width="10.42578125" style="1491" bestFit="1" customWidth="1"/>
    <col min="15445" max="15447" width="10" style="1491" bestFit="1" customWidth="1"/>
    <col min="15448" max="15448" width="10.7109375" style="1491" bestFit="1" customWidth="1"/>
    <col min="15449" max="15449" width="10" style="1491" bestFit="1" customWidth="1"/>
    <col min="15450" max="15450" width="10.42578125" style="1491" bestFit="1" customWidth="1"/>
    <col min="15451" max="15452" width="10.7109375" style="1491" bestFit="1" customWidth="1"/>
    <col min="15453" max="15453" width="10" style="1491" bestFit="1" customWidth="1"/>
    <col min="15454" max="15455" width="10.42578125" style="1491" bestFit="1" customWidth="1"/>
    <col min="15456" max="15456" width="10.7109375" style="1491" bestFit="1" customWidth="1"/>
    <col min="15457" max="15457" width="10.42578125" style="1491" bestFit="1" customWidth="1"/>
    <col min="15458" max="15460" width="10.7109375" style="1491" bestFit="1" customWidth="1"/>
    <col min="15461" max="15462" width="0" style="1491" hidden="1" customWidth="1"/>
    <col min="15463" max="15463" width="10.7109375" style="1491" bestFit="1" customWidth="1"/>
    <col min="15464" max="15465" width="10.42578125" style="1491" bestFit="1" customWidth="1"/>
    <col min="15466" max="15468" width="10.7109375" style="1491" bestFit="1" customWidth="1"/>
    <col min="15469" max="15470" width="10.42578125" style="1491" bestFit="1" customWidth="1"/>
    <col min="15471" max="15471" width="10.7109375" style="1491" bestFit="1" customWidth="1"/>
    <col min="15472" max="15472" width="10.42578125" style="1491" bestFit="1" customWidth="1"/>
    <col min="15473" max="15477" width="10.7109375" style="1491" bestFit="1" customWidth="1"/>
    <col min="15478" max="15479" width="10.42578125" style="1491" bestFit="1" customWidth="1"/>
    <col min="15480" max="15481" width="10.7109375" style="1491" bestFit="1" customWidth="1"/>
    <col min="15482" max="15482" width="10.42578125" style="1491" bestFit="1" customWidth="1"/>
    <col min="15483" max="15486" width="10.7109375" style="1491" bestFit="1" customWidth="1"/>
    <col min="15487" max="15487" width="10.42578125" style="1491" bestFit="1" customWidth="1"/>
    <col min="15488" max="15488" width="10.5703125" style="1491" customWidth="1"/>
    <col min="15489" max="15491" width="10.7109375" style="1491" bestFit="1" customWidth="1"/>
    <col min="15492" max="15492" width="10.42578125" style="1491" bestFit="1" customWidth="1"/>
    <col min="15493" max="15494" width="10.7109375" style="1491" bestFit="1" customWidth="1"/>
    <col min="15495" max="15495" width="10.42578125" style="1491" bestFit="1" customWidth="1"/>
    <col min="15496" max="15498" width="10.7109375" style="1491" bestFit="1" customWidth="1"/>
    <col min="15499" max="15499" width="10" style="1491" bestFit="1" customWidth="1"/>
    <col min="15500" max="15502" width="10.7109375" style="1491" bestFit="1" customWidth="1"/>
    <col min="15503" max="15503" width="10.42578125" style="1491" bestFit="1" customWidth="1"/>
    <col min="15504" max="15504" width="10.7109375" style="1491" bestFit="1" customWidth="1"/>
    <col min="15505" max="15607" width="7.5703125" style="1491"/>
    <col min="15608" max="15608" width="44.5703125" style="1491" customWidth="1"/>
    <col min="15609" max="15609" width="11.42578125" style="1491" customWidth="1"/>
    <col min="15610" max="15610" width="9.28515625" style="1491" customWidth="1"/>
    <col min="15611" max="15611" width="11" style="1491" customWidth="1"/>
    <col min="15612" max="15612" width="11.140625" style="1491" customWidth="1"/>
    <col min="15613" max="15613" width="8.140625" style="1491" bestFit="1" customWidth="1"/>
    <col min="15614" max="15614" width="7.85546875" style="1491" bestFit="1" customWidth="1"/>
    <col min="15615" max="15615" width="9.5703125" style="1491" bestFit="1" customWidth="1"/>
    <col min="15616" max="15616" width="9" style="1491" bestFit="1" customWidth="1"/>
    <col min="15617" max="15617" width="9.5703125" style="1491" bestFit="1" customWidth="1"/>
    <col min="15618" max="15618" width="9.42578125" style="1491" bestFit="1" customWidth="1"/>
    <col min="15619" max="15619" width="9.140625" style="1491" bestFit="1" customWidth="1"/>
    <col min="15620" max="15620" width="9.42578125" style="1491" bestFit="1" customWidth="1"/>
    <col min="15621" max="15621" width="9.140625" style="1491" bestFit="1" customWidth="1"/>
    <col min="15622" max="15622" width="9.5703125" style="1491" bestFit="1" customWidth="1"/>
    <col min="15623" max="15623" width="9.42578125" style="1491" bestFit="1" customWidth="1"/>
    <col min="15624" max="15626" width="9.140625" style="1491" bestFit="1" customWidth="1"/>
    <col min="15627" max="15627" width="10" style="1491" bestFit="1" customWidth="1"/>
    <col min="15628" max="15628" width="9.140625" style="1491" bestFit="1" customWidth="1"/>
    <col min="15629" max="15629" width="9.42578125" style="1491" bestFit="1" customWidth="1"/>
    <col min="15630" max="15630" width="8.7109375" style="1491" bestFit="1" customWidth="1"/>
    <col min="15631" max="15631" width="9" style="1491" bestFit="1" customWidth="1"/>
    <col min="15632" max="15632" width="9.42578125" style="1491" bestFit="1" customWidth="1"/>
    <col min="15633" max="15633" width="10" style="1491" bestFit="1" customWidth="1"/>
    <col min="15634" max="15634" width="8.85546875" style="1491" bestFit="1" customWidth="1"/>
    <col min="15635" max="15635" width="10.42578125" style="1491" bestFit="1" customWidth="1"/>
    <col min="15636" max="15636" width="8.85546875" style="1491" bestFit="1" customWidth="1"/>
    <col min="15637" max="15637" width="10.42578125" style="1491" bestFit="1" customWidth="1"/>
    <col min="15638" max="15639" width="9.5703125" style="1491" bestFit="1" customWidth="1"/>
    <col min="15640" max="15640" width="9.140625" style="1491" bestFit="1" customWidth="1"/>
    <col min="15641" max="15641" width="10" style="1491" bestFit="1" customWidth="1"/>
    <col min="15642" max="15642" width="9.140625" style="1491" bestFit="1" customWidth="1"/>
    <col min="15643" max="15643" width="10.42578125" style="1491" bestFit="1" customWidth="1"/>
    <col min="15644" max="15644" width="9.5703125" style="1491" bestFit="1" customWidth="1"/>
    <col min="15645" max="15645" width="10.42578125" style="1491" bestFit="1" customWidth="1"/>
    <col min="15646" max="15646" width="9.5703125" style="1491" bestFit="1" customWidth="1"/>
    <col min="15647" max="15647" width="10" style="1491" bestFit="1" customWidth="1"/>
    <col min="15648" max="15648" width="9.5703125" style="1491" bestFit="1" customWidth="1"/>
    <col min="15649" max="15649" width="10" style="1491" bestFit="1" customWidth="1"/>
    <col min="15650" max="15650" width="9.5703125" style="1491" bestFit="1" customWidth="1"/>
    <col min="15651" max="15651" width="10.7109375" style="1491" bestFit="1" customWidth="1"/>
    <col min="15652" max="15652" width="9.5703125" style="1491" bestFit="1" customWidth="1"/>
    <col min="15653" max="15653" width="10.7109375" style="1491" bestFit="1" customWidth="1"/>
    <col min="15654" max="15654" width="9.5703125" style="1491" bestFit="1" customWidth="1"/>
    <col min="15655" max="15655" width="10.7109375" style="1491" bestFit="1" customWidth="1"/>
    <col min="15656" max="15656" width="9.5703125" style="1491" bestFit="1" customWidth="1"/>
    <col min="15657" max="15657" width="10.7109375" style="1491" bestFit="1" customWidth="1"/>
    <col min="15658" max="15658" width="9.140625" style="1491" bestFit="1" customWidth="1"/>
    <col min="15659" max="15659" width="10.7109375" style="1491" bestFit="1" customWidth="1"/>
    <col min="15660" max="15660" width="9.5703125" style="1491" bestFit="1" customWidth="1"/>
    <col min="15661" max="15661" width="10.42578125" style="1491" bestFit="1" customWidth="1"/>
    <col min="15662" max="15662" width="9.5703125" style="1491" bestFit="1" customWidth="1"/>
    <col min="15663" max="15663" width="10.7109375" style="1491" bestFit="1" customWidth="1"/>
    <col min="15664" max="15664" width="9.5703125" style="1491" bestFit="1" customWidth="1"/>
    <col min="15665" max="15665" width="10.7109375" style="1491" bestFit="1" customWidth="1"/>
    <col min="15666" max="15666" width="9.140625" style="1491" bestFit="1" customWidth="1"/>
    <col min="15667" max="15667" width="10.7109375" style="1491" bestFit="1" customWidth="1"/>
    <col min="15668" max="15668" width="9.5703125" style="1491" bestFit="1" customWidth="1"/>
    <col min="15669" max="15669" width="10.42578125" style="1491" bestFit="1" customWidth="1"/>
    <col min="15670" max="15670" width="9.140625" style="1491" bestFit="1" customWidth="1"/>
    <col min="15671" max="15671" width="10" style="1491" bestFit="1" customWidth="1"/>
    <col min="15672" max="15674" width="10.42578125" style="1491" bestFit="1" customWidth="1"/>
    <col min="15675" max="15675" width="10" style="1491" bestFit="1" customWidth="1"/>
    <col min="15676" max="15676" width="10.7109375" style="1491" bestFit="1" customWidth="1"/>
    <col min="15677" max="15677" width="10.42578125" style="1491" bestFit="1" customWidth="1"/>
    <col min="15678" max="15678" width="10.7109375" style="1491" bestFit="1" customWidth="1"/>
    <col min="15679" max="15681" width="10" style="1491" bestFit="1" customWidth="1"/>
    <col min="15682" max="15682" width="10.7109375" style="1491" bestFit="1" customWidth="1"/>
    <col min="15683" max="15683" width="10.42578125" style="1491" bestFit="1" customWidth="1"/>
    <col min="15684" max="15684" width="10.7109375" style="1491" bestFit="1" customWidth="1"/>
    <col min="15685" max="15685" width="10.42578125" style="1491" bestFit="1" customWidth="1"/>
    <col min="15686" max="15688" width="10" style="1491" bestFit="1" customWidth="1"/>
    <col min="15689" max="15689" width="10.42578125" style="1491" bestFit="1" customWidth="1"/>
    <col min="15690" max="15690" width="10" style="1491" bestFit="1" customWidth="1"/>
    <col min="15691" max="15694" width="10.42578125" style="1491" bestFit="1" customWidth="1"/>
    <col min="15695" max="15695" width="10" style="1491" bestFit="1" customWidth="1"/>
    <col min="15696" max="15696" width="10.42578125" style="1491" bestFit="1" customWidth="1"/>
    <col min="15697" max="15697" width="10.7109375" style="1491" bestFit="1" customWidth="1"/>
    <col min="15698" max="15698" width="10" style="1491" bestFit="1" customWidth="1"/>
    <col min="15699" max="15700" width="10.42578125" style="1491" bestFit="1" customWidth="1"/>
    <col min="15701" max="15703" width="10" style="1491" bestFit="1" customWidth="1"/>
    <col min="15704" max="15704" width="10.7109375" style="1491" bestFit="1" customWidth="1"/>
    <col min="15705" max="15705" width="10" style="1491" bestFit="1" customWidth="1"/>
    <col min="15706" max="15706" width="10.42578125" style="1491" bestFit="1" customWidth="1"/>
    <col min="15707" max="15708" width="10.7109375" style="1491" bestFit="1" customWidth="1"/>
    <col min="15709" max="15709" width="10" style="1491" bestFit="1" customWidth="1"/>
    <col min="15710" max="15711" width="10.42578125" style="1491" bestFit="1" customWidth="1"/>
    <col min="15712" max="15712" width="10.7109375" style="1491" bestFit="1" customWidth="1"/>
    <col min="15713" max="15713" width="10.42578125" style="1491" bestFit="1" customWidth="1"/>
    <col min="15714" max="15716" width="10.7109375" style="1491" bestFit="1" customWidth="1"/>
    <col min="15717" max="15718" width="0" style="1491" hidden="1" customWidth="1"/>
    <col min="15719" max="15719" width="10.7109375" style="1491" bestFit="1" customWidth="1"/>
    <col min="15720" max="15721" width="10.42578125" style="1491" bestFit="1" customWidth="1"/>
    <col min="15722" max="15724" width="10.7109375" style="1491" bestFit="1" customWidth="1"/>
    <col min="15725" max="15726" width="10.42578125" style="1491" bestFit="1" customWidth="1"/>
    <col min="15727" max="15727" width="10.7109375" style="1491" bestFit="1" customWidth="1"/>
    <col min="15728" max="15728" width="10.42578125" style="1491" bestFit="1" customWidth="1"/>
    <col min="15729" max="15733" width="10.7109375" style="1491" bestFit="1" customWidth="1"/>
    <col min="15734" max="15735" width="10.42578125" style="1491" bestFit="1" customWidth="1"/>
    <col min="15736" max="15737" width="10.7109375" style="1491" bestFit="1" customWidth="1"/>
    <col min="15738" max="15738" width="10.42578125" style="1491" bestFit="1" customWidth="1"/>
    <col min="15739" max="15742" width="10.7109375" style="1491" bestFit="1" customWidth="1"/>
    <col min="15743" max="15743" width="10.42578125" style="1491" bestFit="1" customWidth="1"/>
    <col min="15744" max="15744" width="10.5703125" style="1491" customWidth="1"/>
    <col min="15745" max="15747" width="10.7109375" style="1491" bestFit="1" customWidth="1"/>
    <col min="15748" max="15748" width="10.42578125" style="1491" bestFit="1" customWidth="1"/>
    <col min="15749" max="15750" width="10.7109375" style="1491" bestFit="1" customWidth="1"/>
    <col min="15751" max="15751" width="10.42578125" style="1491" bestFit="1" customWidth="1"/>
    <col min="15752" max="15754" width="10.7109375" style="1491" bestFit="1" customWidth="1"/>
    <col min="15755" max="15755" width="10" style="1491" bestFit="1" customWidth="1"/>
    <col min="15756" max="15758" width="10.7109375" style="1491" bestFit="1" customWidth="1"/>
    <col min="15759" max="15759" width="10.42578125" style="1491" bestFit="1" customWidth="1"/>
    <col min="15760" max="15760" width="10.7109375" style="1491" bestFit="1" customWidth="1"/>
    <col min="15761" max="15863" width="7.5703125" style="1491"/>
    <col min="15864" max="15864" width="44.5703125" style="1491" customWidth="1"/>
    <col min="15865" max="15865" width="11.42578125" style="1491" customWidth="1"/>
    <col min="15866" max="15866" width="9.28515625" style="1491" customWidth="1"/>
    <col min="15867" max="15867" width="11" style="1491" customWidth="1"/>
    <col min="15868" max="15868" width="11.140625" style="1491" customWidth="1"/>
    <col min="15869" max="15869" width="8.140625" style="1491" bestFit="1" customWidth="1"/>
    <col min="15870" max="15870" width="7.85546875" style="1491" bestFit="1" customWidth="1"/>
    <col min="15871" max="15871" width="9.5703125" style="1491" bestFit="1" customWidth="1"/>
    <col min="15872" max="15872" width="9" style="1491" bestFit="1" customWidth="1"/>
    <col min="15873" max="15873" width="9.5703125" style="1491" bestFit="1" customWidth="1"/>
    <col min="15874" max="15874" width="9.42578125" style="1491" bestFit="1" customWidth="1"/>
    <col min="15875" max="15875" width="9.140625" style="1491" bestFit="1" customWidth="1"/>
    <col min="15876" max="15876" width="9.42578125" style="1491" bestFit="1" customWidth="1"/>
    <col min="15877" max="15877" width="9.140625" style="1491" bestFit="1" customWidth="1"/>
    <col min="15878" max="15878" width="9.5703125" style="1491" bestFit="1" customWidth="1"/>
    <col min="15879" max="15879" width="9.42578125" style="1491" bestFit="1" customWidth="1"/>
    <col min="15880" max="15882" width="9.140625" style="1491" bestFit="1" customWidth="1"/>
    <col min="15883" max="15883" width="10" style="1491" bestFit="1" customWidth="1"/>
    <col min="15884" max="15884" width="9.140625" style="1491" bestFit="1" customWidth="1"/>
    <col min="15885" max="15885" width="9.42578125" style="1491" bestFit="1" customWidth="1"/>
    <col min="15886" max="15886" width="8.7109375" style="1491" bestFit="1" customWidth="1"/>
    <col min="15887" max="15887" width="9" style="1491" bestFit="1" customWidth="1"/>
    <col min="15888" max="15888" width="9.42578125" style="1491" bestFit="1" customWidth="1"/>
    <col min="15889" max="15889" width="10" style="1491" bestFit="1" customWidth="1"/>
    <col min="15890" max="15890" width="8.85546875" style="1491" bestFit="1" customWidth="1"/>
    <col min="15891" max="15891" width="10.42578125" style="1491" bestFit="1" customWidth="1"/>
    <col min="15892" max="15892" width="8.85546875" style="1491" bestFit="1" customWidth="1"/>
    <col min="15893" max="15893" width="10.42578125" style="1491" bestFit="1" customWidth="1"/>
    <col min="15894" max="15895" width="9.5703125" style="1491" bestFit="1" customWidth="1"/>
    <col min="15896" max="15896" width="9.140625" style="1491" bestFit="1" customWidth="1"/>
    <col min="15897" max="15897" width="10" style="1491" bestFit="1" customWidth="1"/>
    <col min="15898" max="15898" width="9.140625" style="1491" bestFit="1" customWidth="1"/>
    <col min="15899" max="15899" width="10.42578125" style="1491" bestFit="1" customWidth="1"/>
    <col min="15900" max="15900" width="9.5703125" style="1491" bestFit="1" customWidth="1"/>
    <col min="15901" max="15901" width="10.42578125" style="1491" bestFit="1" customWidth="1"/>
    <col min="15902" max="15902" width="9.5703125" style="1491" bestFit="1" customWidth="1"/>
    <col min="15903" max="15903" width="10" style="1491" bestFit="1" customWidth="1"/>
    <col min="15904" max="15904" width="9.5703125" style="1491" bestFit="1" customWidth="1"/>
    <col min="15905" max="15905" width="10" style="1491" bestFit="1" customWidth="1"/>
    <col min="15906" max="15906" width="9.5703125" style="1491" bestFit="1" customWidth="1"/>
    <col min="15907" max="15907" width="10.7109375" style="1491" bestFit="1" customWidth="1"/>
    <col min="15908" max="15908" width="9.5703125" style="1491" bestFit="1" customWidth="1"/>
    <col min="15909" max="15909" width="10.7109375" style="1491" bestFit="1" customWidth="1"/>
    <col min="15910" max="15910" width="9.5703125" style="1491" bestFit="1" customWidth="1"/>
    <col min="15911" max="15911" width="10.7109375" style="1491" bestFit="1" customWidth="1"/>
    <col min="15912" max="15912" width="9.5703125" style="1491" bestFit="1" customWidth="1"/>
    <col min="15913" max="15913" width="10.7109375" style="1491" bestFit="1" customWidth="1"/>
    <col min="15914" max="15914" width="9.140625" style="1491" bestFit="1" customWidth="1"/>
    <col min="15915" max="15915" width="10.7109375" style="1491" bestFit="1" customWidth="1"/>
    <col min="15916" max="15916" width="9.5703125" style="1491" bestFit="1" customWidth="1"/>
    <col min="15917" max="15917" width="10.42578125" style="1491" bestFit="1" customWidth="1"/>
    <col min="15918" max="15918" width="9.5703125" style="1491" bestFit="1" customWidth="1"/>
    <col min="15919" max="15919" width="10.7109375" style="1491" bestFit="1" customWidth="1"/>
    <col min="15920" max="15920" width="9.5703125" style="1491" bestFit="1" customWidth="1"/>
    <col min="15921" max="15921" width="10.7109375" style="1491" bestFit="1" customWidth="1"/>
    <col min="15922" max="15922" width="9.140625" style="1491" bestFit="1" customWidth="1"/>
    <col min="15923" max="15923" width="10.7109375" style="1491" bestFit="1" customWidth="1"/>
    <col min="15924" max="15924" width="9.5703125" style="1491" bestFit="1" customWidth="1"/>
    <col min="15925" max="15925" width="10.42578125" style="1491" bestFit="1" customWidth="1"/>
    <col min="15926" max="15926" width="9.140625" style="1491" bestFit="1" customWidth="1"/>
    <col min="15927" max="15927" width="10" style="1491" bestFit="1" customWidth="1"/>
    <col min="15928" max="15930" width="10.42578125" style="1491" bestFit="1" customWidth="1"/>
    <col min="15931" max="15931" width="10" style="1491" bestFit="1" customWidth="1"/>
    <col min="15932" max="15932" width="10.7109375" style="1491" bestFit="1" customWidth="1"/>
    <col min="15933" max="15933" width="10.42578125" style="1491" bestFit="1" customWidth="1"/>
    <col min="15934" max="15934" width="10.7109375" style="1491" bestFit="1" customWidth="1"/>
    <col min="15935" max="15937" width="10" style="1491" bestFit="1" customWidth="1"/>
    <col min="15938" max="15938" width="10.7109375" style="1491" bestFit="1" customWidth="1"/>
    <col min="15939" max="15939" width="10.42578125" style="1491" bestFit="1" customWidth="1"/>
    <col min="15940" max="15940" width="10.7109375" style="1491" bestFit="1" customWidth="1"/>
    <col min="15941" max="15941" width="10.42578125" style="1491" bestFit="1" customWidth="1"/>
    <col min="15942" max="15944" width="10" style="1491" bestFit="1" customWidth="1"/>
    <col min="15945" max="15945" width="10.42578125" style="1491" bestFit="1" customWidth="1"/>
    <col min="15946" max="15946" width="10" style="1491" bestFit="1" customWidth="1"/>
    <col min="15947" max="15950" width="10.42578125" style="1491" bestFit="1" customWidth="1"/>
    <col min="15951" max="15951" width="10" style="1491" bestFit="1" customWidth="1"/>
    <col min="15952" max="15952" width="10.42578125" style="1491" bestFit="1" customWidth="1"/>
    <col min="15953" max="15953" width="10.7109375" style="1491" bestFit="1" customWidth="1"/>
    <col min="15954" max="15954" width="10" style="1491" bestFit="1" customWidth="1"/>
    <col min="15955" max="15956" width="10.42578125" style="1491" bestFit="1" customWidth="1"/>
    <col min="15957" max="15959" width="10" style="1491" bestFit="1" customWidth="1"/>
    <col min="15960" max="15960" width="10.7109375" style="1491" bestFit="1" customWidth="1"/>
    <col min="15961" max="15961" width="10" style="1491" bestFit="1" customWidth="1"/>
    <col min="15962" max="15962" width="10.42578125" style="1491" bestFit="1" customWidth="1"/>
    <col min="15963" max="15964" width="10.7109375" style="1491" bestFit="1" customWidth="1"/>
    <col min="15965" max="15965" width="10" style="1491" bestFit="1" customWidth="1"/>
    <col min="15966" max="15967" width="10.42578125" style="1491" bestFit="1" customWidth="1"/>
    <col min="15968" max="15968" width="10.7109375" style="1491" bestFit="1" customWidth="1"/>
    <col min="15969" max="15969" width="10.42578125" style="1491" bestFit="1" customWidth="1"/>
    <col min="15970" max="15972" width="10.7109375" style="1491" bestFit="1" customWidth="1"/>
    <col min="15973" max="15974" width="0" style="1491" hidden="1" customWidth="1"/>
    <col min="15975" max="15975" width="10.7109375" style="1491" bestFit="1" customWidth="1"/>
    <col min="15976" max="15977" width="10.42578125" style="1491" bestFit="1" customWidth="1"/>
    <col min="15978" max="15980" width="10.7109375" style="1491" bestFit="1" customWidth="1"/>
    <col min="15981" max="15982" width="10.42578125" style="1491" bestFit="1" customWidth="1"/>
    <col min="15983" max="15983" width="10.7109375" style="1491" bestFit="1" customWidth="1"/>
    <col min="15984" max="15984" width="10.42578125" style="1491" bestFit="1" customWidth="1"/>
    <col min="15985" max="15989" width="10.7109375" style="1491" bestFit="1" customWidth="1"/>
    <col min="15990" max="15991" width="10.42578125" style="1491" bestFit="1" customWidth="1"/>
    <col min="15992" max="15993" width="10.7109375" style="1491" bestFit="1" customWidth="1"/>
    <col min="15994" max="15994" width="10.42578125" style="1491" bestFit="1" customWidth="1"/>
    <col min="15995" max="15998" width="10.7109375" style="1491" bestFit="1" customWidth="1"/>
    <col min="15999" max="15999" width="10.42578125" style="1491" bestFit="1" customWidth="1"/>
    <col min="16000" max="16000" width="10.5703125" style="1491" customWidth="1"/>
    <col min="16001" max="16003" width="10.7109375" style="1491" bestFit="1" customWidth="1"/>
    <col min="16004" max="16004" width="10.42578125" style="1491" bestFit="1" customWidth="1"/>
    <col min="16005" max="16006" width="10.7109375" style="1491" bestFit="1" customWidth="1"/>
    <col min="16007" max="16007" width="10.42578125" style="1491" bestFit="1" customWidth="1"/>
    <col min="16008" max="16010" width="10.7109375" style="1491" bestFit="1" customWidth="1"/>
    <col min="16011" max="16011" width="10" style="1491" bestFit="1" customWidth="1"/>
    <col min="16012" max="16014" width="10.7109375" style="1491" bestFit="1" customWidth="1"/>
    <col min="16015" max="16015" width="10.42578125" style="1491" bestFit="1" customWidth="1"/>
    <col min="16016" max="16016" width="10.7109375" style="1491" bestFit="1" customWidth="1"/>
    <col min="16017" max="16119" width="7.5703125" style="1491"/>
    <col min="16120" max="16120" width="44.5703125" style="1491" customWidth="1"/>
    <col min="16121" max="16121" width="11.42578125" style="1491" customWidth="1"/>
    <col min="16122" max="16122" width="9.28515625" style="1491" customWidth="1"/>
    <col min="16123" max="16123" width="11" style="1491" customWidth="1"/>
    <col min="16124" max="16124" width="11.140625" style="1491" customWidth="1"/>
    <col min="16125" max="16125" width="8.140625" style="1491" bestFit="1" customWidth="1"/>
    <col min="16126" max="16126" width="7.85546875" style="1491" bestFit="1" customWidth="1"/>
    <col min="16127" max="16127" width="9.5703125" style="1491" bestFit="1" customWidth="1"/>
    <col min="16128" max="16128" width="9" style="1491" bestFit="1" customWidth="1"/>
    <col min="16129" max="16129" width="9.5703125" style="1491" bestFit="1" customWidth="1"/>
    <col min="16130" max="16130" width="9.42578125" style="1491" bestFit="1" customWidth="1"/>
    <col min="16131" max="16131" width="9.140625" style="1491" bestFit="1" customWidth="1"/>
    <col min="16132" max="16132" width="9.42578125" style="1491" bestFit="1" customWidth="1"/>
    <col min="16133" max="16133" width="9.140625" style="1491" bestFit="1" customWidth="1"/>
    <col min="16134" max="16134" width="9.5703125" style="1491" bestFit="1" customWidth="1"/>
    <col min="16135" max="16135" width="9.42578125" style="1491" bestFit="1" customWidth="1"/>
    <col min="16136" max="16138" width="9.140625" style="1491" bestFit="1" customWidth="1"/>
    <col min="16139" max="16139" width="10" style="1491" bestFit="1" customWidth="1"/>
    <col min="16140" max="16140" width="9.140625" style="1491" bestFit="1" customWidth="1"/>
    <col min="16141" max="16141" width="9.42578125" style="1491" bestFit="1" customWidth="1"/>
    <col min="16142" max="16142" width="8.7109375" style="1491" bestFit="1" customWidth="1"/>
    <col min="16143" max="16143" width="9" style="1491" bestFit="1" customWidth="1"/>
    <col min="16144" max="16144" width="9.42578125" style="1491" bestFit="1" customWidth="1"/>
    <col min="16145" max="16145" width="10" style="1491" bestFit="1" customWidth="1"/>
    <col min="16146" max="16146" width="8.85546875" style="1491" bestFit="1" customWidth="1"/>
    <col min="16147" max="16147" width="10.42578125" style="1491" bestFit="1" customWidth="1"/>
    <col min="16148" max="16148" width="8.85546875" style="1491" bestFit="1" customWidth="1"/>
    <col min="16149" max="16149" width="10.42578125" style="1491" bestFit="1" customWidth="1"/>
    <col min="16150" max="16151" width="9.5703125" style="1491" bestFit="1" customWidth="1"/>
    <col min="16152" max="16152" width="9.140625" style="1491" bestFit="1" customWidth="1"/>
    <col min="16153" max="16153" width="10" style="1491" bestFit="1" customWidth="1"/>
    <col min="16154" max="16154" width="9.140625" style="1491" bestFit="1" customWidth="1"/>
    <col min="16155" max="16155" width="10.42578125" style="1491" bestFit="1" customWidth="1"/>
    <col min="16156" max="16156" width="9.5703125" style="1491" bestFit="1" customWidth="1"/>
    <col min="16157" max="16157" width="10.42578125" style="1491" bestFit="1" customWidth="1"/>
    <col min="16158" max="16158" width="9.5703125" style="1491" bestFit="1" customWidth="1"/>
    <col min="16159" max="16159" width="10" style="1491" bestFit="1" customWidth="1"/>
    <col min="16160" max="16160" width="9.5703125" style="1491" bestFit="1" customWidth="1"/>
    <col min="16161" max="16161" width="10" style="1491" bestFit="1" customWidth="1"/>
    <col min="16162" max="16162" width="9.5703125" style="1491" bestFit="1" customWidth="1"/>
    <col min="16163" max="16163" width="10.7109375" style="1491" bestFit="1" customWidth="1"/>
    <col min="16164" max="16164" width="9.5703125" style="1491" bestFit="1" customWidth="1"/>
    <col min="16165" max="16165" width="10.7109375" style="1491" bestFit="1" customWidth="1"/>
    <col min="16166" max="16166" width="9.5703125" style="1491" bestFit="1" customWidth="1"/>
    <col min="16167" max="16167" width="10.7109375" style="1491" bestFit="1" customWidth="1"/>
    <col min="16168" max="16168" width="9.5703125" style="1491" bestFit="1" customWidth="1"/>
    <col min="16169" max="16169" width="10.7109375" style="1491" bestFit="1" customWidth="1"/>
    <col min="16170" max="16170" width="9.140625" style="1491" bestFit="1" customWidth="1"/>
    <col min="16171" max="16171" width="10.7109375" style="1491" bestFit="1" customWidth="1"/>
    <col min="16172" max="16172" width="9.5703125" style="1491" bestFit="1" customWidth="1"/>
    <col min="16173" max="16173" width="10.42578125" style="1491" bestFit="1" customWidth="1"/>
    <col min="16174" max="16174" width="9.5703125" style="1491" bestFit="1" customWidth="1"/>
    <col min="16175" max="16175" width="10.7109375" style="1491" bestFit="1" customWidth="1"/>
    <col min="16176" max="16176" width="9.5703125" style="1491" bestFit="1" customWidth="1"/>
    <col min="16177" max="16177" width="10.7109375" style="1491" bestFit="1" customWidth="1"/>
    <col min="16178" max="16178" width="9.140625" style="1491" bestFit="1" customWidth="1"/>
    <col min="16179" max="16179" width="10.7109375" style="1491" bestFit="1" customWidth="1"/>
    <col min="16180" max="16180" width="9.5703125" style="1491" bestFit="1" customWidth="1"/>
    <col min="16181" max="16181" width="10.42578125" style="1491" bestFit="1" customWidth="1"/>
    <col min="16182" max="16182" width="9.140625" style="1491" bestFit="1" customWidth="1"/>
    <col min="16183" max="16183" width="10" style="1491" bestFit="1" customWidth="1"/>
    <col min="16184" max="16186" width="10.42578125" style="1491" bestFit="1" customWidth="1"/>
    <col min="16187" max="16187" width="10" style="1491" bestFit="1" customWidth="1"/>
    <col min="16188" max="16188" width="10.7109375" style="1491" bestFit="1" customWidth="1"/>
    <col min="16189" max="16189" width="10.42578125" style="1491" bestFit="1" customWidth="1"/>
    <col min="16190" max="16190" width="10.7109375" style="1491" bestFit="1" customWidth="1"/>
    <col min="16191" max="16193" width="10" style="1491" bestFit="1" customWidth="1"/>
    <col min="16194" max="16194" width="10.7109375" style="1491" bestFit="1" customWidth="1"/>
    <col min="16195" max="16195" width="10.42578125" style="1491" bestFit="1" customWidth="1"/>
    <col min="16196" max="16196" width="10.7109375" style="1491" bestFit="1" customWidth="1"/>
    <col min="16197" max="16197" width="10.42578125" style="1491" bestFit="1" customWidth="1"/>
    <col min="16198" max="16200" width="10" style="1491" bestFit="1" customWidth="1"/>
    <col min="16201" max="16201" width="10.42578125" style="1491" bestFit="1" customWidth="1"/>
    <col min="16202" max="16202" width="10" style="1491" bestFit="1" customWidth="1"/>
    <col min="16203" max="16206" width="10.42578125" style="1491" bestFit="1" customWidth="1"/>
    <col min="16207" max="16207" width="10" style="1491" bestFit="1" customWidth="1"/>
    <col min="16208" max="16208" width="10.42578125" style="1491" bestFit="1" customWidth="1"/>
    <col min="16209" max="16209" width="10.7109375" style="1491" bestFit="1" customWidth="1"/>
    <col min="16210" max="16210" width="10" style="1491" bestFit="1" customWidth="1"/>
    <col min="16211" max="16212" width="10.42578125" style="1491" bestFit="1" customWidth="1"/>
    <col min="16213" max="16215" width="10" style="1491" bestFit="1" customWidth="1"/>
    <col min="16216" max="16216" width="10.7109375" style="1491" bestFit="1" customWidth="1"/>
    <col min="16217" max="16217" width="10" style="1491" bestFit="1" customWidth="1"/>
    <col min="16218" max="16218" width="10.42578125" style="1491" bestFit="1" customWidth="1"/>
    <col min="16219" max="16220" width="10.7109375" style="1491" bestFit="1" customWidth="1"/>
    <col min="16221" max="16221" width="10" style="1491" bestFit="1" customWidth="1"/>
    <col min="16222" max="16223" width="10.42578125" style="1491" bestFit="1" customWidth="1"/>
    <col min="16224" max="16224" width="10.7109375" style="1491" bestFit="1" customWidth="1"/>
    <col min="16225" max="16225" width="10.42578125" style="1491" bestFit="1" customWidth="1"/>
    <col min="16226" max="16228" width="10.7109375" style="1491" bestFit="1" customWidth="1"/>
    <col min="16229" max="16230" width="0" style="1491" hidden="1" customWidth="1"/>
    <col min="16231" max="16231" width="10.7109375" style="1491" bestFit="1" customWidth="1"/>
    <col min="16232" max="16233" width="10.42578125" style="1491" bestFit="1" customWidth="1"/>
    <col min="16234" max="16236" width="10.7109375" style="1491" bestFit="1" customWidth="1"/>
    <col min="16237" max="16238" width="10.42578125" style="1491" bestFit="1" customWidth="1"/>
    <col min="16239" max="16239" width="10.7109375" style="1491" bestFit="1" customWidth="1"/>
    <col min="16240" max="16240" width="10.42578125" style="1491" bestFit="1" customWidth="1"/>
    <col min="16241" max="16245" width="10.7109375" style="1491" bestFit="1" customWidth="1"/>
    <col min="16246" max="16247" width="10.42578125" style="1491" bestFit="1" customWidth="1"/>
    <col min="16248" max="16249" width="10.7109375" style="1491" bestFit="1" customWidth="1"/>
    <col min="16250" max="16250" width="10.42578125" style="1491" bestFit="1" customWidth="1"/>
    <col min="16251" max="16254" width="10.7109375" style="1491" bestFit="1" customWidth="1"/>
    <col min="16255" max="16255" width="10.42578125" style="1491" bestFit="1" customWidth="1"/>
    <col min="16256" max="16256" width="10.5703125" style="1491" customWidth="1"/>
    <col min="16257" max="16259" width="10.7109375" style="1491" bestFit="1" customWidth="1"/>
    <col min="16260" max="16260" width="10.42578125" style="1491" bestFit="1" customWidth="1"/>
    <col min="16261" max="16262" width="10.7109375" style="1491" bestFit="1" customWidth="1"/>
    <col min="16263" max="16263" width="10.42578125" style="1491" bestFit="1" customWidth="1"/>
    <col min="16264" max="16266" width="10.7109375" style="1491" bestFit="1" customWidth="1"/>
    <col min="16267" max="16267" width="10" style="1491" bestFit="1" customWidth="1"/>
    <col min="16268" max="16270" width="10.7109375" style="1491" bestFit="1" customWidth="1"/>
    <col min="16271" max="16271" width="10.42578125" style="1491" bestFit="1" customWidth="1"/>
    <col min="16272" max="16272" width="10.7109375" style="1491" bestFit="1" customWidth="1"/>
    <col min="16273" max="16384" width="7.5703125" style="1491"/>
  </cols>
  <sheetData>
    <row r="1" spans="1:42" ht="55.5" customHeight="1">
      <c r="A1" s="2305" t="s">
        <v>1608</v>
      </c>
      <c r="B1" s="2306"/>
      <c r="C1" s="2306"/>
      <c r="D1" s="2306"/>
      <c r="E1" s="2306"/>
      <c r="F1" s="2306"/>
      <c r="G1" s="2306"/>
      <c r="H1" s="2306"/>
      <c r="I1" s="2306"/>
      <c r="J1" s="2306"/>
      <c r="K1" s="2306"/>
      <c r="L1" s="2306"/>
      <c r="M1" s="2306"/>
      <c r="N1" s="2306"/>
      <c r="O1" s="2306"/>
      <c r="P1" s="2306"/>
      <c r="Q1" s="2306"/>
    </row>
    <row r="2" spans="1:42" ht="4.5" customHeight="1">
      <c r="A2" s="2307"/>
      <c r="B2" s="2307"/>
      <c r="C2" s="2307"/>
      <c r="D2" s="2307"/>
      <c r="E2" s="2307"/>
      <c r="F2" s="2307"/>
      <c r="G2" s="2307"/>
      <c r="H2" s="2307"/>
      <c r="I2" s="2307"/>
    </row>
    <row r="3" spans="1:42" ht="15" customHeight="1">
      <c r="A3" s="2308" t="s">
        <v>120</v>
      </c>
      <c r="B3" s="2304" t="s">
        <v>1575</v>
      </c>
      <c r="C3" s="2304"/>
      <c r="D3" s="2304" t="s">
        <v>1576</v>
      </c>
      <c r="E3" s="2304"/>
      <c r="F3" s="2304" t="s">
        <v>1577</v>
      </c>
      <c r="G3" s="2304"/>
      <c r="H3" s="2304" t="s">
        <v>1578</v>
      </c>
      <c r="I3" s="2304"/>
      <c r="J3" s="2304" t="s">
        <v>1579</v>
      </c>
      <c r="K3" s="2304"/>
      <c r="L3" s="2304" t="s">
        <v>1580</v>
      </c>
      <c r="M3" s="2304"/>
      <c r="N3" s="2304" t="s">
        <v>1581</v>
      </c>
      <c r="O3" s="2304"/>
      <c r="P3" s="2304" t="s">
        <v>1582</v>
      </c>
      <c r="Q3" s="2304"/>
      <c r="S3" s="1491"/>
      <c r="T3" s="1491"/>
      <c r="U3" s="1491"/>
      <c r="V3" s="1491"/>
      <c r="AA3" s="1491"/>
      <c r="AB3" s="1491"/>
      <c r="AC3" s="1491"/>
      <c r="AD3" s="1491"/>
      <c r="AE3" s="1491"/>
      <c r="AF3" s="1491"/>
      <c r="AO3" s="1491"/>
      <c r="AP3" s="1491"/>
    </row>
    <row r="4" spans="1:42" s="1495" customFormat="1">
      <c r="A4" s="2308"/>
      <c r="B4" s="1494" t="s">
        <v>1583</v>
      </c>
      <c r="C4" s="1494" t="s">
        <v>1584</v>
      </c>
      <c r="D4" s="1494" t="s">
        <v>1583</v>
      </c>
      <c r="E4" s="1494" t="s">
        <v>1584</v>
      </c>
      <c r="F4" s="1494" t="s">
        <v>1583</v>
      </c>
      <c r="G4" s="1494" t="s">
        <v>1584</v>
      </c>
      <c r="H4" s="1494" t="s">
        <v>1583</v>
      </c>
      <c r="I4" s="1494" t="s">
        <v>1584</v>
      </c>
      <c r="J4" s="1494" t="s">
        <v>1583</v>
      </c>
      <c r="K4" s="1494" t="s">
        <v>1584</v>
      </c>
      <c r="L4" s="1494" t="s">
        <v>1583</v>
      </c>
      <c r="M4" s="1494" t="s">
        <v>1584</v>
      </c>
      <c r="N4" s="1494" t="s">
        <v>1583</v>
      </c>
      <c r="O4" s="1494" t="s">
        <v>1584</v>
      </c>
      <c r="P4" s="1494" t="s">
        <v>1583</v>
      </c>
      <c r="Q4" s="1494" t="s">
        <v>1584</v>
      </c>
    </row>
    <row r="5" spans="1:42">
      <c r="A5" s="1496" t="s">
        <v>1585</v>
      </c>
      <c r="B5" s="1497">
        <v>15233</v>
      </c>
      <c r="C5" s="1497">
        <v>4454</v>
      </c>
      <c r="D5" s="1498">
        <v>28344</v>
      </c>
      <c r="E5" s="1498">
        <v>15396</v>
      </c>
      <c r="F5" s="1499">
        <v>28527</v>
      </c>
      <c r="G5" s="1499">
        <v>21846</v>
      </c>
      <c r="H5" s="1500">
        <v>25796</v>
      </c>
      <c r="I5" s="1501">
        <v>23209</v>
      </c>
      <c r="J5" s="1500">
        <v>24439</v>
      </c>
      <c r="K5" s="1501">
        <v>24261</v>
      </c>
      <c r="L5" s="1500">
        <v>22795</v>
      </c>
      <c r="M5" s="1501">
        <v>23837</v>
      </c>
      <c r="N5" s="1502">
        <f>SUM(DU2:DU4)</f>
        <v>0</v>
      </c>
      <c r="O5" s="1502">
        <f>SUM(DV2:DV4)</f>
        <v>0</v>
      </c>
      <c r="P5" s="1502">
        <f>SUM(EM2:EM4)</f>
        <v>0</v>
      </c>
      <c r="Q5" s="1502">
        <f>SUM(EN2:EN4)</f>
        <v>0</v>
      </c>
      <c r="S5" s="1491"/>
      <c r="T5" s="1491"/>
      <c r="U5" s="1491"/>
      <c r="V5" s="1491"/>
      <c r="AA5" s="1491"/>
      <c r="AB5" s="1491"/>
      <c r="AC5" s="1491"/>
      <c r="AD5" s="1491"/>
      <c r="AE5" s="1491"/>
      <c r="AF5" s="1491"/>
      <c r="AO5" s="1491"/>
      <c r="AP5" s="1491"/>
    </row>
    <row r="6" spans="1:42">
      <c r="A6" s="1496" t="s">
        <v>1586</v>
      </c>
      <c r="B6" s="1497">
        <v>3516</v>
      </c>
      <c r="C6" s="1497">
        <v>1400</v>
      </c>
      <c r="D6" s="1498">
        <v>3546</v>
      </c>
      <c r="E6" s="1498">
        <v>1993</v>
      </c>
      <c r="F6" s="1499">
        <v>4561</v>
      </c>
      <c r="G6" s="1499">
        <v>3067</v>
      </c>
      <c r="H6" s="1500">
        <v>8766</v>
      </c>
      <c r="I6" s="1501">
        <v>5036</v>
      </c>
      <c r="J6" s="1500">
        <v>10693</v>
      </c>
      <c r="K6" s="1501">
        <v>8152</v>
      </c>
      <c r="L6" s="1500">
        <v>12457</v>
      </c>
      <c r="M6" s="1501">
        <v>9219</v>
      </c>
      <c r="N6" s="1500">
        <v>414181</v>
      </c>
      <c r="O6" s="1501">
        <v>469225</v>
      </c>
      <c r="P6" s="1497">
        <v>445321</v>
      </c>
      <c r="Q6" s="1497">
        <v>517711</v>
      </c>
      <c r="S6" s="1491"/>
      <c r="T6" s="1491"/>
      <c r="U6" s="1491"/>
      <c r="V6" s="1491"/>
      <c r="AA6" s="1491"/>
      <c r="AB6" s="1491"/>
      <c r="AC6" s="1491"/>
      <c r="AD6" s="1491"/>
      <c r="AE6" s="1491"/>
      <c r="AF6" s="1491"/>
      <c r="AO6" s="1491"/>
      <c r="AP6" s="1491"/>
    </row>
    <row r="7" spans="1:42" s="1510" customFormat="1">
      <c r="A7" s="1504" t="s">
        <v>1587</v>
      </c>
      <c r="B7" s="1505">
        <v>6829</v>
      </c>
      <c r="C7" s="1505">
        <v>5844</v>
      </c>
      <c r="D7" s="1506">
        <v>6889</v>
      </c>
      <c r="E7" s="1506">
        <v>7001</v>
      </c>
      <c r="F7" s="1507">
        <v>7035</v>
      </c>
      <c r="G7" s="1507">
        <v>9427</v>
      </c>
      <c r="H7" s="1508">
        <v>7270</v>
      </c>
      <c r="I7" s="1509">
        <v>10400</v>
      </c>
      <c r="J7" s="1508">
        <v>7573</v>
      </c>
      <c r="K7" s="1509">
        <v>11093</v>
      </c>
      <c r="L7" s="1508">
        <v>7780</v>
      </c>
      <c r="M7" s="1509">
        <v>11710</v>
      </c>
      <c r="N7" s="1500">
        <v>174246</v>
      </c>
      <c r="O7" s="1501">
        <v>211503</v>
      </c>
      <c r="P7" s="1497">
        <v>185505</v>
      </c>
      <c r="Q7" s="1497">
        <v>230543</v>
      </c>
    </row>
    <row r="8" spans="1:42">
      <c r="A8" s="1496" t="s">
        <v>855</v>
      </c>
      <c r="B8" s="1497">
        <v>19468</v>
      </c>
      <c r="C8" s="1497">
        <v>12130</v>
      </c>
      <c r="D8" s="1498">
        <v>21872</v>
      </c>
      <c r="E8" s="1498">
        <v>14268</v>
      </c>
      <c r="F8" s="1503">
        <v>17712</v>
      </c>
      <c r="G8" s="1503">
        <v>9481</v>
      </c>
      <c r="H8" s="1500">
        <v>15982</v>
      </c>
      <c r="I8" s="1501">
        <v>6635</v>
      </c>
      <c r="J8" s="1500">
        <v>18814</v>
      </c>
      <c r="K8" s="1501">
        <v>7348</v>
      </c>
      <c r="L8" s="1500">
        <v>14536</v>
      </c>
      <c r="M8" s="1501">
        <v>7032</v>
      </c>
      <c r="N8" s="1500">
        <v>204590</v>
      </c>
      <c r="O8" s="1501">
        <v>220020</v>
      </c>
      <c r="P8" s="1497">
        <v>209680</v>
      </c>
      <c r="Q8" s="1497">
        <v>225867</v>
      </c>
      <c r="S8" s="1491"/>
      <c r="T8" s="1491"/>
      <c r="U8" s="1491"/>
      <c r="V8" s="1491"/>
      <c r="AA8" s="1491"/>
      <c r="AB8" s="1491"/>
      <c r="AC8" s="1491"/>
      <c r="AD8" s="1491"/>
      <c r="AE8" s="1491"/>
      <c r="AF8" s="1491"/>
      <c r="AO8" s="1491"/>
      <c r="AP8" s="1491"/>
    </row>
    <row r="9" spans="1:42">
      <c r="A9" s="1496" t="s">
        <v>1588</v>
      </c>
      <c r="B9" s="1497">
        <v>8341</v>
      </c>
      <c r="C9" s="1497">
        <v>10177</v>
      </c>
      <c r="D9" s="1498">
        <v>9478</v>
      </c>
      <c r="E9" s="1498">
        <v>10157</v>
      </c>
      <c r="F9" s="1499">
        <v>9558</v>
      </c>
      <c r="G9" s="1499">
        <v>10005</v>
      </c>
      <c r="H9" s="1500">
        <v>8683</v>
      </c>
      <c r="I9" s="1501">
        <v>10414</v>
      </c>
      <c r="J9" s="1500">
        <v>7238</v>
      </c>
      <c r="K9" s="1501">
        <v>8876</v>
      </c>
      <c r="L9" s="1500">
        <v>6230</v>
      </c>
      <c r="M9" s="1501">
        <v>7592</v>
      </c>
      <c r="N9" s="1500">
        <v>172491</v>
      </c>
      <c r="O9" s="1501">
        <v>203781</v>
      </c>
      <c r="P9" s="1497">
        <v>170815</v>
      </c>
      <c r="Q9" s="1497">
        <v>206068</v>
      </c>
      <c r="S9" s="1491"/>
      <c r="T9" s="1491"/>
      <c r="U9" s="1491"/>
      <c r="V9" s="1491"/>
      <c r="AA9" s="1491"/>
      <c r="AB9" s="1491"/>
      <c r="AC9" s="1491"/>
      <c r="AD9" s="1491"/>
      <c r="AE9" s="1491"/>
      <c r="AF9" s="1491"/>
      <c r="AO9" s="1491"/>
      <c r="AP9" s="1491"/>
    </row>
    <row r="10" spans="1:42">
      <c r="A10" s="1496" t="s">
        <v>859</v>
      </c>
      <c r="B10" s="1497">
        <v>5544</v>
      </c>
      <c r="C10" s="1497">
        <v>3463</v>
      </c>
      <c r="D10" s="1498">
        <v>6317</v>
      </c>
      <c r="E10" s="1498">
        <v>4667</v>
      </c>
      <c r="F10" s="1503">
        <v>6050</v>
      </c>
      <c r="G10" s="1503">
        <v>4843</v>
      </c>
      <c r="H10" s="1500">
        <v>5390</v>
      </c>
      <c r="I10" s="1501">
        <v>4101</v>
      </c>
      <c r="J10" s="1500">
        <v>8285</v>
      </c>
      <c r="K10" s="1501">
        <v>6925</v>
      </c>
      <c r="L10" s="1500">
        <v>8533</v>
      </c>
      <c r="M10" s="1501">
        <v>7840</v>
      </c>
      <c r="N10" s="1500">
        <v>50939</v>
      </c>
      <c r="O10" s="1501">
        <v>62697</v>
      </c>
      <c r="P10" s="1497">
        <v>50141</v>
      </c>
      <c r="Q10" s="1497">
        <v>62124</v>
      </c>
      <c r="S10" s="1491"/>
      <c r="T10" s="1491"/>
      <c r="U10" s="1491"/>
      <c r="V10" s="1491"/>
      <c r="AA10" s="1491"/>
      <c r="AB10" s="1491"/>
      <c r="AC10" s="1491"/>
      <c r="AD10" s="1491"/>
      <c r="AE10" s="1491"/>
      <c r="AF10" s="1491"/>
      <c r="AO10" s="1491"/>
      <c r="AP10" s="1491"/>
    </row>
    <row r="11" spans="1:42">
      <c r="A11" s="1496" t="s">
        <v>1589</v>
      </c>
      <c r="B11" s="1497">
        <v>7860</v>
      </c>
      <c r="C11" s="1497">
        <v>6832</v>
      </c>
      <c r="D11" s="1498">
        <v>9171</v>
      </c>
      <c r="E11" s="1498">
        <v>7848</v>
      </c>
      <c r="F11" s="1503">
        <v>10510</v>
      </c>
      <c r="G11" s="1503">
        <v>7532</v>
      </c>
      <c r="H11" s="1500">
        <v>11484</v>
      </c>
      <c r="I11" s="1501">
        <v>8231</v>
      </c>
      <c r="J11" s="1500">
        <v>15592</v>
      </c>
      <c r="K11" s="1501">
        <v>12403</v>
      </c>
      <c r="L11" s="1500">
        <v>18696</v>
      </c>
      <c r="M11" s="1501">
        <v>16116</v>
      </c>
      <c r="N11" s="1500">
        <v>70409</v>
      </c>
      <c r="O11" s="1501">
        <v>42575</v>
      </c>
      <c r="P11" s="1497">
        <v>66024</v>
      </c>
      <c r="Q11" s="1497">
        <v>42076</v>
      </c>
      <c r="S11" s="1491"/>
      <c r="T11" s="1491"/>
      <c r="U11" s="1491"/>
      <c r="V11" s="1491"/>
      <c r="AA11" s="1491"/>
      <c r="AB11" s="1491"/>
      <c r="AC11" s="1491"/>
      <c r="AD11" s="1491"/>
      <c r="AE11" s="1491"/>
      <c r="AF11" s="1491"/>
      <c r="AO11" s="1491"/>
      <c r="AP11" s="1491"/>
    </row>
    <row r="12" spans="1:42">
      <c r="A12" s="1496" t="s">
        <v>1590</v>
      </c>
      <c r="B12" s="1497">
        <v>6951</v>
      </c>
      <c r="C12" s="1497">
        <v>943</v>
      </c>
      <c r="D12" s="1498">
        <v>8004</v>
      </c>
      <c r="E12" s="1498">
        <v>2857</v>
      </c>
      <c r="F12" s="1503">
        <v>9796</v>
      </c>
      <c r="G12" s="1503">
        <v>4469</v>
      </c>
      <c r="H12" s="1500">
        <v>14364</v>
      </c>
      <c r="I12" s="1501">
        <v>8074</v>
      </c>
      <c r="J12" s="1500">
        <v>15799</v>
      </c>
      <c r="K12" s="1501">
        <v>10402</v>
      </c>
      <c r="L12" s="1500">
        <v>33368</v>
      </c>
      <c r="M12" s="1501">
        <v>14524</v>
      </c>
      <c r="N12" s="1500">
        <v>21396</v>
      </c>
      <c r="O12" s="1501">
        <v>24010</v>
      </c>
      <c r="P12" s="1497">
        <v>22523</v>
      </c>
      <c r="Q12" s="1497">
        <v>25150</v>
      </c>
      <c r="S12" s="1491"/>
      <c r="T12" s="1491"/>
      <c r="U12" s="1491"/>
      <c r="V12" s="1491"/>
      <c r="AA12" s="1491"/>
      <c r="AB12" s="1491"/>
      <c r="AC12" s="1491"/>
      <c r="AD12" s="1491"/>
      <c r="AE12" s="1491"/>
      <c r="AF12" s="1491"/>
      <c r="AO12" s="1491"/>
      <c r="AP12" s="1491"/>
    </row>
    <row r="13" spans="1:42">
      <c r="A13" s="1496" t="s">
        <v>1591</v>
      </c>
      <c r="B13" s="1497">
        <v>1747</v>
      </c>
      <c r="C13" s="1497">
        <v>917</v>
      </c>
      <c r="D13" s="1498">
        <v>2093</v>
      </c>
      <c r="E13" s="1498">
        <v>1131</v>
      </c>
      <c r="F13" s="1499">
        <v>2172</v>
      </c>
      <c r="G13" s="1499">
        <v>1444</v>
      </c>
      <c r="H13" s="1500">
        <v>1971</v>
      </c>
      <c r="I13" s="1501">
        <v>1643</v>
      </c>
      <c r="J13" s="1512"/>
      <c r="K13" s="1513"/>
      <c r="L13" s="1512"/>
      <c r="M13" s="1513"/>
      <c r="N13" s="1500">
        <v>38403</v>
      </c>
      <c r="O13" s="1501">
        <v>20416</v>
      </c>
      <c r="P13" s="1497">
        <v>43778</v>
      </c>
      <c r="Q13" s="1497">
        <v>24318</v>
      </c>
      <c r="S13" s="1491"/>
      <c r="T13" s="1491"/>
      <c r="U13" s="1491"/>
      <c r="V13" s="1491"/>
      <c r="AA13" s="1491"/>
      <c r="AB13" s="1491"/>
      <c r="AC13" s="1491"/>
      <c r="AD13" s="1491"/>
      <c r="AE13" s="1491"/>
      <c r="AF13" s="1491"/>
      <c r="AO13" s="1491"/>
      <c r="AP13" s="1491"/>
    </row>
    <row r="14" spans="1:42">
      <c r="A14" s="1496" t="s">
        <v>1592</v>
      </c>
      <c r="B14" s="1497">
        <v>197449</v>
      </c>
      <c r="C14" s="1497">
        <v>142740</v>
      </c>
      <c r="D14" s="1498">
        <v>227050</v>
      </c>
      <c r="E14" s="1498">
        <v>163053</v>
      </c>
      <c r="F14" s="1503">
        <v>256510</v>
      </c>
      <c r="G14" s="1503">
        <v>200380</v>
      </c>
      <c r="H14" s="1500">
        <v>314310</v>
      </c>
      <c r="I14" s="1501">
        <v>293448</v>
      </c>
      <c r="J14" s="1500">
        <v>358501</v>
      </c>
      <c r="K14" s="1501">
        <v>366949</v>
      </c>
      <c r="L14" s="1500">
        <v>384092</v>
      </c>
      <c r="M14" s="1501">
        <v>420443</v>
      </c>
      <c r="N14" s="1500">
        <v>20509</v>
      </c>
      <c r="O14" s="1501">
        <v>19995</v>
      </c>
      <c r="P14" s="1497">
        <v>22736</v>
      </c>
      <c r="Q14" s="1497">
        <v>22974</v>
      </c>
      <c r="S14" s="1491"/>
      <c r="T14" s="1491"/>
      <c r="U14" s="1491"/>
      <c r="V14" s="1491"/>
      <c r="AA14" s="1491"/>
      <c r="AB14" s="1491"/>
      <c r="AC14" s="1491"/>
      <c r="AD14" s="1491"/>
      <c r="AE14" s="1491"/>
      <c r="AF14" s="1491"/>
      <c r="AO14" s="1491"/>
      <c r="AP14" s="1491"/>
    </row>
    <row r="15" spans="1:42">
      <c r="A15" s="1496" t="s">
        <v>1593</v>
      </c>
      <c r="B15" s="1497">
        <v>2624</v>
      </c>
      <c r="C15" s="1497">
        <v>1232</v>
      </c>
      <c r="D15" s="1498">
        <v>4310</v>
      </c>
      <c r="E15" s="1498">
        <v>2216</v>
      </c>
      <c r="F15" s="1499">
        <v>7933</v>
      </c>
      <c r="G15" s="1499">
        <v>4656</v>
      </c>
      <c r="H15" s="1500">
        <v>7292</v>
      </c>
      <c r="I15" s="1501">
        <v>4416</v>
      </c>
      <c r="J15" s="1500">
        <v>5761</v>
      </c>
      <c r="K15" s="1501">
        <v>4396</v>
      </c>
      <c r="L15" s="1500">
        <v>5438</v>
      </c>
      <c r="M15" s="1501">
        <v>4339</v>
      </c>
      <c r="N15" s="1500">
        <v>23993</v>
      </c>
      <c r="O15" s="1501">
        <v>11864</v>
      </c>
      <c r="P15" s="1497">
        <v>24501</v>
      </c>
      <c r="Q15" s="1497">
        <v>13783</v>
      </c>
      <c r="S15" s="1491"/>
      <c r="T15" s="1491"/>
      <c r="U15" s="1491"/>
      <c r="V15" s="1491"/>
      <c r="AA15" s="1491"/>
      <c r="AB15" s="1491"/>
      <c r="AC15" s="1491"/>
      <c r="AD15" s="1491"/>
      <c r="AE15" s="1491"/>
      <c r="AF15" s="1491"/>
      <c r="AO15" s="1491"/>
      <c r="AP15" s="1491"/>
    </row>
    <row r="16" spans="1:42">
      <c r="A16" s="1496" t="s">
        <v>1594</v>
      </c>
      <c r="B16" s="1497">
        <v>907</v>
      </c>
      <c r="C16" s="1497">
        <v>397</v>
      </c>
      <c r="D16" s="1498">
        <v>1029</v>
      </c>
      <c r="E16" s="1498">
        <v>466</v>
      </c>
      <c r="F16" s="1503">
        <v>980</v>
      </c>
      <c r="G16" s="1503">
        <v>502</v>
      </c>
      <c r="H16" s="1500">
        <v>1214</v>
      </c>
      <c r="I16" s="1501">
        <v>643</v>
      </c>
      <c r="J16" s="1512"/>
      <c r="K16" s="1513"/>
      <c r="L16" s="1512"/>
      <c r="M16" s="1513"/>
      <c r="N16" s="1500">
        <v>7343</v>
      </c>
      <c r="O16" s="1501">
        <v>9132</v>
      </c>
      <c r="P16" s="1497">
        <v>9469</v>
      </c>
      <c r="Q16" s="1497">
        <v>12001</v>
      </c>
      <c r="S16" s="1491"/>
      <c r="T16" s="1491"/>
      <c r="U16" s="1491"/>
      <c r="V16" s="1491"/>
      <c r="AA16" s="1491"/>
      <c r="AB16" s="1491"/>
      <c r="AC16" s="1491"/>
      <c r="AD16" s="1491"/>
      <c r="AE16" s="1491"/>
      <c r="AF16" s="1491"/>
      <c r="AO16" s="1491"/>
      <c r="AP16" s="1491"/>
    </row>
    <row r="17" spans="1:42">
      <c r="A17" s="1496" t="s">
        <v>852</v>
      </c>
      <c r="B17" s="1497">
        <v>4516</v>
      </c>
      <c r="C17" s="1497">
        <v>770</v>
      </c>
      <c r="D17" s="1498">
        <v>5441</v>
      </c>
      <c r="E17" s="1498">
        <v>920</v>
      </c>
      <c r="F17" s="1499">
        <v>5903</v>
      </c>
      <c r="G17" s="1499">
        <v>3098</v>
      </c>
      <c r="H17" s="1500">
        <v>9856</v>
      </c>
      <c r="I17" s="1501">
        <v>5030</v>
      </c>
      <c r="J17" s="1500">
        <v>18001</v>
      </c>
      <c r="K17" s="1501">
        <v>7659</v>
      </c>
      <c r="L17" s="1500">
        <v>22927</v>
      </c>
      <c r="M17" s="1501">
        <v>8438</v>
      </c>
      <c r="N17" s="1508">
        <v>7933</v>
      </c>
      <c r="O17" s="1509">
        <v>11687</v>
      </c>
      <c r="P17" s="1505">
        <v>8078</v>
      </c>
      <c r="Q17" s="1505">
        <v>11742</v>
      </c>
      <c r="S17" s="1491"/>
      <c r="T17" s="1491"/>
      <c r="U17" s="1491"/>
      <c r="V17" s="1491"/>
      <c r="AA17" s="1491"/>
      <c r="AB17" s="1491"/>
      <c r="AC17" s="1491"/>
      <c r="AD17" s="1491"/>
      <c r="AE17" s="1491"/>
      <c r="AF17" s="1491"/>
      <c r="AO17" s="1491"/>
      <c r="AP17" s="1491"/>
    </row>
    <row r="18" spans="1:42">
      <c r="A18" s="1496" t="s">
        <v>845</v>
      </c>
      <c r="B18" s="1497">
        <v>210073</v>
      </c>
      <c r="C18" s="1497">
        <v>977</v>
      </c>
      <c r="D18" s="1498">
        <v>227252</v>
      </c>
      <c r="E18" s="1498">
        <v>19234</v>
      </c>
      <c r="F18" s="1503">
        <v>192178</v>
      </c>
      <c r="G18" s="1503">
        <v>57337</v>
      </c>
      <c r="H18" s="1500">
        <v>142571</v>
      </c>
      <c r="I18" s="1501">
        <v>68031</v>
      </c>
      <c r="J18" s="1500">
        <v>119566</v>
      </c>
      <c r="K18" s="1501">
        <v>67512</v>
      </c>
      <c r="L18" s="1500">
        <v>86465</v>
      </c>
      <c r="M18" s="1501">
        <v>50551</v>
      </c>
      <c r="N18" s="1500">
        <v>9448</v>
      </c>
      <c r="O18" s="1501">
        <v>9351</v>
      </c>
      <c r="P18" s="1497">
        <v>10725</v>
      </c>
      <c r="Q18" s="1497">
        <v>10360</v>
      </c>
      <c r="S18" s="1491"/>
      <c r="T18" s="1491"/>
      <c r="U18" s="1491"/>
      <c r="V18" s="1491"/>
      <c r="AA18" s="1491"/>
      <c r="AB18" s="1491"/>
      <c r="AC18" s="1491"/>
      <c r="AD18" s="1491"/>
      <c r="AE18" s="1491"/>
      <c r="AF18" s="1491"/>
      <c r="AO18" s="1491"/>
      <c r="AP18" s="1491"/>
    </row>
    <row r="19" spans="1:42">
      <c r="A19" s="1496" t="s">
        <v>846</v>
      </c>
      <c r="B19" s="1497">
        <v>7003</v>
      </c>
      <c r="C19" s="1497">
        <v>10256</v>
      </c>
      <c r="D19" s="1498">
        <v>57174</v>
      </c>
      <c r="E19" s="1498">
        <v>73642</v>
      </c>
      <c r="F19" s="1499">
        <v>67590</v>
      </c>
      <c r="G19" s="1499">
        <v>81057</v>
      </c>
      <c r="H19" s="1500">
        <v>70283</v>
      </c>
      <c r="I19" s="1501">
        <v>86841</v>
      </c>
      <c r="J19" s="1500">
        <v>64673</v>
      </c>
      <c r="K19" s="1501">
        <v>78845</v>
      </c>
      <c r="L19" s="1500">
        <v>53631</v>
      </c>
      <c r="M19" s="1501">
        <v>65256</v>
      </c>
      <c r="N19" s="1500">
        <v>7362</v>
      </c>
      <c r="O19" s="1501">
        <v>9285</v>
      </c>
      <c r="P19" s="1497">
        <v>13924</v>
      </c>
      <c r="Q19" s="1497">
        <v>9710</v>
      </c>
      <c r="S19" s="1491"/>
      <c r="T19" s="1491"/>
      <c r="U19" s="1491"/>
      <c r="V19" s="1491"/>
      <c r="AA19" s="1491"/>
      <c r="AB19" s="1491"/>
      <c r="AC19" s="1491"/>
      <c r="AD19" s="1491"/>
      <c r="AE19" s="1491"/>
      <c r="AF19" s="1491"/>
      <c r="AO19" s="1491"/>
      <c r="AP19" s="1491"/>
    </row>
    <row r="20" spans="1:42">
      <c r="A20" s="1496" t="s">
        <v>1595</v>
      </c>
      <c r="B20" s="1497">
        <v>1934</v>
      </c>
      <c r="C20" s="1497">
        <v>381</v>
      </c>
      <c r="D20" s="1498">
        <v>2392</v>
      </c>
      <c r="E20" s="1498">
        <v>902</v>
      </c>
      <c r="F20" s="1514"/>
      <c r="G20" s="1514"/>
      <c r="H20" s="1512"/>
      <c r="I20" s="1513"/>
      <c r="J20" s="1512"/>
      <c r="K20" s="1513"/>
      <c r="L20" s="1512"/>
      <c r="M20" s="1513"/>
      <c r="N20" s="1500">
        <v>11292</v>
      </c>
      <c r="O20" s="1501">
        <v>6577</v>
      </c>
      <c r="P20" s="1497">
        <v>13446</v>
      </c>
      <c r="Q20" s="1497">
        <v>8774</v>
      </c>
      <c r="S20" s="1491"/>
      <c r="T20" s="1491"/>
      <c r="U20" s="1491"/>
      <c r="V20" s="1491"/>
      <c r="AA20" s="1491"/>
      <c r="AB20" s="1491"/>
      <c r="AC20" s="1491"/>
      <c r="AD20" s="1491"/>
      <c r="AE20" s="1491"/>
      <c r="AF20" s="1491"/>
      <c r="AO20" s="1491"/>
      <c r="AP20" s="1491"/>
    </row>
    <row r="21" spans="1:42">
      <c r="A21" s="1496" t="s">
        <v>844</v>
      </c>
      <c r="B21" s="1497">
        <v>78836</v>
      </c>
      <c r="C21" s="1497">
        <v>70409</v>
      </c>
      <c r="D21" s="1498">
        <v>82797</v>
      </c>
      <c r="E21" s="1498">
        <v>71730</v>
      </c>
      <c r="F21" s="1499">
        <v>102625</v>
      </c>
      <c r="G21" s="1499">
        <v>87054</v>
      </c>
      <c r="H21" s="1500">
        <v>110825</v>
      </c>
      <c r="I21" s="1501">
        <v>114564</v>
      </c>
      <c r="J21" s="1500">
        <v>116142</v>
      </c>
      <c r="K21" s="1501">
        <v>131757</v>
      </c>
      <c r="L21" s="1500">
        <v>119156</v>
      </c>
      <c r="M21" s="1501">
        <v>139876</v>
      </c>
      <c r="N21" s="1500">
        <v>11040</v>
      </c>
      <c r="O21" s="1501">
        <v>8299</v>
      </c>
      <c r="P21" s="1497">
        <v>11805</v>
      </c>
      <c r="Q21" s="1497">
        <v>8493</v>
      </c>
      <c r="S21" s="1491"/>
      <c r="T21" s="1491"/>
      <c r="U21" s="1491"/>
      <c r="V21" s="1491"/>
      <c r="AA21" s="1491"/>
      <c r="AB21" s="1491"/>
      <c r="AC21" s="1491"/>
      <c r="AD21" s="1491"/>
      <c r="AE21" s="1491"/>
      <c r="AF21" s="1491"/>
      <c r="AO21" s="1491"/>
      <c r="AP21" s="1491"/>
    </row>
    <row r="22" spans="1:42">
      <c r="A22" s="1496" t="s">
        <v>1596</v>
      </c>
      <c r="B22" s="1497">
        <v>14707</v>
      </c>
      <c r="C22" s="1497">
        <v>8557</v>
      </c>
      <c r="D22" s="1498">
        <v>15146</v>
      </c>
      <c r="E22" s="1498">
        <v>8887</v>
      </c>
      <c r="F22" s="1503">
        <v>14472</v>
      </c>
      <c r="G22" s="1503">
        <v>11225</v>
      </c>
      <c r="H22" s="1500">
        <v>16153</v>
      </c>
      <c r="I22" s="1501">
        <v>17536</v>
      </c>
      <c r="J22" s="1500">
        <v>18518</v>
      </c>
      <c r="K22" s="1501">
        <v>20811</v>
      </c>
      <c r="L22" s="1500">
        <v>20657</v>
      </c>
      <c r="M22" s="1501">
        <v>22282</v>
      </c>
      <c r="N22" s="1500">
        <v>6321</v>
      </c>
      <c r="O22" s="1501">
        <v>6966</v>
      </c>
      <c r="P22" s="1497">
        <v>6137</v>
      </c>
      <c r="Q22" s="1497">
        <v>6254</v>
      </c>
      <c r="S22" s="1491"/>
      <c r="T22" s="1491"/>
      <c r="U22" s="1491"/>
      <c r="V22" s="1491"/>
      <c r="AA22" s="1491"/>
      <c r="AB22" s="1491"/>
      <c r="AC22" s="1491"/>
      <c r="AD22" s="1491"/>
      <c r="AE22" s="1491"/>
      <c r="AF22" s="1491"/>
      <c r="AO22" s="1491"/>
      <c r="AP22" s="1491"/>
    </row>
    <row r="23" spans="1:42">
      <c r="A23" s="1496" t="s">
        <v>1597</v>
      </c>
      <c r="B23" s="1497">
        <v>601</v>
      </c>
      <c r="C23" s="1497">
        <v>327</v>
      </c>
      <c r="D23" s="1498">
        <v>680</v>
      </c>
      <c r="E23" s="1498">
        <v>437</v>
      </c>
      <c r="F23" s="1503">
        <v>946</v>
      </c>
      <c r="G23" s="1503">
        <v>618</v>
      </c>
      <c r="H23" s="1500">
        <v>771</v>
      </c>
      <c r="I23" s="1501">
        <v>732</v>
      </c>
      <c r="J23" s="1500">
        <v>750</v>
      </c>
      <c r="K23" s="1501">
        <v>638</v>
      </c>
      <c r="L23" s="1500">
        <v>612</v>
      </c>
      <c r="M23" s="1501">
        <v>594</v>
      </c>
      <c r="N23" s="1500">
        <v>9912</v>
      </c>
      <c r="O23" s="1501">
        <v>5342</v>
      </c>
      <c r="P23" s="1497">
        <v>9317</v>
      </c>
      <c r="Q23" s="1497">
        <v>5354</v>
      </c>
      <c r="S23" s="1491"/>
      <c r="T23" s="1491"/>
      <c r="U23" s="1491"/>
      <c r="V23" s="1491"/>
      <c r="AA23" s="1491"/>
      <c r="AB23" s="1491"/>
      <c r="AC23" s="1491"/>
      <c r="AD23" s="1491"/>
      <c r="AE23" s="1491"/>
      <c r="AF23" s="1491"/>
      <c r="AO23" s="1491"/>
      <c r="AP23" s="1491"/>
    </row>
    <row r="24" spans="1:42">
      <c r="A24" s="1496" t="s">
        <v>1598</v>
      </c>
      <c r="B24" s="1497">
        <v>5870</v>
      </c>
      <c r="C24" s="1497">
        <v>5433</v>
      </c>
      <c r="D24" s="1498">
        <v>6047</v>
      </c>
      <c r="E24" s="1498">
        <v>5422</v>
      </c>
      <c r="F24" s="1499">
        <v>5848</v>
      </c>
      <c r="G24" s="1499">
        <v>6365</v>
      </c>
      <c r="H24" s="1500">
        <v>6661</v>
      </c>
      <c r="I24" s="1501">
        <v>8019</v>
      </c>
      <c r="J24" s="1500">
        <v>7855</v>
      </c>
      <c r="K24" s="1501">
        <v>9860</v>
      </c>
      <c r="L24" s="1500">
        <v>7412</v>
      </c>
      <c r="M24" s="1501">
        <v>9406</v>
      </c>
      <c r="N24" s="1500">
        <v>2371</v>
      </c>
      <c r="O24" s="1501">
        <v>4053</v>
      </c>
      <c r="P24" s="1497">
        <v>2440</v>
      </c>
      <c r="Q24" s="1497">
        <v>4001</v>
      </c>
      <c r="S24" s="1491"/>
      <c r="T24" s="1491"/>
      <c r="U24" s="1491"/>
      <c r="V24" s="1491"/>
      <c r="AA24" s="1491"/>
      <c r="AB24" s="1491"/>
      <c r="AC24" s="1491"/>
      <c r="AD24" s="1491"/>
      <c r="AE24" s="1491"/>
      <c r="AF24" s="1491"/>
      <c r="AO24" s="1491"/>
      <c r="AP24" s="1491"/>
    </row>
    <row r="25" spans="1:42" ht="19.5">
      <c r="A25" s="1496" t="s">
        <v>1599</v>
      </c>
      <c r="B25" s="1497">
        <v>5569</v>
      </c>
      <c r="C25" s="1497">
        <v>615</v>
      </c>
      <c r="D25" s="1498">
        <v>6221</v>
      </c>
      <c r="E25" s="1498">
        <v>927</v>
      </c>
      <c r="F25" s="1499">
        <v>6963</v>
      </c>
      <c r="G25" s="1499">
        <v>2380</v>
      </c>
      <c r="H25" s="1500">
        <v>6774</v>
      </c>
      <c r="I25" s="1501">
        <v>2361</v>
      </c>
      <c r="J25" s="1500">
        <v>5365</v>
      </c>
      <c r="K25" s="1501">
        <v>1901</v>
      </c>
      <c r="L25" s="1500">
        <v>3983</v>
      </c>
      <c r="M25" s="1501">
        <v>1433</v>
      </c>
      <c r="N25" s="1500">
        <v>1933</v>
      </c>
      <c r="O25" s="1501">
        <v>2617</v>
      </c>
      <c r="P25" s="1497">
        <v>1809</v>
      </c>
      <c r="Q25" s="1497">
        <v>2219</v>
      </c>
      <c r="S25" s="1491"/>
      <c r="T25" s="1491"/>
      <c r="U25" s="1491"/>
      <c r="V25" s="1491"/>
      <c r="AA25" s="1491"/>
      <c r="AB25" s="1491"/>
      <c r="AC25" s="1491"/>
      <c r="AD25" s="1491"/>
      <c r="AE25" s="1491"/>
      <c r="AF25" s="1491"/>
      <c r="AO25" s="1491"/>
      <c r="AP25" s="1491"/>
    </row>
    <row r="26" spans="1:42">
      <c r="A26" s="1496" t="s">
        <v>1600</v>
      </c>
      <c r="B26" s="1497">
        <v>2629</v>
      </c>
      <c r="C26" s="1497">
        <v>2565</v>
      </c>
      <c r="D26" s="1498">
        <v>3387</v>
      </c>
      <c r="E26" s="1498">
        <v>3715</v>
      </c>
      <c r="F26" s="1503">
        <v>3357</v>
      </c>
      <c r="G26" s="1503">
        <v>3892</v>
      </c>
      <c r="H26" s="1500">
        <v>3485</v>
      </c>
      <c r="I26" s="1501">
        <v>3904</v>
      </c>
      <c r="J26" s="1500">
        <v>2730</v>
      </c>
      <c r="K26" s="1501">
        <v>3809</v>
      </c>
      <c r="L26" s="1500">
        <v>2258</v>
      </c>
      <c r="M26" s="1501">
        <v>3080</v>
      </c>
      <c r="N26" s="1500">
        <v>3213</v>
      </c>
      <c r="O26" s="1501">
        <v>1443</v>
      </c>
      <c r="P26" s="1497">
        <v>2846</v>
      </c>
      <c r="Q26" s="1497">
        <v>1334</v>
      </c>
      <c r="S26" s="1491"/>
      <c r="T26" s="1491"/>
      <c r="U26" s="1491"/>
      <c r="V26" s="1491"/>
      <c r="AA26" s="1491"/>
      <c r="AB26" s="1491"/>
      <c r="AC26" s="1491"/>
      <c r="AD26" s="1491"/>
      <c r="AE26" s="1491"/>
      <c r="AF26" s="1491"/>
      <c r="AO26" s="1491"/>
      <c r="AP26" s="1491"/>
    </row>
    <row r="27" spans="1:42">
      <c r="A27" s="1496" t="s">
        <v>1601</v>
      </c>
      <c r="B27" s="1497">
        <v>8743</v>
      </c>
      <c r="C27" s="1497">
        <v>4859</v>
      </c>
      <c r="D27" s="1498">
        <v>9214</v>
      </c>
      <c r="E27" s="1498">
        <v>7217</v>
      </c>
      <c r="F27" s="1503">
        <v>8482</v>
      </c>
      <c r="G27" s="1503">
        <v>8146</v>
      </c>
      <c r="H27" s="1500">
        <v>8398</v>
      </c>
      <c r="I27" s="1501">
        <v>8625</v>
      </c>
      <c r="J27" s="1500">
        <v>8466</v>
      </c>
      <c r="K27" s="1501">
        <v>9715</v>
      </c>
      <c r="L27" s="1500">
        <v>7517</v>
      </c>
      <c r="M27" s="1501">
        <v>9176</v>
      </c>
      <c r="N27" s="1500">
        <v>962</v>
      </c>
      <c r="O27" s="1501">
        <v>981</v>
      </c>
      <c r="P27" s="1497">
        <v>980</v>
      </c>
      <c r="Q27" s="1497">
        <v>994</v>
      </c>
      <c r="S27" s="1491"/>
      <c r="T27" s="1491"/>
      <c r="U27" s="1491"/>
      <c r="V27" s="1491"/>
      <c r="AA27" s="1491"/>
      <c r="AB27" s="1491"/>
      <c r="AC27" s="1491"/>
      <c r="AD27" s="1491"/>
      <c r="AE27" s="1491"/>
      <c r="AF27" s="1491"/>
      <c r="AO27" s="1491"/>
      <c r="AP27" s="1491"/>
    </row>
    <row r="28" spans="1:42">
      <c r="A28" s="1496" t="s">
        <v>1602</v>
      </c>
      <c r="B28" s="1497">
        <v>77622</v>
      </c>
      <c r="C28" s="1497">
        <v>70992</v>
      </c>
      <c r="D28" s="1498">
        <v>84534</v>
      </c>
      <c r="E28" s="1498">
        <v>76353</v>
      </c>
      <c r="F28" s="1499">
        <v>98991</v>
      </c>
      <c r="G28" s="1499">
        <v>91158</v>
      </c>
      <c r="H28" s="1500">
        <v>119044</v>
      </c>
      <c r="I28" s="1501">
        <v>123337</v>
      </c>
      <c r="J28" s="1500">
        <v>143190</v>
      </c>
      <c r="K28" s="1501">
        <v>155949</v>
      </c>
      <c r="L28" s="1500">
        <v>153793</v>
      </c>
      <c r="M28" s="1501">
        <v>177740</v>
      </c>
      <c r="N28" s="1500">
        <v>578</v>
      </c>
      <c r="O28" s="1501">
        <v>547</v>
      </c>
      <c r="P28" s="1497">
        <v>551</v>
      </c>
      <c r="Q28" s="1497">
        <v>527</v>
      </c>
      <c r="S28" s="1491"/>
      <c r="T28" s="1491"/>
      <c r="U28" s="1491"/>
      <c r="V28" s="1491"/>
      <c r="AA28" s="1491"/>
      <c r="AB28" s="1491"/>
      <c r="AC28" s="1491"/>
      <c r="AD28" s="1491"/>
      <c r="AE28" s="1491"/>
      <c r="AF28" s="1491"/>
      <c r="AO28" s="1491"/>
      <c r="AP28" s="1491"/>
    </row>
    <row r="29" spans="1:42">
      <c r="A29" s="1496" t="s">
        <v>1603</v>
      </c>
      <c r="B29" s="1497">
        <v>2473</v>
      </c>
      <c r="C29" s="1497">
        <v>2444</v>
      </c>
      <c r="D29" s="1498">
        <v>2502</v>
      </c>
      <c r="E29" s="1498">
        <v>2753</v>
      </c>
      <c r="F29" s="1503">
        <v>2316</v>
      </c>
      <c r="G29" s="1503">
        <v>3660</v>
      </c>
      <c r="H29" s="1500">
        <v>2395</v>
      </c>
      <c r="I29" s="1501">
        <v>3845</v>
      </c>
      <c r="J29" s="1500">
        <v>2475</v>
      </c>
      <c r="K29" s="1501">
        <v>4397</v>
      </c>
      <c r="L29" s="1500">
        <v>2453</v>
      </c>
      <c r="M29" s="1501">
        <v>4339</v>
      </c>
      <c r="N29" s="1512"/>
      <c r="O29" s="1513"/>
      <c r="P29" s="1511"/>
      <c r="Q29" s="1511"/>
      <c r="S29" s="1491"/>
      <c r="T29" s="1491"/>
      <c r="U29" s="1491"/>
      <c r="V29" s="1491"/>
      <c r="AA29" s="1491"/>
      <c r="AB29" s="1491"/>
      <c r="AC29" s="1491"/>
      <c r="AD29" s="1491"/>
      <c r="AE29" s="1491"/>
      <c r="AF29" s="1491"/>
      <c r="AO29" s="1491"/>
      <c r="AP29" s="1491"/>
    </row>
    <row r="30" spans="1:42">
      <c r="A30" s="1496" t="s">
        <v>1604</v>
      </c>
      <c r="B30" s="1497">
        <v>2960</v>
      </c>
      <c r="C30" s="1497">
        <v>2071</v>
      </c>
      <c r="D30" s="1498">
        <v>2946</v>
      </c>
      <c r="E30" s="1498">
        <v>2006</v>
      </c>
      <c r="F30" s="1499">
        <v>2656</v>
      </c>
      <c r="G30" s="1499">
        <v>2308</v>
      </c>
      <c r="H30" s="1500">
        <v>1686</v>
      </c>
      <c r="I30" s="1501">
        <v>1605</v>
      </c>
      <c r="J30" s="1500">
        <v>1149</v>
      </c>
      <c r="K30" s="1501">
        <v>1173</v>
      </c>
      <c r="L30" s="1500">
        <v>981</v>
      </c>
      <c r="M30" s="1501">
        <v>1002</v>
      </c>
      <c r="N30" s="1512"/>
      <c r="O30" s="1513"/>
      <c r="P30" s="1511"/>
      <c r="Q30" s="1511"/>
      <c r="S30" s="1491"/>
      <c r="T30" s="1491"/>
      <c r="U30" s="1491"/>
      <c r="V30" s="1491"/>
      <c r="AA30" s="1491"/>
      <c r="AB30" s="1491"/>
      <c r="AC30" s="1491"/>
      <c r="AD30" s="1491"/>
      <c r="AE30" s="1491"/>
      <c r="AF30" s="1491"/>
      <c r="AO30" s="1491"/>
      <c r="AP30" s="1491"/>
    </row>
    <row r="31" spans="1:42" ht="24.75" customHeight="1">
      <c r="A31" s="1496" t="s">
        <v>1605</v>
      </c>
      <c r="B31" s="1497">
        <v>57190</v>
      </c>
      <c r="C31" s="1497">
        <v>15768</v>
      </c>
      <c r="D31" s="1498">
        <v>83466</v>
      </c>
      <c r="E31" s="1498">
        <v>23865</v>
      </c>
      <c r="F31" s="1503">
        <v>88892</v>
      </c>
      <c r="G31" s="1503">
        <v>46801</v>
      </c>
      <c r="H31" s="1500">
        <v>131895</v>
      </c>
      <c r="I31" s="1501">
        <v>106214</v>
      </c>
      <c r="J31" s="1500">
        <v>167405</v>
      </c>
      <c r="K31" s="1501">
        <v>167611</v>
      </c>
      <c r="L31" s="1500">
        <v>194649</v>
      </c>
      <c r="M31" s="1501">
        <v>209939</v>
      </c>
      <c r="N31" s="1512"/>
      <c r="O31" s="1513"/>
      <c r="P31" s="1511"/>
      <c r="Q31" s="1511"/>
      <c r="S31" s="1491"/>
      <c r="T31" s="1491"/>
      <c r="U31" s="1491"/>
      <c r="V31" s="1491"/>
      <c r="AA31" s="1491"/>
      <c r="AB31" s="1491"/>
      <c r="AC31" s="1491"/>
      <c r="AD31" s="1491"/>
      <c r="AE31" s="1491"/>
      <c r="AF31" s="1491"/>
      <c r="AO31" s="1491"/>
      <c r="AP31" s="1491"/>
    </row>
    <row r="32" spans="1:42">
      <c r="A32" s="1496" t="s">
        <v>1606</v>
      </c>
      <c r="B32" s="1497">
        <v>28982</v>
      </c>
      <c r="C32" s="1497">
        <v>32153</v>
      </c>
      <c r="D32" s="1498">
        <v>30984</v>
      </c>
      <c r="E32" s="1498">
        <v>34858</v>
      </c>
      <c r="F32" s="1499">
        <v>30183</v>
      </c>
      <c r="G32" s="1499">
        <v>35348</v>
      </c>
      <c r="H32" s="1500">
        <v>31386</v>
      </c>
      <c r="I32" s="1501">
        <v>38301</v>
      </c>
      <c r="J32" s="1500">
        <v>34483</v>
      </c>
      <c r="K32" s="1501">
        <v>41496</v>
      </c>
      <c r="L32" s="1500">
        <v>34540</v>
      </c>
      <c r="M32" s="1501">
        <v>40274</v>
      </c>
      <c r="N32" s="1512"/>
      <c r="O32" s="1513"/>
      <c r="P32" s="1511"/>
      <c r="Q32" s="1511"/>
      <c r="S32" s="1491"/>
      <c r="T32" s="1491"/>
      <c r="U32" s="1491"/>
      <c r="V32" s="1491"/>
      <c r="AA32" s="1491"/>
      <c r="AB32" s="1491"/>
      <c r="AC32" s="1491"/>
      <c r="AD32" s="1491"/>
      <c r="AE32" s="1491"/>
      <c r="AF32" s="1491"/>
      <c r="AO32" s="1491"/>
      <c r="AP32" s="1491"/>
    </row>
    <row r="33" spans="1:42" s="1516" customFormat="1" ht="15">
      <c r="A33" s="1515" t="s">
        <v>1607</v>
      </c>
      <c r="B33" s="1517">
        <v>786177</v>
      </c>
      <c r="C33" s="1517">
        <v>419106</v>
      </c>
      <c r="D33" s="1517">
        <f t="shared" ref="D33:K33" si="0">SUM(D5:D32)</f>
        <v>948286</v>
      </c>
      <c r="E33" s="1517">
        <f t="shared" si="0"/>
        <v>563921</v>
      </c>
      <c r="F33" s="1517">
        <f t="shared" si="0"/>
        <v>992746</v>
      </c>
      <c r="G33" s="1517">
        <f t="shared" si="0"/>
        <v>718099</v>
      </c>
      <c r="H33" s="1517">
        <f t="shared" si="0"/>
        <v>1084705</v>
      </c>
      <c r="I33" s="1517">
        <f t="shared" si="0"/>
        <v>965195</v>
      </c>
      <c r="J33" s="1517">
        <f t="shared" si="0"/>
        <v>1183463</v>
      </c>
      <c r="K33" s="1517">
        <f t="shared" si="0"/>
        <v>1163938</v>
      </c>
      <c r="L33" s="1517">
        <f t="shared" ref="L33:Q33" si="1">SUM(L5:L32)</f>
        <v>1224959</v>
      </c>
      <c r="M33" s="1517">
        <f t="shared" si="1"/>
        <v>1266038</v>
      </c>
      <c r="N33" s="1517">
        <f t="shared" si="1"/>
        <v>1270865</v>
      </c>
      <c r="O33" s="1517">
        <f t="shared" si="1"/>
        <v>1362366</v>
      </c>
      <c r="P33" s="1517">
        <f t="shared" si="1"/>
        <v>1332551</v>
      </c>
      <c r="Q33" s="1517">
        <f t="shared" si="1"/>
        <v>1452377</v>
      </c>
    </row>
    <row r="34" spans="1:42">
      <c r="S34" s="1491"/>
      <c r="T34" s="1491"/>
      <c r="U34" s="1491"/>
      <c r="V34" s="1491"/>
      <c r="AA34" s="1491"/>
      <c r="AB34" s="1491"/>
      <c r="AC34" s="1491"/>
      <c r="AD34" s="1491"/>
      <c r="AE34" s="1491"/>
      <c r="AF34" s="1491"/>
      <c r="AO34" s="1491"/>
      <c r="AP34" s="1491"/>
    </row>
    <row r="35" spans="1:42">
      <c r="S35" s="1491"/>
      <c r="T35" s="1491"/>
      <c r="U35" s="1491"/>
      <c r="V35" s="1491"/>
      <c r="AA35" s="1491"/>
      <c r="AB35" s="1491"/>
      <c r="AC35" s="1491"/>
      <c r="AD35" s="1491"/>
      <c r="AE35" s="1491"/>
      <c r="AF35" s="1491"/>
      <c r="AO35" s="1491"/>
      <c r="AP35" s="1491"/>
    </row>
    <row r="36" spans="1:42">
      <c r="J36" s="1492"/>
      <c r="K36" s="1492"/>
      <c r="L36" s="1492"/>
      <c r="M36" s="1492"/>
      <c r="N36" s="1492"/>
      <c r="O36" s="1492"/>
      <c r="S36" s="1491"/>
      <c r="T36" s="1491"/>
      <c r="U36" s="1491"/>
      <c r="V36" s="1491"/>
      <c r="AA36" s="1491"/>
      <c r="AB36" s="1491"/>
      <c r="AC36" s="1491"/>
      <c r="AD36" s="1491"/>
      <c r="AE36" s="1491"/>
      <c r="AF36" s="1491"/>
      <c r="AO36" s="1491"/>
      <c r="AP36" s="1491"/>
    </row>
  </sheetData>
  <mergeCells count="11">
    <mergeCell ref="P3:Q3"/>
    <mergeCell ref="A1:Q1"/>
    <mergeCell ref="N3:O3"/>
    <mergeCell ref="L3:M3"/>
    <mergeCell ref="J3:K3"/>
    <mergeCell ref="H3:I3"/>
    <mergeCell ref="F3:G3"/>
    <mergeCell ref="A2:I2"/>
    <mergeCell ref="A3:A4"/>
    <mergeCell ref="B3:C3"/>
    <mergeCell ref="D3:E3"/>
  </mergeCells>
  <printOptions horizontalCentered="1"/>
  <pageMargins left="0.7" right="0.7" top="0.75" bottom="0.75" header="0.3" footer="0.3"/>
  <pageSetup scale="77" orientation="landscape" r:id="rId1"/>
  <headerFooter>
    <oddHeader>&amp;CDependientes y Titulares por Mes</oddHeader>
    <oddFooter>Page &amp;P of &amp;N</oddFooter>
  </headerFooter>
  <colBreaks count="12" manualBreakCount="12">
    <brk id="9" min="1" max="32" man="1"/>
    <brk id="24" min="1" max="32" man="1"/>
    <brk id="36" min="1" max="32" man="1"/>
    <brk id="44" min="1" max="32" man="1"/>
    <brk id="52" min="1" max="32" man="1"/>
    <brk id="64" min="1" max="32" man="1"/>
    <brk id="76" min="1" max="32" man="1"/>
    <brk id="88" min="1" max="32" man="1"/>
    <brk id="100" min="1" max="32" man="1"/>
    <brk id="114" min="1" max="32" man="1"/>
    <brk id="126" min="1" max="32" man="1"/>
    <brk id="138" min="1" max="32"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00B0F0"/>
    <pageSetUpPr fitToPage="1"/>
  </sheetPr>
  <dimension ref="A1:AD45"/>
  <sheetViews>
    <sheetView showGridLines="0" view="pageBreakPreview" zoomScale="70" zoomScaleNormal="66" zoomScaleSheetLayoutView="70" workbookViewId="0">
      <selection activeCell="A2" sqref="A2:L3"/>
    </sheetView>
  </sheetViews>
  <sheetFormatPr baseColWidth="10" defaultColWidth="11.5703125" defaultRowHeight="15"/>
  <cols>
    <col min="1" max="1" width="28.42578125" customWidth="1"/>
    <col min="2" max="2" width="20.5703125" customWidth="1"/>
    <col min="3" max="3" width="21.42578125" customWidth="1"/>
    <col min="4" max="4" width="21.85546875" customWidth="1"/>
    <col min="5" max="5" width="22.28515625" customWidth="1"/>
    <col min="6" max="6" width="21.5703125" customWidth="1"/>
    <col min="7" max="7" width="21.140625" customWidth="1"/>
    <col min="8" max="8" width="22.140625" bestFit="1" customWidth="1"/>
    <col min="9" max="9" width="21.28515625" customWidth="1"/>
    <col min="10" max="10" width="25.28515625" customWidth="1"/>
    <col min="11" max="11" width="7.42578125" customWidth="1"/>
    <col min="12" max="12" width="8.7109375" customWidth="1"/>
    <col min="13" max="13" width="12.5703125" customWidth="1"/>
    <col min="14" max="14" width="7.85546875" customWidth="1"/>
    <col min="15" max="15" width="22" bestFit="1" customWidth="1"/>
  </cols>
  <sheetData>
    <row r="1" spans="1:16" ht="89.25" customHeight="1">
      <c r="A1" s="2309" t="s">
        <v>1941</v>
      </c>
      <c r="B1" s="2309"/>
      <c r="C1" s="2309"/>
      <c r="D1" s="2309"/>
      <c r="E1" s="2309"/>
      <c r="F1" s="2309"/>
      <c r="G1" s="2309"/>
      <c r="H1" s="2309"/>
      <c r="I1" s="2309"/>
      <c r="J1" s="2309"/>
      <c r="K1" s="2309"/>
      <c r="L1" s="2309"/>
    </row>
    <row r="2" spans="1:16" ht="39" customHeight="1">
      <c r="A2" s="2310" t="s">
        <v>2023</v>
      </c>
      <c r="B2" s="2311"/>
      <c r="C2" s="2311"/>
      <c r="D2" s="2311"/>
      <c r="E2" s="2311"/>
      <c r="F2" s="2311"/>
      <c r="G2" s="2311"/>
      <c r="H2" s="2311"/>
      <c r="I2" s="2311"/>
      <c r="J2" s="2311"/>
      <c r="K2" s="2311"/>
      <c r="L2" s="2311"/>
      <c r="N2" s="1253"/>
      <c r="O2" s="1253"/>
    </row>
    <row r="3" spans="1:16" ht="48.75" customHeight="1">
      <c r="A3" s="2312"/>
      <c r="B3" s="2312"/>
      <c r="C3" s="2312"/>
      <c r="D3" s="2312"/>
      <c r="E3" s="2312"/>
      <c r="F3" s="2312"/>
      <c r="G3" s="2312"/>
      <c r="H3" s="2312"/>
      <c r="I3" s="2312"/>
      <c r="J3" s="2312"/>
      <c r="K3" s="2312"/>
      <c r="L3" s="2312"/>
      <c r="O3" s="1253"/>
    </row>
    <row r="4" spans="1:16" ht="18.75">
      <c r="A4" s="1210" t="s">
        <v>253</v>
      </c>
      <c r="B4" s="1061">
        <v>2007</v>
      </c>
      <c r="C4" s="1061">
        <v>2008</v>
      </c>
      <c r="D4" s="1061">
        <v>2009</v>
      </c>
      <c r="E4" s="1061">
        <v>2010</v>
      </c>
      <c r="F4" s="1061">
        <v>2011</v>
      </c>
      <c r="G4" s="1061" t="s">
        <v>1067</v>
      </c>
      <c r="H4" s="1061" t="s">
        <v>1642</v>
      </c>
      <c r="I4" s="1061" t="s">
        <v>1940</v>
      </c>
      <c r="J4" s="1061" t="s">
        <v>2030</v>
      </c>
      <c r="K4" s="27"/>
      <c r="O4" s="1253"/>
    </row>
    <row r="5" spans="1:16" ht="19.5" customHeight="1">
      <c r="A5" s="1062" t="s">
        <v>406</v>
      </c>
      <c r="B5" s="1063">
        <v>2756085890.3800001</v>
      </c>
      <c r="C5" s="1063">
        <v>12262043622.240002</v>
      </c>
      <c r="D5" s="1064">
        <v>14997271060.83</v>
      </c>
      <c r="E5" s="1064">
        <v>20037998054.5</v>
      </c>
      <c r="F5" s="1064">
        <v>22215656750.489998</v>
      </c>
      <c r="G5" s="1064">
        <v>25323798457.93</v>
      </c>
      <c r="H5" s="1064">
        <f>26649964153.11+1216132528.46</f>
        <v>27866096681.57</v>
      </c>
      <c r="I5" s="1209">
        <v>31167111771.200001</v>
      </c>
      <c r="J5" s="1065">
        <f t="shared" ref="J5:J10" si="0">B5+C5+D5+E5+F5+G5+H5+I5</f>
        <v>156626062289.14001</v>
      </c>
      <c r="K5" s="27"/>
      <c r="M5" s="539"/>
      <c r="O5" s="1253"/>
    </row>
    <row r="6" spans="1:16" s="128" customFormat="1" ht="19.5" hidden="1" customHeight="1">
      <c r="A6" s="1062" t="s">
        <v>1311</v>
      </c>
      <c r="B6" s="1208">
        <v>0</v>
      </c>
      <c r="C6" s="1208">
        <v>0</v>
      </c>
      <c r="D6" s="1208">
        <v>0</v>
      </c>
      <c r="E6" s="1208">
        <v>0</v>
      </c>
      <c r="F6" s="1208">
        <v>0</v>
      </c>
      <c r="G6" s="1208">
        <v>0</v>
      </c>
      <c r="H6" s="1209"/>
      <c r="I6" s="1209"/>
      <c r="J6" s="1065">
        <f t="shared" si="0"/>
        <v>0</v>
      </c>
      <c r="K6" s="148"/>
      <c r="M6" s="539"/>
      <c r="O6" s="1253"/>
    </row>
    <row r="7" spans="1:16" ht="17.25">
      <c r="A7" s="1062" t="s">
        <v>116</v>
      </c>
      <c r="B7" s="1063">
        <v>71139450</v>
      </c>
      <c r="C7" s="1063">
        <v>245511975</v>
      </c>
      <c r="D7" s="1064">
        <v>83348568.400000006</v>
      </c>
      <c r="E7" s="1064">
        <v>0</v>
      </c>
      <c r="F7" s="1064">
        <v>149163844</v>
      </c>
      <c r="G7" s="1064">
        <v>182825831.59999999</v>
      </c>
      <c r="H7" s="1064">
        <v>213705747.59999999</v>
      </c>
      <c r="I7" s="1209">
        <v>260908691.69999999</v>
      </c>
      <c r="J7" s="1065">
        <f t="shared" si="0"/>
        <v>1206604108.3</v>
      </c>
      <c r="K7" s="133"/>
      <c r="L7" s="74"/>
      <c r="M7" s="539"/>
      <c r="O7" s="1253"/>
    </row>
    <row r="8" spans="1:16" ht="17.25">
      <c r="A8" s="1062" t="s">
        <v>117</v>
      </c>
      <c r="B8" s="1063">
        <v>0</v>
      </c>
      <c r="C8" s="1063">
        <v>283848938.23000002</v>
      </c>
      <c r="D8" s="1064">
        <v>717406862.30999994</v>
      </c>
      <c r="E8" s="1064">
        <v>958993042.63</v>
      </c>
      <c r="F8" s="1064">
        <v>1126433498.0599999</v>
      </c>
      <c r="G8" s="1064">
        <v>1222112428.3699999</v>
      </c>
      <c r="H8" s="1064">
        <v>1358265601.1400001</v>
      </c>
      <c r="I8" s="1209">
        <v>1556233315.8</v>
      </c>
      <c r="J8" s="1065">
        <f t="shared" si="0"/>
        <v>7223293686.5400009</v>
      </c>
      <c r="K8" s="133"/>
      <c r="L8" s="74"/>
      <c r="M8" s="539"/>
      <c r="O8" s="1253"/>
    </row>
    <row r="9" spans="1:16" ht="17.25">
      <c r="A9" s="1062" t="s">
        <v>118</v>
      </c>
      <c r="B9" s="1063">
        <v>0</v>
      </c>
      <c r="C9" s="1063">
        <v>38720972.609999999</v>
      </c>
      <c r="D9" s="1064">
        <v>121903634.47</v>
      </c>
      <c r="E9" s="1064">
        <v>138388657.5</v>
      </c>
      <c r="F9" s="1064">
        <v>155182686.03</v>
      </c>
      <c r="G9" s="1064">
        <v>171240027.52000001</v>
      </c>
      <c r="H9" s="1064">
        <v>190492244.19999999</v>
      </c>
      <c r="I9" s="1209">
        <v>215918628.93000001</v>
      </c>
      <c r="J9" s="1065">
        <f t="shared" si="0"/>
        <v>1031846851.26</v>
      </c>
      <c r="K9" s="133"/>
      <c r="L9" s="74"/>
      <c r="M9" s="539"/>
      <c r="O9" s="1253"/>
      <c r="P9" s="128"/>
    </row>
    <row r="10" spans="1:16" ht="17.25">
      <c r="A10" s="1062" t="s">
        <v>169</v>
      </c>
      <c r="B10" s="1063">
        <v>0</v>
      </c>
      <c r="C10" s="1063">
        <v>0</v>
      </c>
      <c r="D10" s="1064">
        <v>16656000</v>
      </c>
      <c r="E10" s="1064">
        <v>68030000</v>
      </c>
      <c r="F10" s="1064">
        <v>168385579.84999999</v>
      </c>
      <c r="G10" s="1064">
        <v>182376500</v>
      </c>
      <c r="H10" s="1064">
        <v>215786255.86000001</v>
      </c>
      <c r="I10" s="1209">
        <v>262429320</v>
      </c>
      <c r="J10" s="1065">
        <f t="shared" si="0"/>
        <v>913663655.71000004</v>
      </c>
      <c r="K10" s="133"/>
      <c r="L10" s="74"/>
      <c r="M10" s="539"/>
      <c r="O10" s="1253"/>
      <c r="P10" s="77"/>
    </row>
    <row r="11" spans="1:16" s="347" customFormat="1" ht="18" customHeight="1">
      <c r="A11" s="1066" t="s">
        <v>47</v>
      </c>
      <c r="B11" s="1066">
        <f t="shared" ref="B11:H11" si="1">SUM(B5:B10)</f>
        <v>2827225340.3800001</v>
      </c>
      <c r="C11" s="1066">
        <f t="shared" si="1"/>
        <v>12830125508.080002</v>
      </c>
      <c r="D11" s="1066">
        <f t="shared" si="1"/>
        <v>15936586126.009998</v>
      </c>
      <c r="E11" s="1066">
        <f t="shared" si="1"/>
        <v>21203409754.630001</v>
      </c>
      <c r="F11" s="1066">
        <f t="shared" si="1"/>
        <v>23814822358.429996</v>
      </c>
      <c r="G11" s="1066">
        <f t="shared" si="1"/>
        <v>27082353245.419998</v>
      </c>
      <c r="H11" s="1066">
        <f t="shared" si="1"/>
        <v>29844346530.369999</v>
      </c>
      <c r="I11" s="1066">
        <f>SUM(I5:I10)</f>
        <v>33462601727.630001</v>
      </c>
      <c r="J11" s="1066">
        <f>SUM(J5:J10)</f>
        <v>167001470590.95001</v>
      </c>
      <c r="K11" s="473"/>
      <c r="N11" s="128"/>
      <c r="O11" s="1253"/>
    </row>
    <row r="12" spans="1:16" ht="35.25" customHeight="1">
      <c r="A12" s="2313" t="s">
        <v>1915</v>
      </c>
      <c r="B12" s="2313"/>
      <c r="C12" s="2313"/>
      <c r="D12" s="2313"/>
      <c r="E12" s="2313"/>
      <c r="F12" s="2313"/>
      <c r="G12" s="2313"/>
      <c r="H12" s="2313"/>
      <c r="I12" s="2313"/>
      <c r="J12" s="2313"/>
      <c r="M12" s="1570"/>
    </row>
    <row r="13" spans="1:16">
      <c r="B13" s="56"/>
      <c r="C13" s="56"/>
      <c r="D13" s="56"/>
      <c r="E13" s="56"/>
      <c r="F13" s="56"/>
      <c r="G13" s="56"/>
      <c r="H13" s="56"/>
      <c r="I13" s="56"/>
      <c r="J13" s="56"/>
      <c r="K13" s="56"/>
      <c r="L13" s="56"/>
      <c r="M13" s="2086"/>
    </row>
    <row r="14" spans="1:16">
      <c r="B14" s="56"/>
      <c r="C14" s="56"/>
      <c r="D14" s="56"/>
      <c r="E14" s="56"/>
      <c r="F14" s="56"/>
      <c r="G14" s="56"/>
      <c r="H14" s="56"/>
      <c r="I14" s="56"/>
      <c r="J14" s="56"/>
      <c r="K14" s="56"/>
      <c r="L14" s="56"/>
    </row>
    <row r="15" spans="1:16">
      <c r="B15" s="56"/>
      <c r="C15" s="56"/>
      <c r="D15" s="56"/>
      <c r="E15" s="56"/>
      <c r="F15" s="56"/>
      <c r="G15" s="56"/>
      <c r="H15" s="56"/>
      <c r="I15" s="56"/>
      <c r="J15" s="56"/>
      <c r="K15" s="56"/>
      <c r="L15" s="56"/>
    </row>
    <row r="16" spans="1:16">
      <c r="B16" s="56"/>
      <c r="C16" s="56"/>
      <c r="D16" s="56"/>
      <c r="E16" s="56"/>
      <c r="F16" s="56"/>
      <c r="G16" s="56"/>
      <c r="H16" s="56"/>
      <c r="I16" s="56"/>
      <c r="J16" s="56"/>
      <c r="K16" s="56"/>
      <c r="L16" s="56"/>
    </row>
    <row r="17" spans="2:30">
      <c r="B17" s="56"/>
      <c r="C17" s="56"/>
      <c r="D17" s="56"/>
      <c r="E17" s="56"/>
      <c r="F17" s="56"/>
      <c r="G17" s="56"/>
      <c r="H17" s="56"/>
      <c r="I17" s="56"/>
      <c r="J17" s="56"/>
      <c r="K17" s="56"/>
      <c r="L17" s="56"/>
    </row>
    <row r="18" spans="2:30">
      <c r="B18" s="56"/>
      <c r="C18" s="56"/>
      <c r="D18" s="56"/>
      <c r="E18" s="56"/>
      <c r="F18" s="56"/>
      <c r="G18" s="56"/>
      <c r="H18" s="56"/>
      <c r="I18" s="56"/>
      <c r="J18" s="56"/>
      <c r="K18" s="56"/>
      <c r="L18" s="56"/>
    </row>
    <row r="19" spans="2:30">
      <c r="B19" s="56"/>
      <c r="C19" s="56"/>
      <c r="D19" s="56"/>
      <c r="E19" s="56"/>
      <c r="F19" s="56"/>
      <c r="G19" s="56"/>
      <c r="H19" s="56"/>
      <c r="I19" s="56"/>
      <c r="J19" s="56"/>
      <c r="K19" s="56"/>
      <c r="L19" s="56"/>
      <c r="M19" s="486"/>
      <c r="O19" s="1009"/>
    </row>
    <row r="20" spans="2:30">
      <c r="B20" s="36"/>
      <c r="C20" s="36"/>
      <c r="D20" s="36"/>
      <c r="E20" s="56"/>
      <c r="F20" s="56"/>
      <c r="G20" s="56"/>
      <c r="H20" s="56"/>
      <c r="I20" s="56"/>
      <c r="J20" s="56"/>
      <c r="K20" s="56"/>
      <c r="L20" s="56"/>
      <c r="M20" s="539"/>
    </row>
    <row r="21" spans="2:30">
      <c r="B21" s="36"/>
      <c r="C21" s="36"/>
      <c r="D21" s="36"/>
      <c r="E21" s="36"/>
      <c r="F21" s="36"/>
      <c r="G21" s="36"/>
      <c r="H21" s="36"/>
      <c r="I21" s="36"/>
      <c r="J21" s="36"/>
      <c r="K21" s="36"/>
      <c r="L21" s="36"/>
      <c r="M21" s="486"/>
    </row>
    <row r="22" spans="2:30">
      <c r="B22" s="36"/>
      <c r="C22" s="36"/>
      <c r="D22" s="36"/>
      <c r="E22" s="36"/>
      <c r="F22" s="36"/>
      <c r="G22" s="36"/>
      <c r="H22" s="36"/>
      <c r="I22" s="36"/>
      <c r="J22" s="36"/>
      <c r="K22" s="36"/>
      <c r="L22" s="36"/>
      <c r="M22" s="539"/>
    </row>
    <row r="23" spans="2:30">
      <c r="B23" s="36"/>
      <c r="C23" s="36"/>
      <c r="D23" s="36"/>
      <c r="E23" s="36"/>
      <c r="F23" s="36"/>
      <c r="G23" s="36"/>
      <c r="H23" s="36"/>
      <c r="I23" s="36"/>
      <c r="J23" s="36"/>
      <c r="K23" s="36"/>
      <c r="L23" s="36"/>
      <c r="M23" s="539"/>
      <c r="O23" s="2143"/>
    </row>
    <row r="24" spans="2:30">
      <c r="B24" s="36"/>
      <c r="C24" s="36"/>
      <c r="D24" s="36"/>
      <c r="E24" s="36"/>
      <c r="F24" s="36"/>
      <c r="G24" s="36"/>
      <c r="H24" s="36"/>
      <c r="I24" s="36"/>
      <c r="J24" s="36"/>
      <c r="K24" s="36"/>
      <c r="L24" s="36"/>
      <c r="M24" s="539"/>
    </row>
    <row r="25" spans="2:30">
      <c r="B25" s="36"/>
      <c r="C25" s="36"/>
      <c r="D25" s="36"/>
      <c r="E25" s="36"/>
      <c r="F25" s="36"/>
      <c r="G25" s="36"/>
      <c r="H25" s="36"/>
      <c r="I25" s="36"/>
      <c r="J25" s="36"/>
      <c r="K25" s="36"/>
      <c r="L25" s="36"/>
      <c r="M25" s="539"/>
      <c r="O25" s="486"/>
    </row>
    <row r="26" spans="2:30">
      <c r="B26" s="36"/>
      <c r="C26" s="36"/>
      <c r="D26" s="36"/>
      <c r="E26" s="36"/>
      <c r="F26" s="36"/>
      <c r="G26" s="36"/>
      <c r="H26" s="36"/>
      <c r="I26" s="36"/>
      <c r="J26" s="36"/>
      <c r="K26" s="36"/>
      <c r="L26" s="36"/>
      <c r="M26" s="539"/>
    </row>
    <row r="27" spans="2:30">
      <c r="B27" s="36"/>
      <c r="C27" s="36"/>
      <c r="D27" s="36"/>
      <c r="E27" s="36"/>
      <c r="F27" s="36"/>
      <c r="G27" s="36"/>
      <c r="H27" s="36"/>
      <c r="I27" s="36"/>
      <c r="J27" s="36"/>
      <c r="K27" s="36"/>
      <c r="L27" s="36"/>
      <c r="M27" s="539"/>
    </row>
    <row r="28" spans="2:30">
      <c r="B28" s="36"/>
      <c r="C28" s="36"/>
      <c r="D28" s="36"/>
      <c r="E28" s="36"/>
      <c r="F28" s="36"/>
      <c r="G28" s="36"/>
      <c r="H28" s="36"/>
      <c r="I28" s="36"/>
      <c r="J28" s="36"/>
      <c r="K28" s="36"/>
      <c r="L28" s="36"/>
      <c r="M28" s="1009"/>
      <c r="N28" s="1009"/>
      <c r="O28" s="1009"/>
      <c r="P28" s="1009"/>
      <c r="Q28" s="1009"/>
      <c r="R28" s="1009"/>
      <c r="S28" s="1009"/>
      <c r="T28" s="1009"/>
      <c r="U28" s="1009"/>
      <c r="V28" s="1009"/>
      <c r="W28" s="1009"/>
      <c r="X28" s="1009"/>
      <c r="Y28" s="1009"/>
      <c r="Z28" s="1009"/>
      <c r="AA28" s="1009"/>
      <c r="AB28" s="1009"/>
      <c r="AC28" s="1009"/>
      <c r="AD28" s="1009"/>
    </row>
    <row r="29" spans="2:30">
      <c r="B29" s="36"/>
      <c r="C29" s="36"/>
      <c r="D29" s="36"/>
      <c r="E29" s="36"/>
      <c r="F29" s="36"/>
      <c r="G29" s="36"/>
      <c r="H29" s="36"/>
      <c r="I29" s="36"/>
      <c r="J29" s="36"/>
      <c r="K29" s="36"/>
      <c r="L29" s="36"/>
      <c r="M29" s="1009"/>
      <c r="N29" s="1009"/>
      <c r="O29" s="1009"/>
      <c r="P29" s="1009"/>
      <c r="Q29" s="1009"/>
      <c r="R29" s="1009"/>
      <c r="S29" s="1009"/>
      <c r="T29" s="1009"/>
      <c r="U29" s="1009"/>
      <c r="V29" s="1009"/>
      <c r="W29" s="1009"/>
      <c r="X29" s="1009"/>
      <c r="Y29" s="1009"/>
      <c r="Z29" s="1009"/>
      <c r="AA29" s="1009"/>
      <c r="AB29" s="1009"/>
      <c r="AC29" s="1009"/>
      <c r="AD29" s="1009"/>
    </row>
    <row r="30" spans="2:30">
      <c r="B30" s="36"/>
      <c r="C30" s="36"/>
      <c r="D30" s="36"/>
      <c r="E30" s="36"/>
      <c r="F30" s="36"/>
      <c r="G30" s="36"/>
      <c r="H30" s="36"/>
      <c r="I30" s="36"/>
      <c r="J30" s="36"/>
      <c r="K30" s="36"/>
      <c r="L30" s="36"/>
      <c r="M30" s="1009"/>
      <c r="N30" s="1009"/>
      <c r="O30" s="1009"/>
      <c r="P30" s="1009"/>
      <c r="Q30" s="1009"/>
      <c r="R30" s="1009"/>
      <c r="S30" s="1009"/>
      <c r="T30" s="1009"/>
      <c r="U30" s="1009"/>
      <c r="V30" s="1009"/>
      <c r="W30" s="1009"/>
      <c r="X30" s="1009"/>
      <c r="Y30" s="1009"/>
      <c r="Z30" s="1009"/>
      <c r="AA30" s="1009"/>
      <c r="AB30" s="1009"/>
      <c r="AC30" s="1009"/>
      <c r="AD30" s="1009"/>
    </row>
    <row r="31" spans="2:30">
      <c r="B31" s="36"/>
      <c r="C31" s="36"/>
      <c r="D31" s="36"/>
      <c r="E31" s="36"/>
      <c r="F31" s="36"/>
      <c r="G31" s="36"/>
      <c r="H31" s="36"/>
      <c r="I31" s="36"/>
      <c r="J31" s="36"/>
      <c r="K31" s="36"/>
      <c r="L31" s="36"/>
      <c r="M31" s="1009"/>
      <c r="N31" s="1009"/>
      <c r="O31" s="1009"/>
      <c r="P31" s="1009"/>
      <c r="Q31" s="1009"/>
      <c r="R31" s="1009"/>
      <c r="S31" s="1009"/>
      <c r="T31" s="1009"/>
      <c r="U31" s="1009"/>
      <c r="V31" s="1009"/>
      <c r="W31" s="1009"/>
      <c r="X31" s="1009"/>
      <c r="Y31" s="1009"/>
      <c r="Z31" s="1009"/>
      <c r="AA31" s="1009"/>
      <c r="AB31" s="1009"/>
      <c r="AC31" s="1009"/>
      <c r="AD31" s="1009"/>
    </row>
    <row r="32" spans="2:30">
      <c r="B32" s="36"/>
      <c r="C32" s="36"/>
      <c r="D32" s="36"/>
      <c r="E32" s="36"/>
      <c r="F32" s="36"/>
      <c r="G32" s="36"/>
      <c r="H32" s="36"/>
      <c r="I32" s="36"/>
      <c r="J32" s="36"/>
      <c r="K32" s="36"/>
      <c r="L32" s="36"/>
      <c r="M32" s="1009"/>
      <c r="N32" s="1009"/>
      <c r="O32" s="1009"/>
      <c r="P32" s="1009"/>
      <c r="Q32" s="1009"/>
      <c r="R32" s="1009"/>
      <c r="S32" s="1009"/>
      <c r="T32" s="1009"/>
      <c r="U32" s="1009"/>
      <c r="V32" s="1009"/>
      <c r="W32" s="1009"/>
      <c r="X32" s="1009"/>
      <c r="Y32" s="1009"/>
      <c r="Z32" s="1009"/>
      <c r="AA32" s="1009"/>
      <c r="AB32" s="1009"/>
      <c r="AC32" s="1009"/>
      <c r="AD32" s="1009"/>
    </row>
    <row r="33" spans="2:30">
      <c r="B33" s="36"/>
      <c r="C33" s="36"/>
      <c r="D33" s="36"/>
      <c r="E33" s="36"/>
      <c r="F33" s="36"/>
      <c r="G33" s="36"/>
      <c r="H33" s="36"/>
      <c r="I33" s="36"/>
      <c r="J33" s="36"/>
      <c r="K33" s="36"/>
      <c r="L33" s="36"/>
      <c r="M33" s="1009"/>
      <c r="N33" s="1009"/>
      <c r="O33" s="1009"/>
      <c r="P33" s="1009"/>
      <c r="Q33" s="1009"/>
      <c r="R33" s="1009"/>
      <c r="S33" s="1009"/>
      <c r="T33" s="1009"/>
      <c r="U33" s="1009"/>
      <c r="V33" s="1009"/>
      <c r="W33" s="1009"/>
      <c r="X33" s="1009"/>
      <c r="Y33" s="1009"/>
      <c r="Z33" s="1009"/>
      <c r="AA33" s="1009"/>
      <c r="AB33" s="1009"/>
      <c r="AC33" s="1009"/>
      <c r="AD33" s="1009"/>
    </row>
    <row r="34" spans="2:30">
      <c r="B34" s="56"/>
      <c r="C34" s="56"/>
      <c r="D34" s="56"/>
      <c r="E34" s="56"/>
      <c r="F34" s="56"/>
      <c r="G34" s="56"/>
      <c r="H34" s="56"/>
      <c r="I34" s="56"/>
      <c r="J34" s="56"/>
      <c r="K34" s="56"/>
      <c r="L34" s="56"/>
    </row>
    <row r="35" spans="2:30">
      <c r="B35" s="56"/>
      <c r="C35" s="56"/>
      <c r="D35" s="56"/>
      <c r="E35" s="56"/>
      <c r="F35" s="56"/>
      <c r="G35" s="56"/>
      <c r="H35" s="56"/>
      <c r="I35" s="56"/>
      <c r="J35" s="56"/>
      <c r="K35" s="56"/>
      <c r="L35" s="56"/>
    </row>
    <row r="36" spans="2:30">
      <c r="B36" s="56"/>
      <c r="C36" s="56"/>
      <c r="D36" s="56"/>
      <c r="E36" s="56"/>
      <c r="F36" s="56"/>
      <c r="G36" s="56"/>
      <c r="H36" s="56"/>
      <c r="I36" s="56"/>
      <c r="J36" s="56"/>
      <c r="K36" s="56"/>
      <c r="L36" s="56"/>
    </row>
    <row r="37" spans="2:30">
      <c r="B37" s="56"/>
      <c r="C37" s="56"/>
      <c r="D37" s="56"/>
      <c r="E37" s="56"/>
      <c r="F37" s="56"/>
      <c r="G37" s="56"/>
      <c r="H37" s="56"/>
      <c r="I37" s="56"/>
      <c r="J37" s="56"/>
      <c r="K37" s="56"/>
      <c r="L37" s="56"/>
    </row>
    <row r="38" spans="2:30">
      <c r="B38" s="56"/>
      <c r="C38" s="56"/>
      <c r="D38" s="56"/>
      <c r="E38" s="56"/>
      <c r="F38" s="56"/>
      <c r="G38" s="56"/>
      <c r="H38" s="56"/>
      <c r="I38" s="56"/>
      <c r="J38" s="56"/>
      <c r="K38" s="56"/>
      <c r="L38" s="56"/>
    </row>
    <row r="39" spans="2:30">
      <c r="B39" s="56"/>
      <c r="C39" s="56"/>
      <c r="D39" s="56"/>
      <c r="E39" s="56"/>
      <c r="F39" s="56"/>
      <c r="G39" s="56"/>
      <c r="H39" s="56"/>
      <c r="I39" s="56"/>
      <c r="J39" s="56"/>
      <c r="K39" s="56"/>
      <c r="L39" s="56"/>
    </row>
    <row r="40" spans="2:30">
      <c r="B40" s="56"/>
      <c r="C40" s="56"/>
      <c r="D40" s="56"/>
      <c r="E40" s="56"/>
      <c r="F40" s="56"/>
      <c r="G40" s="56"/>
      <c r="H40" s="56"/>
      <c r="I40" s="56"/>
      <c r="J40" s="56"/>
      <c r="K40" s="56"/>
      <c r="L40" s="56"/>
    </row>
    <row r="41" spans="2:30">
      <c r="B41" s="56"/>
      <c r="C41" s="56"/>
      <c r="D41" s="56"/>
      <c r="E41" s="56"/>
      <c r="F41" s="56"/>
      <c r="G41" s="56"/>
      <c r="H41" s="56"/>
      <c r="I41" s="56"/>
      <c r="J41" s="56"/>
      <c r="K41" s="56"/>
      <c r="L41" s="56"/>
    </row>
    <row r="42" spans="2:30">
      <c r="B42" s="56"/>
      <c r="C42" s="56"/>
      <c r="D42" s="56"/>
      <c r="E42" s="56"/>
      <c r="F42" s="56"/>
      <c r="G42" s="56"/>
      <c r="H42" s="56"/>
      <c r="I42" s="56"/>
      <c r="J42" s="56"/>
      <c r="K42" s="56"/>
      <c r="L42" s="56"/>
    </row>
    <row r="43" spans="2:30">
      <c r="B43" s="56"/>
      <c r="C43" s="56"/>
      <c r="D43" s="56"/>
      <c r="E43" s="56"/>
      <c r="F43" s="56"/>
      <c r="G43" s="56"/>
      <c r="H43" s="56"/>
      <c r="I43" s="56"/>
      <c r="J43" s="56"/>
      <c r="K43" s="56"/>
      <c r="L43" s="56"/>
    </row>
    <row r="44" spans="2:30">
      <c r="B44" s="56"/>
      <c r="C44" s="56"/>
      <c r="D44" s="56"/>
      <c r="E44" s="56"/>
      <c r="F44" s="56"/>
      <c r="G44" s="56"/>
      <c r="H44" s="56"/>
      <c r="I44" s="56"/>
      <c r="J44" s="56"/>
      <c r="K44" s="56"/>
      <c r="L44" s="56"/>
    </row>
    <row r="45" spans="2:30">
      <c r="B45" s="56"/>
      <c r="C45" s="56"/>
      <c r="D45" s="56"/>
      <c r="E45" s="56"/>
      <c r="F45" s="56"/>
      <c r="G45" s="56"/>
      <c r="H45" s="56"/>
      <c r="I45" s="56"/>
      <c r="J45" s="56"/>
      <c r="K45" s="56"/>
      <c r="L45" s="56"/>
    </row>
  </sheetData>
  <mergeCells count="3">
    <mergeCell ref="A1:L1"/>
    <mergeCell ref="A2:L3"/>
    <mergeCell ref="A12:J12"/>
  </mergeCells>
  <printOptions horizontalCentered="1" verticalCentered="1"/>
  <pageMargins left="0.4" right="0.4" top="0.25" bottom="0.25" header="0.31496062992126" footer="0.31496062992126"/>
  <pageSetup scale="54" orientation="landscape"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V372"/>
  <sheetViews>
    <sheetView showGridLines="0" view="pageBreakPreview" topLeftCell="C1" zoomScale="85" zoomScaleNormal="55" zoomScaleSheetLayoutView="85" workbookViewId="0">
      <pane ySplit="1" topLeftCell="A2" activePane="bottomLeft" state="frozen"/>
      <selection pane="bottomLeft" activeCell="L33" sqref="L33"/>
    </sheetView>
  </sheetViews>
  <sheetFormatPr baseColWidth="10" defaultColWidth="11.5703125" defaultRowHeight="18"/>
  <cols>
    <col min="1" max="1" width="14.85546875" customWidth="1"/>
    <col min="2" max="2" width="22.7109375" customWidth="1"/>
    <col min="3" max="3" width="20.85546875" style="128" customWidth="1"/>
    <col min="4" max="4" width="21.5703125" customWidth="1"/>
    <col min="5" max="5" width="21.140625" customWidth="1"/>
    <col min="6" max="6" width="21.85546875" customWidth="1"/>
    <col min="7" max="7" width="21.28515625" customWidth="1"/>
    <col min="8" max="8" width="12.5703125" bestFit="1" customWidth="1"/>
    <col min="9" max="9" width="15" customWidth="1"/>
    <col min="10" max="10" width="17.140625" bestFit="1" customWidth="1"/>
    <col min="11" max="11" width="20.140625" customWidth="1"/>
    <col min="12" max="12" width="25.7109375" style="61" bestFit="1" customWidth="1"/>
    <col min="13" max="13" width="21.28515625" style="61" bestFit="1" customWidth="1"/>
    <col min="14" max="15" width="29.28515625" style="61" bestFit="1" customWidth="1"/>
    <col min="16" max="16" width="21.140625" style="61" customWidth="1"/>
    <col min="17" max="17" width="22" style="61" customWidth="1"/>
    <col min="18" max="18" width="22.7109375" style="61" bestFit="1" customWidth="1"/>
    <col min="19" max="19" width="21.28515625" style="60" bestFit="1" customWidth="1"/>
    <col min="20" max="20" width="22.140625" style="60" bestFit="1" customWidth="1"/>
    <col min="21" max="21" width="22.85546875" style="60" bestFit="1" customWidth="1"/>
  </cols>
  <sheetData>
    <row r="1" spans="1:22" ht="88.5" customHeight="1">
      <c r="A1" s="2234" t="s">
        <v>1942</v>
      </c>
      <c r="B1" s="2234"/>
      <c r="C1" s="2234"/>
      <c r="D1" s="2234"/>
      <c r="E1" s="2234"/>
      <c r="F1" s="2234"/>
      <c r="G1" s="2234"/>
      <c r="H1" s="2234"/>
      <c r="I1" s="2234"/>
      <c r="J1" s="2234"/>
      <c r="K1" s="2234"/>
      <c r="L1" s="2234"/>
    </row>
    <row r="2" spans="1:22" s="59" customFormat="1" ht="3.75" customHeight="1">
      <c r="A2" s="590"/>
      <c r="B2" s="590"/>
      <c r="C2" s="590"/>
      <c r="D2" s="590"/>
      <c r="E2" s="590"/>
      <c r="F2" s="590"/>
      <c r="G2" s="590"/>
      <c r="H2" s="590"/>
      <c r="I2" s="590"/>
      <c r="L2" s="696"/>
      <c r="M2" s="696"/>
      <c r="N2" s="696"/>
      <c r="O2" s="696"/>
      <c r="P2" s="696"/>
      <c r="Q2" s="696"/>
      <c r="R2" s="696"/>
      <c r="S2" s="697"/>
      <c r="T2" s="697"/>
      <c r="U2" s="697"/>
    </row>
    <row r="3" spans="1:22" s="353" customFormat="1" ht="23.25" customHeight="1">
      <c r="A3" s="708" t="s">
        <v>51</v>
      </c>
      <c r="B3" s="708" t="s">
        <v>49</v>
      </c>
      <c r="C3" s="708" t="s">
        <v>1404</v>
      </c>
      <c r="D3" s="708" t="s">
        <v>117</v>
      </c>
      <c r="E3" s="708" t="s">
        <v>118</v>
      </c>
      <c r="F3" s="708" t="s">
        <v>119</v>
      </c>
      <c r="G3" s="708" t="s">
        <v>197</v>
      </c>
      <c r="H3" s="2079"/>
      <c r="I3" s="2079"/>
      <c r="J3" s="2079"/>
      <c r="M3" s="2080"/>
      <c r="N3" s="2080"/>
      <c r="O3" s="2080"/>
      <c r="P3" s="2080"/>
      <c r="Q3" s="2080"/>
      <c r="R3" s="2080"/>
      <c r="S3" s="2080"/>
      <c r="T3" s="2080"/>
      <c r="U3" s="2080"/>
      <c r="V3" s="2080"/>
    </row>
    <row r="4" spans="1:22" s="128" customFormat="1" hidden="1">
      <c r="A4" s="617">
        <v>40940</v>
      </c>
      <c r="B4" s="646">
        <v>2062600170.0599999</v>
      </c>
      <c r="C4" s="646">
        <v>14491515.6</v>
      </c>
      <c r="D4" s="646">
        <v>99713340.439999998</v>
      </c>
      <c r="E4" s="646">
        <v>13627763.710000001</v>
      </c>
      <c r="F4" s="646">
        <v>10072000</v>
      </c>
      <c r="G4" s="647">
        <f t="shared" ref="G4:G22" si="0">SUM(B4:F4)</f>
        <v>2200504789.8099999</v>
      </c>
      <c r="H4" s="148"/>
      <c r="I4" s="148"/>
      <c r="J4" s="148"/>
      <c r="M4" s="60"/>
      <c r="N4" s="60"/>
      <c r="O4" s="60"/>
      <c r="P4" s="60"/>
      <c r="Q4" s="60"/>
      <c r="R4" s="60"/>
      <c r="S4" s="60"/>
      <c r="T4" s="60"/>
      <c r="U4" s="60"/>
      <c r="V4" s="60"/>
    </row>
    <row r="5" spans="1:22" s="128" customFormat="1" hidden="1">
      <c r="A5" s="617">
        <v>40969</v>
      </c>
      <c r="B5" s="646">
        <v>2094190906.9200001</v>
      </c>
      <c r="C5" s="646">
        <v>14853474.4</v>
      </c>
      <c r="D5" s="646">
        <v>101375221.91</v>
      </c>
      <c r="E5" s="646">
        <v>14243785.449999999</v>
      </c>
      <c r="F5" s="646">
        <v>10238000</v>
      </c>
      <c r="G5" s="647">
        <f t="shared" si="0"/>
        <v>2234901388.6799998</v>
      </c>
      <c r="H5" s="148"/>
      <c r="I5" s="148"/>
      <c r="J5" s="148"/>
      <c r="M5" s="60"/>
      <c r="N5" s="60"/>
      <c r="O5" s="60"/>
      <c r="P5" s="60"/>
      <c r="Q5" s="60"/>
      <c r="R5" s="60"/>
      <c r="S5" s="60"/>
      <c r="T5" s="60"/>
      <c r="U5" s="60"/>
      <c r="V5" s="60"/>
    </row>
    <row r="6" spans="1:22" s="128" customFormat="1" hidden="1">
      <c r="A6" s="617">
        <v>41000</v>
      </c>
      <c r="B6" s="646">
        <v>2087398490.8599999</v>
      </c>
      <c r="C6" s="646">
        <v>14953552.800000001</v>
      </c>
      <c r="D6" s="646">
        <v>96642314.650000006</v>
      </c>
      <c r="E6" s="646">
        <v>13962172.35</v>
      </c>
      <c r="F6" s="646">
        <v>10070000</v>
      </c>
      <c r="G6" s="647">
        <f t="shared" si="0"/>
        <v>2223026530.6599998</v>
      </c>
      <c r="H6" s="148"/>
      <c r="I6" s="148"/>
      <c r="J6" s="148"/>
      <c r="M6" s="60"/>
      <c r="N6" s="60"/>
      <c r="O6" s="60"/>
      <c r="P6" s="60"/>
      <c r="Q6" s="60"/>
      <c r="R6" s="60"/>
      <c r="S6" s="60"/>
      <c r="T6" s="60"/>
      <c r="U6" s="60"/>
      <c r="V6" s="60"/>
    </row>
    <row r="7" spans="1:22" s="128" customFormat="1" hidden="1">
      <c r="A7" s="617">
        <v>41030</v>
      </c>
      <c r="B7" s="646">
        <v>2095857243.04</v>
      </c>
      <c r="C7" s="646">
        <v>14761237.199999999</v>
      </c>
      <c r="D7" s="646">
        <v>103393825.95</v>
      </c>
      <c r="E7" s="646">
        <v>14653263.01</v>
      </c>
      <c r="F7" s="646">
        <v>9976000</v>
      </c>
      <c r="G7" s="647">
        <f t="shared" si="0"/>
        <v>2238641569.2000003</v>
      </c>
      <c r="H7" s="148"/>
      <c r="I7" s="148"/>
      <c r="J7" s="148"/>
      <c r="M7" s="60"/>
      <c r="N7" s="60"/>
      <c r="O7" s="60"/>
      <c r="P7" s="60"/>
      <c r="Q7" s="60"/>
      <c r="R7" s="60"/>
      <c r="S7" s="60"/>
      <c r="T7" s="60"/>
      <c r="U7" s="60"/>
      <c r="V7" s="60"/>
    </row>
    <row r="8" spans="1:22" s="128" customFormat="1" hidden="1">
      <c r="A8" s="617">
        <v>41061</v>
      </c>
      <c r="B8" s="646">
        <v>2114903629.0799999</v>
      </c>
      <c r="C8" s="646">
        <v>15263175.6</v>
      </c>
      <c r="D8" s="646">
        <v>96155516.879999995</v>
      </c>
      <c r="E8" s="646">
        <v>13952315.26</v>
      </c>
      <c r="F8" s="646">
        <v>65324500</v>
      </c>
      <c r="G8" s="647">
        <f t="shared" si="0"/>
        <v>2305599136.8200002</v>
      </c>
      <c r="H8" s="148"/>
      <c r="I8" s="148"/>
      <c r="J8" s="148"/>
      <c r="M8" s="60"/>
      <c r="N8" s="60"/>
      <c r="O8" s="60"/>
      <c r="P8" s="60"/>
      <c r="Q8" s="60"/>
      <c r="R8" s="60"/>
      <c r="S8" s="60"/>
      <c r="T8" s="60"/>
      <c r="U8" s="60"/>
      <c r="V8" s="60"/>
    </row>
    <row r="9" spans="1:22" s="128" customFormat="1" hidden="1">
      <c r="A9" s="617">
        <v>41122</v>
      </c>
      <c r="B9" s="811">
        <v>2141750901.8900001</v>
      </c>
      <c r="C9" s="811">
        <v>15116358</v>
      </c>
      <c r="D9" s="811">
        <v>107455545.28</v>
      </c>
      <c r="E9" s="811">
        <v>14367939.199999999</v>
      </c>
      <c r="F9" s="811">
        <v>10132000</v>
      </c>
      <c r="G9" s="647">
        <f t="shared" si="0"/>
        <v>2288822744.3700004</v>
      </c>
      <c r="H9" s="148"/>
      <c r="I9" s="148"/>
      <c r="J9" s="148"/>
      <c r="M9" s="60"/>
      <c r="N9" s="60"/>
      <c r="O9" s="60"/>
      <c r="P9" s="60"/>
      <c r="Q9" s="60"/>
      <c r="R9" s="60"/>
      <c r="S9" s="60"/>
      <c r="T9" s="60"/>
      <c r="U9" s="60"/>
      <c r="V9" s="60"/>
    </row>
    <row r="10" spans="1:22" s="128" customFormat="1" hidden="1">
      <c r="A10" s="617">
        <v>41153</v>
      </c>
      <c r="B10" s="811">
        <v>2153248883.8099999</v>
      </c>
      <c r="C10" s="811">
        <v>15442939.199999999</v>
      </c>
      <c r="D10" s="811">
        <v>99502084.030000001</v>
      </c>
      <c r="E10" s="811">
        <v>14233372.619999999</v>
      </c>
      <c r="F10" s="811">
        <v>11328000</v>
      </c>
      <c r="G10" s="647">
        <f>SUM(B10:F10)</f>
        <v>2293755279.6599998</v>
      </c>
      <c r="H10" s="148"/>
      <c r="I10" s="148"/>
      <c r="J10" s="148"/>
      <c r="M10" s="60"/>
      <c r="N10" s="60"/>
      <c r="O10" s="60"/>
      <c r="P10" s="60"/>
      <c r="Q10" s="60"/>
      <c r="R10" s="60"/>
      <c r="S10" s="60"/>
      <c r="T10" s="60"/>
      <c r="U10" s="60"/>
      <c r="V10" s="60"/>
    </row>
    <row r="11" spans="1:22" s="128" customFormat="1" hidden="1">
      <c r="A11" s="617">
        <v>41183</v>
      </c>
      <c r="B11" s="811">
        <v>2125883962.0699999</v>
      </c>
      <c r="C11" s="811">
        <v>14978083.199999999</v>
      </c>
      <c r="D11" s="811">
        <v>106956114.69</v>
      </c>
      <c r="E11" s="811">
        <v>14602306.24</v>
      </c>
      <c r="F11" s="811">
        <v>11722000</v>
      </c>
      <c r="G11" s="647">
        <f t="shared" si="0"/>
        <v>2274142466.1999998</v>
      </c>
      <c r="H11" s="148"/>
      <c r="I11" s="148"/>
      <c r="J11" s="148"/>
      <c r="M11" s="60"/>
      <c r="N11" s="60"/>
      <c r="O11" s="60"/>
      <c r="P11" s="60"/>
      <c r="Q11" s="60"/>
      <c r="R11" s="60"/>
      <c r="S11" s="60"/>
      <c r="T11" s="60"/>
      <c r="U11" s="60"/>
      <c r="V11" s="60"/>
    </row>
    <row r="12" spans="1:22" s="128" customFormat="1" hidden="1">
      <c r="A12" s="617">
        <v>41214</v>
      </c>
      <c r="B12" s="811">
        <v>2141374195</v>
      </c>
      <c r="C12" s="811">
        <v>15429624</v>
      </c>
      <c r="D12" s="811">
        <v>105457651.34999999</v>
      </c>
      <c r="E12" s="811">
        <v>14599588.109999999</v>
      </c>
      <c r="F12" s="811">
        <v>11938000</v>
      </c>
      <c r="G12" s="647">
        <f t="shared" si="0"/>
        <v>2288799058.46</v>
      </c>
      <c r="H12" s="148"/>
      <c r="I12" s="148"/>
      <c r="J12" s="148"/>
      <c r="M12" s="60"/>
      <c r="N12" s="60"/>
      <c r="O12" s="60"/>
      <c r="P12" s="60"/>
      <c r="Q12" s="60"/>
      <c r="R12" s="60"/>
      <c r="S12" s="60"/>
      <c r="T12" s="60"/>
      <c r="U12" s="60"/>
      <c r="V12" s="60"/>
    </row>
    <row r="13" spans="1:22" s="128" customFormat="1" hidden="1">
      <c r="A13" s="617">
        <v>41244</v>
      </c>
      <c r="B13" s="811">
        <v>2159200334.3299999</v>
      </c>
      <c r="C13" s="811">
        <v>15560304</v>
      </c>
      <c r="D13" s="811">
        <v>105512622.2</v>
      </c>
      <c r="E13" s="811">
        <v>15137030.369999999</v>
      </c>
      <c r="F13" s="811">
        <v>11788000</v>
      </c>
      <c r="G13" s="647">
        <f t="shared" si="0"/>
        <v>2307198290.8999996</v>
      </c>
      <c r="H13" s="148"/>
      <c r="I13" s="148"/>
      <c r="J13" s="148"/>
      <c r="M13" s="60"/>
      <c r="N13" s="60"/>
      <c r="O13" s="60"/>
      <c r="P13" s="60"/>
      <c r="Q13" s="60"/>
      <c r="R13" s="60"/>
      <c r="S13" s="60"/>
      <c r="T13" s="60"/>
      <c r="U13" s="60"/>
      <c r="V13" s="60"/>
    </row>
    <row r="14" spans="1:22" s="128" customFormat="1" hidden="1">
      <c r="A14" s="617">
        <v>41275</v>
      </c>
      <c r="B14" s="811">
        <v>2174201755.5999999</v>
      </c>
      <c r="C14" s="811">
        <v>15483990</v>
      </c>
      <c r="D14" s="811">
        <v>105749248.97</v>
      </c>
      <c r="E14" s="811">
        <v>14614706.6</v>
      </c>
      <c r="F14" s="811">
        <v>11512000</v>
      </c>
      <c r="G14" s="647">
        <f t="shared" si="0"/>
        <v>2321561701.1699996</v>
      </c>
      <c r="H14" s="148"/>
      <c r="I14" s="148"/>
      <c r="J14" s="148"/>
      <c r="M14" s="60"/>
      <c r="N14" s="60"/>
      <c r="O14" s="60"/>
      <c r="P14" s="60"/>
      <c r="Q14" s="60"/>
      <c r="R14" s="60"/>
      <c r="S14" s="60"/>
      <c r="T14" s="60"/>
      <c r="U14" s="60"/>
      <c r="V14" s="60"/>
    </row>
    <row r="15" spans="1:22" s="128" customFormat="1" hidden="1">
      <c r="A15" s="617">
        <v>41306</v>
      </c>
      <c r="B15" s="811">
        <v>2182632190.6999998</v>
      </c>
      <c r="C15" s="811">
        <v>15448366.800000001</v>
      </c>
      <c r="D15" s="811">
        <v>99767702.469999999</v>
      </c>
      <c r="E15" s="811">
        <v>14273758.689999999</v>
      </c>
      <c r="F15" s="811">
        <v>11324000</v>
      </c>
      <c r="G15" s="647">
        <f t="shared" si="0"/>
        <v>2323446018.6599998</v>
      </c>
      <c r="H15" s="148"/>
      <c r="I15" s="148"/>
      <c r="J15" s="148"/>
      <c r="M15" s="60"/>
      <c r="N15" s="60"/>
      <c r="O15" s="60"/>
      <c r="P15" s="60"/>
      <c r="Q15" s="60"/>
      <c r="R15" s="60"/>
      <c r="S15" s="60"/>
      <c r="T15" s="60"/>
      <c r="U15" s="60"/>
      <c r="V15" s="60"/>
    </row>
    <row r="16" spans="1:22" s="128" customFormat="1" hidden="1">
      <c r="A16" s="617">
        <v>41334</v>
      </c>
      <c r="B16" s="811">
        <f>2108341901.66+94962498.34</f>
        <v>2203304400</v>
      </c>
      <c r="C16" s="811">
        <v>15690300</v>
      </c>
      <c r="D16" s="811">
        <v>108548358.76000001</v>
      </c>
      <c r="E16" s="811">
        <v>15112313.4</v>
      </c>
      <c r="F16" s="811">
        <v>11358000</v>
      </c>
      <c r="G16" s="647">
        <f t="shared" si="0"/>
        <v>2354013372.1600003</v>
      </c>
      <c r="H16" s="148"/>
      <c r="I16" s="148"/>
      <c r="J16" s="148"/>
      <c r="M16" s="60"/>
      <c r="N16" s="60"/>
      <c r="O16" s="60"/>
      <c r="P16" s="60"/>
      <c r="Q16" s="60"/>
      <c r="R16" s="60"/>
      <c r="S16" s="60"/>
      <c r="T16" s="60"/>
      <c r="U16" s="60"/>
      <c r="V16" s="60"/>
    </row>
    <row r="17" spans="1:22" s="128" customFormat="1" hidden="1">
      <c r="A17" s="617">
        <v>41365</v>
      </c>
      <c r="B17" s="811">
        <v>2221959648.2799993</v>
      </c>
      <c r="C17" s="811">
        <v>15659785.200000003</v>
      </c>
      <c r="D17" s="811">
        <v>111003322.88</v>
      </c>
      <c r="E17" s="811">
        <v>15444140.75</v>
      </c>
      <c r="F17" s="811">
        <v>11486000</v>
      </c>
      <c r="G17" s="647">
        <f t="shared" si="0"/>
        <v>2375552897.1099992</v>
      </c>
      <c r="H17" s="148"/>
      <c r="I17" s="148"/>
      <c r="J17" s="148"/>
      <c r="M17" s="60"/>
      <c r="N17" s="60"/>
      <c r="O17" s="60"/>
      <c r="P17" s="60"/>
      <c r="Q17" s="60"/>
      <c r="R17" s="60"/>
      <c r="S17" s="60"/>
      <c r="T17" s="60"/>
      <c r="U17" s="60"/>
      <c r="V17" s="60"/>
    </row>
    <row r="18" spans="1:22" s="128" customFormat="1" hidden="1">
      <c r="A18" s="617">
        <v>41395</v>
      </c>
      <c r="B18" s="811">
        <f>2163665514.54+97737192.48</f>
        <v>2261402707.02</v>
      </c>
      <c r="C18" s="811">
        <v>16051560</v>
      </c>
      <c r="D18" s="811">
        <v>111136266.16</v>
      </c>
      <c r="E18" s="811">
        <v>15905910.01</v>
      </c>
      <c r="F18" s="811">
        <v>11054000</v>
      </c>
      <c r="G18" s="647">
        <f t="shared" si="0"/>
        <v>2415550443.1900001</v>
      </c>
      <c r="H18" s="148"/>
      <c r="I18" s="148"/>
      <c r="J18" s="148"/>
      <c r="M18" s="60"/>
      <c r="N18" s="60"/>
      <c r="O18" s="60"/>
      <c r="P18" s="60"/>
      <c r="Q18" s="60"/>
      <c r="R18" s="60"/>
      <c r="S18" s="60"/>
      <c r="T18" s="60"/>
      <c r="U18" s="60"/>
      <c r="V18" s="60"/>
    </row>
    <row r="19" spans="1:22" s="128" customFormat="1" hidden="1">
      <c r="A19" s="617">
        <v>41426</v>
      </c>
      <c r="B19" s="811">
        <f>2169110060.83+99247390.28</f>
        <v>2268357451.1100001</v>
      </c>
      <c r="C19" s="811">
        <v>16310989.199999999</v>
      </c>
      <c r="D19" s="811">
        <v>108957367.63</v>
      </c>
      <c r="E19" s="811">
        <v>15605288.029999999</v>
      </c>
      <c r="F19" s="811">
        <v>85528255.859999999</v>
      </c>
      <c r="G19" s="647">
        <f t="shared" si="0"/>
        <v>2494759351.8300004</v>
      </c>
      <c r="H19" s="148"/>
      <c r="I19" s="148"/>
      <c r="J19" s="148"/>
      <c r="M19" s="60"/>
      <c r="N19" s="60"/>
      <c r="O19" s="60"/>
      <c r="P19" s="60"/>
      <c r="Q19" s="60"/>
      <c r="R19" s="60"/>
      <c r="S19" s="60"/>
      <c r="T19" s="60"/>
      <c r="U19" s="60"/>
      <c r="V19" s="60"/>
    </row>
    <row r="20" spans="1:22" s="128" customFormat="1" hidden="1">
      <c r="A20" s="617">
        <v>41456</v>
      </c>
      <c r="B20" s="811">
        <f>2183197689.58+100499955.92</f>
        <v>2283697645.5</v>
      </c>
      <c r="C20" s="811">
        <v>16173494.4</v>
      </c>
      <c r="D20" s="811">
        <v>115219894.79000001</v>
      </c>
      <c r="E20" s="811">
        <v>16129050.25</v>
      </c>
      <c r="F20" s="811">
        <v>10868000</v>
      </c>
      <c r="G20" s="647">
        <f t="shared" si="0"/>
        <v>2442088084.9400001</v>
      </c>
      <c r="H20" s="148"/>
      <c r="I20" s="148"/>
      <c r="J20" s="148"/>
      <c r="M20" s="60"/>
      <c r="N20" s="60"/>
      <c r="O20" s="60"/>
      <c r="P20" s="60"/>
      <c r="Q20" s="60"/>
      <c r="R20" s="60"/>
      <c r="S20" s="60"/>
      <c r="T20" s="60"/>
      <c r="U20" s="60"/>
      <c r="V20" s="60"/>
    </row>
    <row r="21" spans="1:22" s="128" customFormat="1" hidden="1">
      <c r="A21" s="617">
        <v>41487</v>
      </c>
      <c r="B21" s="811">
        <f>2328049138.03+101803832.44</f>
        <v>2429852970.4700003</v>
      </c>
      <c r="C21" s="811">
        <v>0</v>
      </c>
      <c r="D21" s="811">
        <v>121515967.52</v>
      </c>
      <c r="E21" s="811">
        <v>16274110.470000001</v>
      </c>
      <c r="F21" s="811">
        <v>10994000</v>
      </c>
      <c r="G21" s="647">
        <f t="shared" si="0"/>
        <v>2578637048.46</v>
      </c>
      <c r="H21" s="148"/>
      <c r="I21" s="148"/>
      <c r="J21" s="148"/>
      <c r="M21" s="60"/>
      <c r="N21" s="60"/>
      <c r="O21" s="60"/>
      <c r="P21" s="60"/>
      <c r="Q21" s="60"/>
      <c r="R21" s="60"/>
      <c r="S21" s="60"/>
      <c r="T21" s="60"/>
      <c r="U21" s="60"/>
      <c r="V21" s="60"/>
    </row>
    <row r="22" spans="1:22" s="128" customFormat="1" hidden="1">
      <c r="A22" s="617">
        <v>41518</v>
      </c>
      <c r="B22" s="811">
        <f>2326812733.18+108729177.65</f>
        <v>2435541910.8299999</v>
      </c>
      <c r="C22" s="811">
        <v>40815729</v>
      </c>
      <c r="D22" s="811">
        <v>123930797.52</v>
      </c>
      <c r="E22" s="811">
        <v>16379519.140000001</v>
      </c>
      <c r="F22" s="811">
        <v>11810000</v>
      </c>
      <c r="G22" s="647">
        <f t="shared" si="0"/>
        <v>2628477956.4899998</v>
      </c>
      <c r="H22" s="148"/>
      <c r="I22" s="148"/>
      <c r="J22" s="148"/>
      <c r="M22" s="60"/>
      <c r="N22" s="60"/>
      <c r="O22" s="60"/>
      <c r="P22" s="60"/>
      <c r="Q22" s="60"/>
      <c r="R22" s="60"/>
      <c r="S22" s="60"/>
      <c r="T22" s="60"/>
      <c r="U22" s="60"/>
      <c r="V22" s="60"/>
    </row>
    <row r="23" spans="1:22" s="128" customFormat="1" hidden="1">
      <c r="A23" s="617">
        <v>41548</v>
      </c>
      <c r="B23" s="811">
        <f>2328121826.14+109336096.57</f>
        <v>2437457922.71</v>
      </c>
      <c r="C23" s="811">
        <v>20329364.100000001</v>
      </c>
      <c r="D23" s="811">
        <v>117397614.59</v>
      </c>
      <c r="E23" s="811">
        <v>16722912.18</v>
      </c>
      <c r="F23" s="811">
        <v>13068000</v>
      </c>
      <c r="G23" s="647">
        <f t="shared" ref="G23:G31" si="1">SUM(B23:F23)</f>
        <v>2604975813.5799999</v>
      </c>
      <c r="H23" s="148"/>
      <c r="I23" s="148"/>
      <c r="J23" s="148"/>
      <c r="M23" s="60"/>
      <c r="N23" s="60"/>
      <c r="O23" s="60"/>
      <c r="P23" s="60"/>
      <c r="Q23" s="60"/>
      <c r="R23" s="60"/>
      <c r="S23" s="60"/>
      <c r="T23" s="60"/>
      <c r="U23" s="60"/>
      <c r="V23" s="60"/>
    </row>
    <row r="24" spans="1:22" s="128" customFormat="1" hidden="1">
      <c r="A24" s="617">
        <v>41579</v>
      </c>
      <c r="B24" s="811">
        <f>2378933095.37+111683874.55</f>
        <v>2490616969.9200001</v>
      </c>
      <c r="C24" s="811">
        <v>20927233.5</v>
      </c>
      <c r="D24" s="811">
        <v>113654389.34</v>
      </c>
      <c r="E24" s="811">
        <v>16646340.949999999</v>
      </c>
      <c r="F24" s="811">
        <v>13488000</v>
      </c>
      <c r="G24" s="647">
        <f t="shared" si="1"/>
        <v>2655332933.71</v>
      </c>
      <c r="H24" s="148"/>
      <c r="I24" s="148"/>
      <c r="J24" s="148"/>
      <c r="M24" s="60"/>
      <c r="N24" s="60"/>
      <c r="O24" s="60"/>
      <c r="P24" s="60"/>
      <c r="Q24" s="60"/>
      <c r="R24" s="60"/>
      <c r="S24" s="60"/>
      <c r="T24" s="60"/>
      <c r="U24" s="60"/>
      <c r="V24" s="60"/>
    </row>
    <row r="25" spans="1:22" s="128" customFormat="1">
      <c r="A25" s="617">
        <v>41609</v>
      </c>
      <c r="B25" s="811">
        <f>2365059873.75+112011235.68</f>
        <v>2477071109.4299998</v>
      </c>
      <c r="C25" s="811">
        <v>20814935.399999999</v>
      </c>
      <c r="D25" s="811">
        <v>121384670.51000001</v>
      </c>
      <c r="E25" s="811">
        <v>17384193.73</v>
      </c>
      <c r="F25" s="811">
        <v>13296000</v>
      </c>
      <c r="G25" s="647">
        <f t="shared" si="1"/>
        <v>2649950909.0700002</v>
      </c>
      <c r="H25" s="148"/>
      <c r="I25" s="148"/>
      <c r="J25" s="148"/>
      <c r="M25" s="60"/>
      <c r="N25" s="60"/>
      <c r="O25" s="60"/>
      <c r="P25" s="60"/>
      <c r="Q25" s="60"/>
      <c r="R25" s="60"/>
      <c r="S25" s="60"/>
      <c r="T25" s="60"/>
      <c r="U25" s="60"/>
      <c r="V25" s="60"/>
    </row>
    <row r="26" spans="1:22" s="128" customFormat="1">
      <c r="A26" s="617">
        <v>41640</v>
      </c>
      <c r="B26" s="811">
        <f>2370833012.04+110290839.85</f>
        <v>2481123851.8899999</v>
      </c>
      <c r="C26" s="811">
        <v>20979055.5</v>
      </c>
      <c r="D26" s="811">
        <v>117579749.40000001</v>
      </c>
      <c r="E26" s="811">
        <v>16737868.779999999</v>
      </c>
      <c r="F26" s="811">
        <v>13096000</v>
      </c>
      <c r="G26" s="647">
        <f t="shared" si="1"/>
        <v>2649516525.5700002</v>
      </c>
      <c r="H26" s="148"/>
      <c r="I26" s="148"/>
      <c r="J26" s="148"/>
      <c r="M26" s="60"/>
      <c r="N26" s="60"/>
      <c r="O26" s="60"/>
      <c r="P26" s="60"/>
      <c r="Q26" s="60"/>
      <c r="R26" s="60"/>
      <c r="S26" s="60"/>
      <c r="T26" s="60"/>
      <c r="U26" s="60"/>
      <c r="V26" s="60"/>
    </row>
    <row r="27" spans="1:22" s="128" customFormat="1">
      <c r="A27" s="617">
        <v>41671</v>
      </c>
      <c r="B27" s="811">
        <f>2410462517.64+111272884.84</f>
        <v>2521735402.48</v>
      </c>
      <c r="C27" s="811">
        <v>21008001</v>
      </c>
      <c r="D27" s="811">
        <v>120115331.20999999</v>
      </c>
      <c r="E27" s="811">
        <v>16897600.02</v>
      </c>
      <c r="F27" s="811">
        <v>12830000</v>
      </c>
      <c r="G27" s="647">
        <f t="shared" si="1"/>
        <v>2692586334.71</v>
      </c>
      <c r="H27" s="148"/>
      <c r="I27" s="148"/>
      <c r="J27" s="148"/>
      <c r="M27" s="60"/>
      <c r="N27" s="60"/>
      <c r="O27" s="60"/>
      <c r="P27" s="60"/>
      <c r="Q27" s="60"/>
      <c r="R27" s="60"/>
      <c r="S27" s="60"/>
      <c r="T27" s="60"/>
      <c r="U27" s="60"/>
      <c r="V27" s="60"/>
    </row>
    <row r="28" spans="1:22" s="128" customFormat="1">
      <c r="A28" s="617">
        <v>41699</v>
      </c>
      <c r="B28" s="811">
        <f>2405760396.48+115501679.39</f>
        <v>2521262075.8699999</v>
      </c>
      <c r="C28" s="811">
        <v>21071451</v>
      </c>
      <c r="D28" s="811">
        <v>128948107.11</v>
      </c>
      <c r="E28" s="811">
        <v>17473435.41</v>
      </c>
      <c r="F28" s="811">
        <v>13236000</v>
      </c>
      <c r="G28" s="647">
        <f t="shared" si="1"/>
        <v>2701991069.3899999</v>
      </c>
      <c r="H28" s="148"/>
      <c r="I28" s="148"/>
      <c r="J28" s="148"/>
      <c r="M28" s="60"/>
      <c r="N28" s="60"/>
      <c r="O28" s="60"/>
      <c r="P28" s="60"/>
      <c r="Q28" s="60"/>
      <c r="R28" s="60"/>
      <c r="S28" s="60"/>
      <c r="T28" s="60"/>
      <c r="U28" s="60"/>
      <c r="V28" s="60"/>
    </row>
    <row r="29" spans="1:22" s="128" customFormat="1">
      <c r="A29" s="617">
        <v>41730</v>
      </c>
      <c r="B29" s="811">
        <f>117950687.43+2453087807.05</f>
        <v>2571038494.48</v>
      </c>
      <c r="C29" s="811">
        <v>21381019.199999999</v>
      </c>
      <c r="D29" s="811">
        <v>126664709.78</v>
      </c>
      <c r="E29" s="811">
        <v>17588136.32</v>
      </c>
      <c r="F29" s="811">
        <v>108461320</v>
      </c>
      <c r="G29" s="647">
        <f t="shared" si="1"/>
        <v>2845133679.7800002</v>
      </c>
      <c r="H29" s="148"/>
      <c r="I29" s="148"/>
      <c r="J29" s="148"/>
      <c r="M29" s="60"/>
      <c r="N29" s="60"/>
      <c r="O29" s="60"/>
      <c r="P29" s="60"/>
      <c r="Q29" s="60"/>
      <c r="R29" s="60"/>
      <c r="S29" s="60"/>
      <c r="T29" s="60"/>
      <c r="U29" s="60"/>
      <c r="V29" s="60"/>
    </row>
    <row r="30" spans="1:22" s="128" customFormat="1">
      <c r="A30" s="617">
        <v>41760</v>
      </c>
      <c r="B30" s="811">
        <f>2376494438.4+116052585.94</f>
        <v>2492547024.3400002</v>
      </c>
      <c r="C30" s="811">
        <v>0</v>
      </c>
      <c r="D30" s="811">
        <v>128425724.31999999</v>
      </c>
      <c r="E30" s="811">
        <v>17684785.719999999</v>
      </c>
      <c r="F30" s="811">
        <v>13130000</v>
      </c>
      <c r="G30" s="647">
        <f t="shared" si="1"/>
        <v>2651787534.3800001</v>
      </c>
      <c r="H30" s="148"/>
      <c r="I30" s="148"/>
      <c r="J30" s="148"/>
      <c r="M30" s="60"/>
      <c r="N30" s="60"/>
      <c r="O30" s="60"/>
      <c r="P30" s="60"/>
      <c r="Q30" s="60"/>
      <c r="R30" s="60"/>
      <c r="S30" s="60"/>
      <c r="T30" s="60"/>
      <c r="U30" s="60"/>
      <c r="V30" s="60"/>
    </row>
    <row r="31" spans="1:22" s="128" customFormat="1">
      <c r="A31" s="617">
        <v>41791</v>
      </c>
      <c r="B31" s="811">
        <f>2561402362.08+122565273.33</f>
        <v>2683967635.4099998</v>
      </c>
      <c r="C31" s="811">
        <v>43392624</v>
      </c>
      <c r="D31" s="811">
        <v>137309264.62</v>
      </c>
      <c r="E31" s="811">
        <v>18317103.920000002</v>
      </c>
      <c r="F31" s="811">
        <v>13402000</v>
      </c>
      <c r="G31" s="647">
        <f t="shared" si="1"/>
        <v>2896388627.9499998</v>
      </c>
      <c r="H31" s="148"/>
      <c r="I31" s="148"/>
      <c r="J31" s="148"/>
      <c r="M31" s="60"/>
      <c r="N31" s="60"/>
      <c r="O31" s="60"/>
      <c r="P31" s="60"/>
      <c r="Q31" s="60"/>
      <c r="R31" s="60"/>
      <c r="S31" s="60"/>
      <c r="T31" s="60"/>
      <c r="U31" s="60"/>
      <c r="V31" s="60"/>
    </row>
    <row r="32" spans="1:22" s="128" customFormat="1">
      <c r="A32" s="617">
        <v>41821</v>
      </c>
      <c r="B32" s="811">
        <f>2474426756.12+119765972.34</f>
        <v>2594192728.46</v>
      </c>
      <c r="C32" s="811">
        <v>21695539.5</v>
      </c>
      <c r="D32" s="811">
        <v>133174993.88</v>
      </c>
      <c r="E32" s="811">
        <v>18106572.739999998</v>
      </c>
      <c r="F32" s="811">
        <v>13136000</v>
      </c>
      <c r="G32" s="647">
        <f t="shared" ref="G32:G37" si="2">SUM(B32:F32)</f>
        <v>2780305834.5799999</v>
      </c>
      <c r="H32" s="148"/>
      <c r="I32" s="148"/>
      <c r="J32" s="148"/>
      <c r="M32" s="60"/>
      <c r="N32" s="60"/>
      <c r="O32" s="60"/>
      <c r="P32" s="60"/>
      <c r="Q32" s="60"/>
      <c r="R32" s="60"/>
      <c r="S32" s="60"/>
      <c r="T32" s="60"/>
      <c r="U32" s="60"/>
      <c r="V32" s="60"/>
    </row>
    <row r="33" spans="1:22" s="128" customFormat="1">
      <c r="A33" s="617">
        <v>41852</v>
      </c>
      <c r="B33" s="811">
        <f>2520343326.08+121477661.93</f>
        <v>2641820988.0099998</v>
      </c>
      <c r="C33" s="811">
        <v>22127010</v>
      </c>
      <c r="D33" s="811">
        <v>131852721.61</v>
      </c>
      <c r="E33" s="811">
        <v>18117489.039999999</v>
      </c>
      <c r="F33" s="811">
        <v>14004000</v>
      </c>
      <c r="G33" s="647">
        <f t="shared" si="2"/>
        <v>2827922208.6599998</v>
      </c>
      <c r="H33" s="148"/>
      <c r="I33" s="148"/>
      <c r="J33" s="148"/>
      <c r="M33" s="60"/>
      <c r="N33" s="60"/>
      <c r="O33" s="60"/>
      <c r="P33" s="60"/>
      <c r="Q33" s="60"/>
      <c r="R33" s="60"/>
      <c r="S33" s="60"/>
      <c r="T33" s="60"/>
      <c r="U33" s="60"/>
      <c r="V33" s="60"/>
    </row>
    <row r="34" spans="1:22" s="128" customFormat="1">
      <c r="A34" s="617">
        <v>41883</v>
      </c>
      <c r="B34" s="811">
        <f>2508394483.86+122793352.79</f>
        <v>2631187836.6500001</v>
      </c>
      <c r="C34" s="811">
        <v>21933249</v>
      </c>
      <c r="D34" s="811">
        <v>134291668.47999999</v>
      </c>
      <c r="E34" s="811">
        <v>18358494.530000001</v>
      </c>
      <c r="F34" s="811">
        <v>15014000</v>
      </c>
      <c r="G34" s="647">
        <f t="shared" si="2"/>
        <v>2820785248.6600003</v>
      </c>
      <c r="H34" s="148"/>
      <c r="I34" s="148"/>
      <c r="J34" s="148"/>
      <c r="M34" s="60"/>
      <c r="N34" s="60"/>
      <c r="O34" s="60"/>
      <c r="P34" s="60"/>
      <c r="Q34" s="60"/>
      <c r="R34" s="60"/>
      <c r="S34" s="60"/>
      <c r="T34" s="60"/>
      <c r="U34" s="60"/>
      <c r="V34" s="60"/>
    </row>
    <row r="35" spans="1:22" s="128" customFormat="1">
      <c r="A35" s="617">
        <v>41913</v>
      </c>
      <c r="B35" s="811">
        <f>2533158484.8+124243850.76</f>
        <v>2657402335.5600004</v>
      </c>
      <c r="C35" s="811">
        <v>22144288.5</v>
      </c>
      <c r="D35" s="811">
        <v>134502961.25999999</v>
      </c>
      <c r="E35" s="811">
        <v>18689133.52</v>
      </c>
      <c r="F35" s="811">
        <v>15616000</v>
      </c>
      <c r="G35" s="647">
        <f t="shared" si="2"/>
        <v>2848354718.8400006</v>
      </c>
      <c r="H35" s="148"/>
      <c r="I35" s="148"/>
      <c r="J35" s="148"/>
      <c r="M35" s="60"/>
      <c r="N35" s="60"/>
      <c r="O35" s="60"/>
      <c r="P35" s="60"/>
      <c r="Q35" s="60"/>
      <c r="R35" s="60"/>
      <c r="S35" s="60"/>
      <c r="T35" s="60"/>
      <c r="U35" s="60"/>
      <c r="V35" s="60"/>
    </row>
    <row r="36" spans="1:22" s="128" customFormat="1">
      <c r="A36" s="617">
        <v>41944</v>
      </c>
      <c r="B36" s="811">
        <f>2549528229.6+125876754.03</f>
        <v>2675404983.6300001</v>
      </c>
      <c r="C36" s="811">
        <v>22622574</v>
      </c>
      <c r="D36" s="811">
        <v>129397014.25</v>
      </c>
      <c r="E36" s="811">
        <v>18490936.91</v>
      </c>
      <c r="F36" s="811">
        <v>15756000</v>
      </c>
      <c r="G36" s="647">
        <f t="shared" si="2"/>
        <v>2861671508.79</v>
      </c>
      <c r="H36" s="148"/>
      <c r="I36" s="148"/>
      <c r="J36" s="148"/>
      <c r="M36" s="60"/>
      <c r="N36" s="60"/>
      <c r="O36" s="60"/>
      <c r="P36" s="60"/>
      <c r="Q36" s="60"/>
      <c r="R36" s="60"/>
      <c r="S36" s="60"/>
      <c r="T36" s="60"/>
      <c r="U36" s="60"/>
      <c r="V36" s="60"/>
    </row>
    <row r="37" spans="1:22" s="128" customFormat="1">
      <c r="A37" s="617">
        <v>41974</v>
      </c>
      <c r="B37" s="811">
        <f>2568919254.45+126509159.97</f>
        <v>2695428414.4199996</v>
      </c>
      <c r="C37" s="811">
        <v>22553880</v>
      </c>
      <c r="D37" s="811">
        <v>133971069.88</v>
      </c>
      <c r="E37" s="811">
        <v>19457072.02</v>
      </c>
      <c r="F37" s="811">
        <v>14748000</v>
      </c>
      <c r="G37" s="647">
        <f t="shared" si="2"/>
        <v>2886158436.3199997</v>
      </c>
      <c r="H37" s="148"/>
      <c r="I37" s="148"/>
      <c r="J37" s="148"/>
      <c r="M37" s="60"/>
      <c r="N37" s="60"/>
      <c r="O37" s="60"/>
      <c r="P37" s="60"/>
      <c r="Q37" s="60"/>
      <c r="R37" s="60"/>
      <c r="S37" s="60"/>
      <c r="T37" s="60"/>
      <c r="U37" s="60"/>
      <c r="V37" s="60"/>
    </row>
    <row r="38" spans="1:22">
      <c r="A38" s="617" t="s">
        <v>167</v>
      </c>
      <c r="B38" s="647">
        <f t="shared" ref="B38:G38" si="3">SUM(B25:B37)</f>
        <v>33644182880.629997</v>
      </c>
      <c r="C38" s="647">
        <f t="shared" si="3"/>
        <v>281723627.10000002</v>
      </c>
      <c r="D38" s="647">
        <f t="shared" si="3"/>
        <v>1677617986.3099999</v>
      </c>
      <c r="E38" s="647">
        <f t="shared" si="3"/>
        <v>233302822.66</v>
      </c>
      <c r="F38" s="647">
        <f t="shared" si="3"/>
        <v>275725320</v>
      </c>
      <c r="G38" s="647">
        <f t="shared" si="3"/>
        <v>36112552636.699997</v>
      </c>
      <c r="H38" s="27"/>
      <c r="I38" s="27"/>
      <c r="J38" s="27"/>
      <c r="L38"/>
      <c r="M38" s="60"/>
      <c r="N38" s="60"/>
      <c r="O38" s="60"/>
      <c r="P38" s="60"/>
      <c r="Q38" s="60"/>
      <c r="R38" s="60"/>
      <c r="V38" s="60"/>
    </row>
    <row r="39" spans="1:22" s="27" customFormat="1" ht="39" customHeight="1">
      <c r="A39" s="2314"/>
      <c r="B39" s="2314"/>
      <c r="C39" s="2314"/>
      <c r="D39" s="2314"/>
      <c r="E39" s="2314"/>
      <c r="F39" s="2314"/>
      <c r="G39" s="2314"/>
      <c r="H39" s="1067"/>
      <c r="I39" s="1067"/>
      <c r="L39" s="132"/>
      <c r="M39" s="132"/>
      <c r="N39" s="132"/>
      <c r="O39" s="132"/>
      <c r="P39" s="132"/>
      <c r="Q39" s="132"/>
      <c r="R39" s="132"/>
      <c r="S39" s="132"/>
      <c r="T39" s="132"/>
      <c r="U39" s="132"/>
    </row>
    <row r="40" spans="1:22" ht="13.5" customHeight="1">
      <c r="A40" s="1067"/>
      <c r="B40" s="1067"/>
      <c r="C40" s="1067"/>
      <c r="D40" s="1067"/>
      <c r="E40" s="1067"/>
      <c r="F40" s="1067"/>
      <c r="G40" s="1067"/>
      <c r="H40" s="1067"/>
      <c r="I40" s="1067"/>
      <c r="L40" s="60"/>
      <c r="M40" s="60"/>
      <c r="N40" s="60"/>
      <c r="O40" s="60"/>
      <c r="P40" s="60"/>
      <c r="Q40" s="60"/>
      <c r="R40" s="60"/>
    </row>
    <row r="41" spans="1:22">
      <c r="L41" s="60"/>
      <c r="M41" s="60"/>
      <c r="N41" s="60"/>
      <c r="O41" s="60"/>
      <c r="P41" s="60"/>
      <c r="Q41" s="60"/>
      <c r="R41" s="60"/>
    </row>
    <row r="42" spans="1:22">
      <c r="L42" s="60"/>
      <c r="M42" s="60"/>
      <c r="N42" s="60"/>
      <c r="O42" s="60"/>
      <c r="P42" s="60"/>
      <c r="Q42" s="60"/>
      <c r="R42" s="60"/>
    </row>
    <row r="43" spans="1:22">
      <c r="L43" s="60"/>
      <c r="M43" s="60"/>
      <c r="N43" s="60"/>
      <c r="O43" s="60"/>
      <c r="P43" s="60"/>
      <c r="Q43" s="60"/>
      <c r="R43" s="60"/>
    </row>
    <row r="44" spans="1:22">
      <c r="L44" s="60"/>
      <c r="M44" s="60"/>
      <c r="N44" s="60"/>
      <c r="O44" s="60"/>
      <c r="P44" s="60"/>
      <c r="Q44" s="60"/>
      <c r="R44" s="60"/>
    </row>
    <row r="45" spans="1:22">
      <c r="L45" s="60"/>
      <c r="M45" s="60"/>
      <c r="N45" s="60"/>
      <c r="O45" s="60"/>
      <c r="P45" s="60"/>
      <c r="Q45" s="60"/>
      <c r="R45" s="60"/>
    </row>
    <row r="46" spans="1:22">
      <c r="L46" s="60"/>
      <c r="M46" s="60"/>
      <c r="N46" s="60"/>
      <c r="O46" s="60"/>
      <c r="P46" s="60"/>
      <c r="Q46" s="60"/>
      <c r="R46" s="60"/>
    </row>
    <row r="47" spans="1:22">
      <c r="L47" s="60"/>
      <c r="M47" s="60"/>
      <c r="N47" s="60"/>
      <c r="O47" s="60"/>
      <c r="P47" s="60"/>
      <c r="Q47" s="60"/>
      <c r="R47" s="60"/>
    </row>
    <row r="48" spans="1:22">
      <c r="L48" s="60"/>
      <c r="M48" s="60"/>
      <c r="N48" s="60"/>
      <c r="O48" s="60"/>
      <c r="P48" s="60"/>
      <c r="Q48" s="60"/>
      <c r="R48" s="60"/>
    </row>
    <row r="49" spans="12:18">
      <c r="L49" s="60"/>
      <c r="M49" s="60"/>
      <c r="N49" s="60"/>
      <c r="O49" s="60"/>
      <c r="P49" s="60"/>
      <c r="Q49" s="60"/>
      <c r="R49" s="60"/>
    </row>
    <row r="50" spans="12:18">
      <c r="L50" s="60"/>
      <c r="M50" s="60"/>
      <c r="N50" s="60"/>
      <c r="O50" s="60"/>
      <c r="P50" s="60"/>
      <c r="Q50" s="60"/>
      <c r="R50" s="60"/>
    </row>
    <row r="51" spans="12:18">
      <c r="L51" s="60"/>
      <c r="M51" s="60"/>
      <c r="N51" s="60"/>
      <c r="O51" s="60"/>
      <c r="P51" s="60"/>
      <c r="Q51" s="60"/>
      <c r="R51" s="60"/>
    </row>
    <row r="52" spans="12:18">
      <c r="L52" s="60"/>
      <c r="M52" s="60"/>
      <c r="N52" s="60"/>
      <c r="O52" s="60"/>
      <c r="P52" s="60"/>
      <c r="Q52" s="60"/>
      <c r="R52" s="60"/>
    </row>
    <row r="53" spans="12:18">
      <c r="L53" s="60"/>
      <c r="M53" s="60"/>
      <c r="N53" s="60"/>
      <c r="O53" s="60"/>
      <c r="P53" s="60"/>
      <c r="Q53" s="60"/>
      <c r="R53" s="60"/>
    </row>
    <row r="54" spans="12:18">
      <c r="L54" s="60"/>
      <c r="M54" s="60"/>
      <c r="N54" s="60"/>
      <c r="O54" s="60"/>
      <c r="P54" s="60"/>
      <c r="Q54" s="60"/>
      <c r="R54" s="60"/>
    </row>
    <row r="55" spans="12:18">
      <c r="L55" s="60"/>
      <c r="M55" s="60"/>
      <c r="N55" s="60"/>
      <c r="O55" s="60"/>
      <c r="P55" s="60"/>
      <c r="Q55" s="60"/>
      <c r="R55" s="60"/>
    </row>
    <row r="56" spans="12:18">
      <c r="L56" s="60"/>
      <c r="M56" s="60"/>
      <c r="N56" s="60"/>
      <c r="O56" s="60"/>
      <c r="P56" s="60"/>
      <c r="Q56" s="60"/>
      <c r="R56" s="60"/>
    </row>
    <row r="57" spans="12:18">
      <c r="L57" s="60"/>
      <c r="M57" s="60"/>
      <c r="N57" s="60"/>
      <c r="O57" s="60"/>
      <c r="P57" s="60"/>
      <c r="Q57" s="60"/>
      <c r="R57" s="60"/>
    </row>
    <row r="58" spans="12:18">
      <c r="L58" s="60"/>
      <c r="M58" s="60"/>
      <c r="N58" s="60"/>
      <c r="O58" s="60"/>
      <c r="P58" s="60"/>
      <c r="Q58" s="60"/>
      <c r="R58" s="60"/>
    </row>
    <row r="59" spans="12:18">
      <c r="L59" s="60"/>
      <c r="M59" s="60"/>
      <c r="N59" s="60"/>
      <c r="O59" s="60"/>
      <c r="P59" s="60"/>
      <c r="Q59" s="60"/>
      <c r="R59" s="60"/>
    </row>
    <row r="60" spans="12:18">
      <c r="L60" s="60"/>
      <c r="M60" s="60"/>
      <c r="N60" s="60"/>
      <c r="O60" s="60"/>
      <c r="P60" s="60"/>
      <c r="Q60" s="60"/>
      <c r="R60" s="60"/>
    </row>
    <row r="61" spans="12:18">
      <c r="L61" s="60"/>
      <c r="M61" s="60"/>
      <c r="N61" s="60"/>
      <c r="O61" s="60"/>
      <c r="P61" s="60"/>
      <c r="Q61" s="60"/>
      <c r="R61" s="60"/>
    </row>
    <row r="62" spans="12:18">
      <c r="L62" s="60"/>
      <c r="M62" s="60"/>
      <c r="N62" s="60"/>
      <c r="O62" s="60"/>
      <c r="P62" s="60"/>
      <c r="Q62" s="60"/>
      <c r="R62" s="60"/>
    </row>
    <row r="63" spans="12:18">
      <c r="L63" s="60"/>
      <c r="M63" s="60"/>
      <c r="N63" s="60"/>
      <c r="O63" s="60"/>
      <c r="P63" s="60"/>
      <c r="Q63" s="60"/>
      <c r="R63" s="60"/>
    </row>
    <row r="64" spans="12:18">
      <c r="L64" s="60"/>
      <c r="M64" s="60"/>
      <c r="N64" s="60"/>
      <c r="O64" s="60"/>
      <c r="P64" s="60"/>
      <c r="Q64" s="60"/>
      <c r="R64" s="60"/>
    </row>
    <row r="65" spans="10:18">
      <c r="L65" s="60"/>
      <c r="M65" s="60"/>
      <c r="N65" s="60"/>
      <c r="O65" s="60"/>
      <c r="P65" s="60"/>
      <c r="Q65" s="60"/>
      <c r="R65" s="60"/>
    </row>
    <row r="66" spans="10:18">
      <c r="L66" s="60"/>
      <c r="M66" s="60"/>
      <c r="N66" s="60"/>
      <c r="O66" s="60"/>
      <c r="P66" s="60"/>
      <c r="Q66" s="60"/>
      <c r="R66" s="60"/>
    </row>
    <row r="67" spans="10:18">
      <c r="J67" s="128" t="s">
        <v>252</v>
      </c>
      <c r="L67" s="60"/>
      <c r="M67" s="60"/>
      <c r="N67" s="60"/>
      <c r="O67" s="60"/>
      <c r="P67" s="60"/>
      <c r="Q67" s="60"/>
      <c r="R67" s="60"/>
    </row>
    <row r="68" spans="10:18">
      <c r="L68" s="60"/>
      <c r="M68" s="60"/>
      <c r="N68" s="60"/>
      <c r="O68" s="60"/>
      <c r="P68" s="60"/>
      <c r="Q68" s="60"/>
      <c r="R68" s="60"/>
    </row>
    <row r="69" spans="10:18">
      <c r="L69" s="60"/>
      <c r="M69" s="60"/>
      <c r="N69" s="60"/>
      <c r="O69" s="60"/>
      <c r="P69" s="60"/>
      <c r="Q69" s="60"/>
      <c r="R69" s="60"/>
    </row>
    <row r="70" spans="10:18">
      <c r="L70" s="60"/>
      <c r="M70" s="60"/>
      <c r="N70" s="60"/>
      <c r="O70" s="60"/>
      <c r="P70" s="60"/>
      <c r="Q70" s="60"/>
      <c r="R70" s="60"/>
    </row>
    <row r="71" spans="10:18">
      <c r="L71" s="60"/>
      <c r="M71" s="60"/>
      <c r="N71" s="60"/>
      <c r="O71" s="60"/>
      <c r="P71" s="60"/>
      <c r="Q71" s="60"/>
      <c r="R71" s="60"/>
    </row>
    <row r="72" spans="10:18">
      <c r="L72" s="60"/>
      <c r="M72" s="60"/>
      <c r="N72" s="60"/>
      <c r="O72" s="60"/>
      <c r="P72" s="60"/>
      <c r="Q72" s="60"/>
      <c r="R72" s="60"/>
    </row>
    <row r="73" spans="10:18">
      <c r="L73" s="60"/>
      <c r="M73" s="60"/>
      <c r="N73" s="60"/>
      <c r="O73" s="60"/>
      <c r="P73" s="60"/>
      <c r="Q73" s="60"/>
      <c r="R73" s="60"/>
    </row>
    <row r="74" spans="10:18">
      <c r="L74" s="60"/>
      <c r="M74" s="60"/>
      <c r="N74" s="60"/>
      <c r="O74" s="60"/>
      <c r="P74" s="60"/>
      <c r="Q74" s="60"/>
      <c r="R74" s="60"/>
    </row>
    <row r="75" spans="10:18">
      <c r="L75" s="60"/>
      <c r="M75" s="60"/>
      <c r="N75" s="60"/>
      <c r="O75" s="60"/>
      <c r="P75" s="60"/>
      <c r="Q75" s="60"/>
      <c r="R75" s="60"/>
    </row>
    <row r="76" spans="10:18">
      <c r="L76" s="60"/>
      <c r="M76" s="60"/>
      <c r="N76" s="60"/>
      <c r="O76" s="60"/>
      <c r="P76" s="60"/>
      <c r="Q76" s="60"/>
      <c r="R76" s="60"/>
    </row>
    <row r="77" spans="10:18">
      <c r="L77" s="60"/>
      <c r="M77" s="60"/>
      <c r="N77" s="60"/>
      <c r="O77" s="60"/>
      <c r="P77" s="60"/>
      <c r="Q77" s="60"/>
      <c r="R77" s="60"/>
    </row>
    <row r="78" spans="10:18">
      <c r="L78" s="60"/>
      <c r="M78" s="60"/>
      <c r="N78" s="60"/>
      <c r="O78" s="60"/>
      <c r="P78" s="60"/>
      <c r="Q78" s="60"/>
      <c r="R78" s="60"/>
    </row>
    <row r="79" spans="10:18">
      <c r="L79" s="60"/>
      <c r="M79" s="60"/>
      <c r="N79" s="60"/>
      <c r="O79" s="60"/>
      <c r="P79" s="60"/>
      <c r="Q79" s="60"/>
      <c r="R79" s="60"/>
    </row>
    <row r="80" spans="10:18">
      <c r="L80" s="60"/>
      <c r="M80" s="60"/>
      <c r="N80" s="60"/>
      <c r="O80" s="60"/>
      <c r="P80" s="60"/>
      <c r="Q80" s="60"/>
      <c r="R80" s="60"/>
    </row>
    <row r="81" spans="12:18">
      <c r="L81" s="60"/>
      <c r="M81" s="60"/>
      <c r="N81" s="60"/>
      <c r="O81" s="60"/>
      <c r="P81" s="60"/>
      <c r="Q81" s="60"/>
      <c r="R81" s="60"/>
    </row>
    <row r="82" spans="12:18">
      <c r="L82" s="60"/>
      <c r="M82" s="60"/>
      <c r="N82" s="60"/>
      <c r="O82" s="60"/>
      <c r="P82" s="60"/>
      <c r="Q82" s="60"/>
      <c r="R82" s="60"/>
    </row>
    <row r="83" spans="12:18">
      <c r="L83" s="60"/>
      <c r="M83" s="60"/>
      <c r="N83" s="60"/>
      <c r="O83" s="60"/>
      <c r="P83" s="60"/>
      <c r="Q83" s="60"/>
      <c r="R83" s="60"/>
    </row>
    <row r="84" spans="12:18">
      <c r="L84" s="60"/>
      <c r="M84" s="60"/>
      <c r="N84" s="60"/>
      <c r="O84" s="60"/>
      <c r="P84" s="60"/>
      <c r="Q84" s="60"/>
      <c r="R84" s="60"/>
    </row>
    <row r="85" spans="12:18">
      <c r="L85" s="60"/>
      <c r="M85" s="60"/>
      <c r="N85" s="60"/>
      <c r="O85" s="60"/>
      <c r="P85" s="60"/>
      <c r="Q85" s="60"/>
      <c r="R85" s="60"/>
    </row>
    <row r="86" spans="12:18">
      <c r="L86" s="60"/>
      <c r="M86" s="60"/>
      <c r="N86" s="60"/>
      <c r="O86" s="60"/>
      <c r="P86" s="60"/>
      <c r="Q86" s="60"/>
      <c r="R86" s="60"/>
    </row>
    <row r="87" spans="12:18">
      <c r="L87" s="60"/>
      <c r="M87" s="60"/>
      <c r="N87" s="60"/>
      <c r="O87" s="60"/>
      <c r="P87" s="60"/>
      <c r="Q87" s="60"/>
      <c r="R87" s="60"/>
    </row>
    <row r="88" spans="12:18">
      <c r="L88" s="60"/>
      <c r="M88" s="60"/>
      <c r="N88" s="60"/>
      <c r="O88" s="60"/>
      <c r="P88" s="60"/>
      <c r="Q88" s="60"/>
      <c r="R88" s="60"/>
    </row>
    <row r="89" spans="12:18">
      <c r="L89" s="60"/>
      <c r="M89" s="60"/>
      <c r="N89" s="60"/>
      <c r="O89" s="60"/>
      <c r="P89" s="60"/>
      <c r="Q89" s="60"/>
      <c r="R89" s="60"/>
    </row>
    <row r="90" spans="12:18">
      <c r="L90" s="60"/>
      <c r="M90" s="60"/>
      <c r="N90" s="60"/>
      <c r="O90" s="60"/>
      <c r="P90" s="60"/>
      <c r="Q90" s="60"/>
      <c r="R90" s="60"/>
    </row>
    <row r="91" spans="12:18">
      <c r="L91" s="60"/>
      <c r="M91" s="60"/>
      <c r="N91" s="60"/>
      <c r="O91" s="60"/>
      <c r="P91" s="60"/>
      <c r="Q91" s="60"/>
      <c r="R91" s="60"/>
    </row>
    <row r="92" spans="12:18">
      <c r="L92" s="60"/>
      <c r="M92" s="60"/>
      <c r="N92" s="60"/>
      <c r="O92" s="60"/>
      <c r="P92" s="60"/>
      <c r="Q92" s="60"/>
      <c r="R92" s="60"/>
    </row>
    <row r="93" spans="12:18">
      <c r="L93" s="60"/>
      <c r="M93" s="60"/>
      <c r="N93" s="60"/>
      <c r="O93" s="60"/>
      <c r="P93" s="60"/>
      <c r="Q93" s="60"/>
      <c r="R93" s="60"/>
    </row>
    <row r="94" spans="12:18">
      <c r="L94" s="60"/>
      <c r="M94" s="60"/>
      <c r="N94" s="60"/>
      <c r="O94" s="60"/>
      <c r="P94" s="60"/>
      <c r="Q94" s="60"/>
      <c r="R94" s="60"/>
    </row>
    <row r="95" spans="12:18">
      <c r="L95" s="60"/>
      <c r="M95" s="60"/>
      <c r="N95" s="60"/>
      <c r="O95" s="60"/>
      <c r="P95" s="60"/>
      <c r="Q95" s="60"/>
      <c r="R95" s="60"/>
    </row>
    <row r="96" spans="12:18">
      <c r="L96" s="60"/>
      <c r="M96" s="60"/>
      <c r="N96" s="60"/>
      <c r="O96" s="60"/>
      <c r="P96" s="60"/>
      <c r="Q96" s="60"/>
      <c r="R96" s="60"/>
    </row>
    <row r="97" spans="12:18">
      <c r="L97" s="60"/>
      <c r="M97" s="60"/>
      <c r="N97" s="60"/>
      <c r="O97" s="60"/>
      <c r="P97" s="60"/>
      <c r="Q97" s="60"/>
      <c r="R97" s="60"/>
    </row>
    <row r="98" spans="12:18">
      <c r="L98" s="60"/>
      <c r="M98" s="60"/>
      <c r="N98" s="60"/>
      <c r="O98" s="60"/>
      <c r="P98" s="60"/>
      <c r="Q98" s="60"/>
      <c r="R98" s="60"/>
    </row>
    <row r="99" spans="12:18">
      <c r="L99" s="60"/>
      <c r="M99" s="60"/>
      <c r="N99" s="60"/>
      <c r="O99" s="60"/>
      <c r="P99" s="60"/>
      <c r="Q99" s="60"/>
      <c r="R99" s="60"/>
    </row>
    <row r="100" spans="12:18">
      <c r="L100" s="60"/>
      <c r="M100" s="60"/>
      <c r="N100" s="60"/>
      <c r="O100" s="60"/>
      <c r="P100" s="60"/>
      <c r="Q100" s="60"/>
      <c r="R100" s="60"/>
    </row>
    <row r="101" spans="12:18">
      <c r="L101" s="60"/>
      <c r="M101" s="60"/>
      <c r="N101" s="60"/>
      <c r="O101" s="60"/>
      <c r="P101" s="60"/>
      <c r="Q101" s="60"/>
      <c r="R101" s="60"/>
    </row>
    <row r="102" spans="12:18">
      <c r="L102" s="60"/>
      <c r="M102" s="60"/>
      <c r="N102" s="60"/>
      <c r="O102" s="60"/>
      <c r="P102" s="60"/>
      <c r="Q102" s="60"/>
      <c r="R102" s="60"/>
    </row>
    <row r="103" spans="12:18">
      <c r="L103" s="60"/>
      <c r="M103" s="60"/>
      <c r="N103" s="60"/>
      <c r="O103" s="60"/>
      <c r="P103" s="60"/>
      <c r="Q103" s="60"/>
      <c r="R103" s="60"/>
    </row>
    <row r="104" spans="12:18">
      <c r="L104" s="60"/>
      <c r="M104" s="60"/>
      <c r="N104" s="60"/>
      <c r="O104" s="60"/>
      <c r="P104" s="60"/>
      <c r="Q104" s="60"/>
      <c r="R104" s="60"/>
    </row>
    <row r="105" spans="12:18">
      <c r="L105" s="60"/>
      <c r="M105" s="60"/>
      <c r="N105" s="60"/>
      <c r="O105" s="60"/>
      <c r="P105" s="60"/>
      <c r="Q105" s="60"/>
      <c r="R105" s="60"/>
    </row>
    <row r="106" spans="12:18">
      <c r="L106" s="60"/>
      <c r="M106" s="60"/>
      <c r="N106" s="60"/>
      <c r="O106" s="60"/>
      <c r="P106" s="60"/>
      <c r="Q106" s="60"/>
      <c r="R106" s="60"/>
    </row>
    <row r="107" spans="12:18">
      <c r="L107" s="60"/>
      <c r="M107" s="60"/>
      <c r="N107" s="60"/>
      <c r="O107" s="60"/>
      <c r="P107" s="60"/>
      <c r="Q107" s="60"/>
      <c r="R107" s="60"/>
    </row>
    <row r="108" spans="12:18">
      <c r="L108" s="60"/>
      <c r="M108" s="60"/>
      <c r="N108" s="60"/>
      <c r="O108" s="60"/>
      <c r="P108" s="60"/>
      <c r="Q108" s="60"/>
      <c r="R108" s="60"/>
    </row>
    <row r="109" spans="12:18">
      <c r="L109" s="60"/>
      <c r="M109" s="60"/>
      <c r="N109" s="60"/>
      <c r="O109" s="60"/>
      <c r="P109" s="60"/>
      <c r="Q109" s="60"/>
      <c r="R109" s="60"/>
    </row>
    <row r="110" spans="12:18">
      <c r="L110" s="60"/>
      <c r="M110" s="60"/>
      <c r="N110" s="60"/>
      <c r="O110" s="60"/>
      <c r="P110" s="60"/>
      <c r="Q110" s="60"/>
      <c r="R110" s="60"/>
    </row>
    <row r="111" spans="12:18">
      <c r="L111" s="60"/>
      <c r="M111" s="60"/>
      <c r="N111" s="60"/>
      <c r="O111" s="60"/>
      <c r="P111" s="60"/>
      <c r="Q111" s="60"/>
      <c r="R111" s="60"/>
    </row>
    <row r="112" spans="12:18">
      <c r="L112" s="60"/>
      <c r="M112" s="60"/>
      <c r="N112" s="60"/>
      <c r="O112" s="60"/>
      <c r="P112" s="60"/>
      <c r="Q112" s="60"/>
      <c r="R112" s="60"/>
    </row>
    <row r="113" spans="12:18">
      <c r="L113" s="60"/>
      <c r="M113" s="60"/>
      <c r="N113" s="60"/>
      <c r="O113" s="60"/>
      <c r="P113" s="60"/>
      <c r="Q113" s="60"/>
      <c r="R113" s="60"/>
    </row>
    <row r="114" spans="12:18">
      <c r="L114" s="60"/>
      <c r="M114" s="60"/>
      <c r="N114" s="60"/>
      <c r="O114" s="60"/>
      <c r="P114" s="60"/>
      <c r="Q114" s="60"/>
      <c r="R114" s="60"/>
    </row>
    <row r="115" spans="12:18">
      <c r="L115" s="60"/>
      <c r="M115" s="60"/>
      <c r="N115" s="60"/>
      <c r="O115" s="60"/>
      <c r="P115" s="60"/>
      <c r="Q115" s="60"/>
      <c r="R115" s="60"/>
    </row>
    <row r="116" spans="12:18">
      <c r="L116" s="60"/>
      <c r="M116" s="60"/>
      <c r="N116" s="60"/>
      <c r="O116" s="60"/>
      <c r="P116" s="60"/>
      <c r="Q116" s="60"/>
      <c r="R116" s="60"/>
    </row>
    <row r="117" spans="12:18">
      <c r="L117" s="60"/>
      <c r="M117" s="60"/>
      <c r="N117" s="60"/>
      <c r="O117" s="60"/>
      <c r="P117" s="60"/>
      <c r="Q117" s="60"/>
      <c r="R117" s="60"/>
    </row>
    <row r="118" spans="12:18">
      <c r="L118" s="60"/>
      <c r="M118" s="60"/>
      <c r="N118" s="60"/>
      <c r="O118" s="60"/>
      <c r="P118" s="60"/>
      <c r="Q118" s="60"/>
      <c r="R118" s="60"/>
    </row>
    <row r="119" spans="12:18">
      <c r="L119" s="60"/>
      <c r="M119" s="60"/>
      <c r="N119" s="60"/>
      <c r="O119" s="60"/>
      <c r="P119" s="60"/>
      <c r="Q119" s="60"/>
      <c r="R119" s="60"/>
    </row>
    <row r="120" spans="12:18">
      <c r="L120" s="60"/>
      <c r="M120" s="60"/>
      <c r="N120" s="60"/>
      <c r="O120" s="60"/>
      <c r="P120" s="60"/>
      <c r="Q120" s="60"/>
      <c r="R120" s="60"/>
    </row>
    <row r="121" spans="12:18">
      <c r="L121" s="60"/>
      <c r="M121" s="60"/>
      <c r="N121" s="60"/>
      <c r="O121" s="60"/>
      <c r="P121" s="60"/>
      <c r="Q121" s="60"/>
      <c r="R121" s="60"/>
    </row>
    <row r="122" spans="12:18">
      <c r="L122" s="60"/>
      <c r="M122" s="60"/>
      <c r="N122" s="60"/>
      <c r="O122" s="60"/>
      <c r="P122" s="60"/>
      <c r="Q122" s="60"/>
      <c r="R122" s="60"/>
    </row>
    <row r="123" spans="12:18">
      <c r="L123" s="60"/>
      <c r="M123" s="60"/>
      <c r="N123" s="60"/>
      <c r="O123" s="60"/>
      <c r="P123" s="60"/>
      <c r="Q123" s="60"/>
      <c r="R123" s="60"/>
    </row>
    <row r="124" spans="12:18">
      <c r="L124" s="60"/>
      <c r="M124" s="60"/>
      <c r="N124" s="60"/>
      <c r="O124" s="60"/>
      <c r="P124" s="60"/>
      <c r="Q124" s="60"/>
      <c r="R124" s="60"/>
    </row>
    <row r="125" spans="12:18">
      <c r="L125" s="60"/>
      <c r="M125" s="60"/>
      <c r="N125" s="60"/>
      <c r="O125" s="60"/>
      <c r="P125" s="60"/>
      <c r="Q125" s="60"/>
      <c r="R125" s="60"/>
    </row>
    <row r="126" spans="12:18">
      <c r="L126" s="60"/>
      <c r="M126" s="60"/>
      <c r="N126" s="60"/>
      <c r="O126" s="60"/>
      <c r="P126" s="60"/>
      <c r="Q126" s="60"/>
      <c r="R126" s="60"/>
    </row>
    <row r="127" spans="12:18">
      <c r="L127" s="60"/>
      <c r="M127" s="60"/>
      <c r="N127" s="60"/>
      <c r="O127" s="60"/>
      <c r="P127" s="60"/>
      <c r="Q127" s="60"/>
      <c r="R127" s="60"/>
    </row>
    <row r="128" spans="12:18">
      <c r="L128" s="60"/>
      <c r="M128" s="60"/>
      <c r="N128" s="60"/>
      <c r="O128" s="60"/>
      <c r="P128" s="60"/>
      <c r="Q128" s="60"/>
      <c r="R128" s="60"/>
    </row>
    <row r="129" spans="12:18">
      <c r="L129" s="60"/>
      <c r="M129" s="60"/>
      <c r="N129" s="60"/>
      <c r="O129" s="60"/>
      <c r="P129" s="60"/>
      <c r="Q129" s="60"/>
      <c r="R129" s="60"/>
    </row>
    <row r="130" spans="12:18">
      <c r="L130" s="60"/>
      <c r="M130" s="60"/>
      <c r="N130" s="60"/>
      <c r="O130" s="60"/>
      <c r="P130" s="60"/>
      <c r="Q130" s="60"/>
      <c r="R130" s="60"/>
    </row>
    <row r="131" spans="12:18">
      <c r="L131" s="60"/>
      <c r="M131" s="60"/>
      <c r="N131" s="60"/>
      <c r="O131" s="60"/>
      <c r="P131" s="60"/>
      <c r="Q131" s="60"/>
      <c r="R131" s="60"/>
    </row>
    <row r="132" spans="12:18">
      <c r="L132" s="60"/>
      <c r="M132" s="60"/>
      <c r="N132" s="60"/>
      <c r="O132" s="60"/>
      <c r="P132" s="60"/>
      <c r="Q132" s="60"/>
      <c r="R132" s="60"/>
    </row>
    <row r="133" spans="12:18">
      <c r="L133" s="60"/>
      <c r="M133" s="60"/>
      <c r="N133" s="60"/>
      <c r="O133" s="60"/>
      <c r="P133" s="60"/>
      <c r="Q133" s="60"/>
      <c r="R133" s="60"/>
    </row>
    <row r="134" spans="12:18">
      <c r="L134" s="60"/>
      <c r="M134" s="60"/>
      <c r="N134" s="60"/>
      <c r="O134" s="60"/>
      <c r="P134" s="60"/>
      <c r="Q134" s="60"/>
      <c r="R134" s="60"/>
    </row>
    <row r="135" spans="12:18">
      <c r="L135" s="60"/>
      <c r="M135" s="60"/>
      <c r="N135" s="60"/>
      <c r="O135" s="60"/>
      <c r="P135" s="60"/>
      <c r="Q135" s="60"/>
      <c r="R135" s="60"/>
    </row>
    <row r="136" spans="12:18">
      <c r="L136" s="60"/>
      <c r="M136" s="60"/>
      <c r="N136" s="60"/>
      <c r="O136" s="60"/>
      <c r="P136" s="60"/>
      <c r="Q136" s="60"/>
      <c r="R136" s="60"/>
    </row>
    <row r="137" spans="12:18">
      <c r="L137" s="60"/>
      <c r="M137" s="60"/>
      <c r="N137" s="60"/>
      <c r="O137" s="60"/>
      <c r="P137" s="60"/>
      <c r="Q137" s="60"/>
      <c r="R137" s="60"/>
    </row>
    <row r="138" spans="12:18">
      <c r="L138" s="60"/>
      <c r="M138" s="60"/>
      <c r="N138" s="60"/>
      <c r="O138" s="60"/>
      <c r="P138" s="60"/>
      <c r="Q138" s="60"/>
      <c r="R138" s="60"/>
    </row>
    <row r="139" spans="12:18">
      <c r="L139" s="60"/>
      <c r="M139" s="60"/>
      <c r="N139" s="60"/>
      <c r="O139" s="60"/>
      <c r="P139" s="60"/>
      <c r="Q139" s="60"/>
      <c r="R139" s="60"/>
    </row>
    <row r="140" spans="12:18">
      <c r="L140" s="60"/>
      <c r="M140" s="60"/>
      <c r="N140" s="60"/>
      <c r="O140" s="60"/>
      <c r="P140" s="60"/>
      <c r="Q140" s="60"/>
      <c r="R140" s="60"/>
    </row>
    <row r="141" spans="12:18">
      <c r="L141" s="60"/>
      <c r="M141" s="60"/>
      <c r="N141" s="60"/>
      <c r="O141" s="60"/>
      <c r="P141" s="60"/>
      <c r="Q141" s="60"/>
      <c r="R141" s="60"/>
    </row>
    <row r="142" spans="12:18">
      <c r="L142" s="60"/>
      <c r="M142" s="60"/>
      <c r="N142" s="60"/>
      <c r="O142" s="60"/>
      <c r="P142" s="60"/>
      <c r="Q142" s="60"/>
      <c r="R142" s="60"/>
    </row>
    <row r="143" spans="12:18">
      <c r="L143" s="60"/>
      <c r="M143" s="60"/>
      <c r="N143" s="60"/>
      <c r="O143" s="60"/>
      <c r="P143" s="60"/>
      <c r="Q143" s="60"/>
      <c r="R143" s="60"/>
    </row>
    <row r="144" spans="12:18">
      <c r="L144" s="60"/>
      <c r="M144" s="60"/>
      <c r="N144" s="60"/>
      <c r="O144" s="60"/>
      <c r="P144" s="60"/>
      <c r="Q144" s="60"/>
      <c r="R144" s="60"/>
    </row>
    <row r="145" spans="12:18">
      <c r="L145" s="60"/>
      <c r="M145" s="60"/>
      <c r="N145" s="60"/>
      <c r="O145" s="60"/>
      <c r="P145" s="60"/>
      <c r="Q145" s="60"/>
      <c r="R145" s="60"/>
    </row>
    <row r="146" spans="12:18">
      <c r="L146" s="60"/>
      <c r="M146" s="60"/>
      <c r="N146" s="60"/>
      <c r="O146" s="60"/>
      <c r="P146" s="60"/>
      <c r="Q146" s="60"/>
      <c r="R146" s="60"/>
    </row>
    <row r="147" spans="12:18">
      <c r="L147" s="60"/>
      <c r="M147" s="60"/>
      <c r="N147" s="60"/>
      <c r="O147" s="60"/>
      <c r="P147" s="60"/>
      <c r="Q147" s="60"/>
      <c r="R147" s="60"/>
    </row>
    <row r="148" spans="12:18">
      <c r="L148" s="60"/>
      <c r="M148" s="60"/>
      <c r="N148" s="60"/>
      <c r="O148" s="60"/>
      <c r="P148" s="60"/>
      <c r="Q148" s="60"/>
      <c r="R148" s="60"/>
    </row>
    <row r="149" spans="12:18">
      <c r="L149" s="60"/>
      <c r="M149" s="60"/>
      <c r="N149" s="60"/>
      <c r="O149" s="60"/>
      <c r="P149" s="60"/>
      <c r="Q149" s="60"/>
      <c r="R149" s="60"/>
    </row>
    <row r="150" spans="12:18">
      <c r="L150" s="60"/>
      <c r="M150" s="60"/>
      <c r="N150" s="60"/>
      <c r="O150" s="60"/>
      <c r="P150" s="60"/>
      <c r="Q150" s="60"/>
      <c r="R150" s="60"/>
    </row>
    <row r="151" spans="12:18">
      <c r="L151" s="60"/>
      <c r="M151" s="60"/>
      <c r="N151" s="60"/>
      <c r="O151" s="60"/>
      <c r="P151" s="60"/>
      <c r="Q151" s="60"/>
      <c r="R151" s="60"/>
    </row>
    <row r="152" spans="12:18">
      <c r="L152" s="60"/>
      <c r="M152" s="60"/>
      <c r="N152" s="60"/>
      <c r="O152" s="60"/>
      <c r="P152" s="60"/>
      <c r="Q152" s="60"/>
      <c r="R152" s="60"/>
    </row>
    <row r="153" spans="12:18">
      <c r="L153" s="60"/>
      <c r="M153" s="60"/>
      <c r="N153" s="60"/>
      <c r="O153" s="60"/>
      <c r="P153" s="60"/>
      <c r="Q153" s="60"/>
      <c r="R153" s="60"/>
    </row>
    <row r="154" spans="12:18">
      <c r="L154" s="60"/>
      <c r="M154" s="60"/>
      <c r="N154" s="60"/>
      <c r="O154" s="60"/>
      <c r="P154" s="60"/>
      <c r="Q154" s="60"/>
      <c r="R154" s="60"/>
    </row>
    <row r="155" spans="12:18">
      <c r="L155" s="60"/>
      <c r="M155" s="60"/>
      <c r="N155" s="60"/>
      <c r="O155" s="60"/>
      <c r="P155" s="60"/>
      <c r="Q155" s="60"/>
      <c r="R155" s="60"/>
    </row>
    <row r="156" spans="12:18">
      <c r="L156" s="60"/>
      <c r="M156" s="60"/>
      <c r="N156" s="60"/>
      <c r="O156" s="60"/>
      <c r="P156" s="60"/>
      <c r="Q156" s="60"/>
      <c r="R156" s="60"/>
    </row>
    <row r="157" spans="12:18">
      <c r="L157" s="60"/>
      <c r="M157" s="60"/>
      <c r="N157" s="60"/>
      <c r="O157" s="60"/>
      <c r="P157" s="60"/>
      <c r="Q157" s="60"/>
      <c r="R157" s="60"/>
    </row>
    <row r="158" spans="12:18">
      <c r="L158" s="60"/>
      <c r="M158" s="60"/>
      <c r="N158" s="60"/>
      <c r="O158" s="60"/>
      <c r="P158" s="60"/>
      <c r="Q158" s="60"/>
      <c r="R158" s="60"/>
    </row>
    <row r="159" spans="12:18">
      <c r="L159" s="60"/>
      <c r="M159" s="60"/>
      <c r="N159" s="60"/>
      <c r="O159" s="60"/>
      <c r="P159" s="60"/>
      <c r="Q159" s="60"/>
      <c r="R159" s="60"/>
    </row>
    <row r="160" spans="12:18">
      <c r="L160" s="60"/>
      <c r="M160" s="60"/>
      <c r="N160" s="60"/>
      <c r="O160" s="60"/>
      <c r="P160" s="60"/>
      <c r="Q160" s="60"/>
      <c r="R160" s="60"/>
    </row>
    <row r="161" spans="12:18">
      <c r="L161" s="60"/>
      <c r="M161" s="60"/>
      <c r="N161" s="60"/>
      <c r="O161" s="60"/>
      <c r="P161" s="60"/>
      <c r="Q161" s="60"/>
      <c r="R161" s="60"/>
    </row>
    <row r="162" spans="12:18">
      <c r="L162" s="60"/>
      <c r="M162" s="60"/>
      <c r="N162" s="60"/>
      <c r="O162" s="60"/>
      <c r="P162" s="60"/>
      <c r="Q162" s="60"/>
      <c r="R162" s="60"/>
    </row>
    <row r="163" spans="12:18">
      <c r="L163" s="60"/>
      <c r="M163" s="60"/>
      <c r="N163" s="60"/>
      <c r="O163" s="60"/>
      <c r="P163" s="60"/>
      <c r="Q163" s="60"/>
      <c r="R163" s="60"/>
    </row>
    <row r="164" spans="12:18">
      <c r="L164" s="60"/>
      <c r="M164" s="60"/>
      <c r="N164" s="60"/>
      <c r="O164" s="60"/>
      <c r="P164" s="60"/>
      <c r="Q164" s="60"/>
      <c r="R164" s="60"/>
    </row>
    <row r="165" spans="12:18">
      <c r="L165" s="60"/>
      <c r="M165" s="60"/>
      <c r="N165" s="60"/>
      <c r="O165" s="60"/>
      <c r="P165" s="60"/>
      <c r="Q165" s="60"/>
      <c r="R165" s="60"/>
    </row>
    <row r="166" spans="12:18">
      <c r="L166" s="60"/>
      <c r="M166" s="60"/>
      <c r="N166" s="60"/>
      <c r="O166" s="60"/>
      <c r="P166" s="60"/>
      <c r="Q166" s="60"/>
      <c r="R166" s="60"/>
    </row>
    <row r="167" spans="12:18">
      <c r="L167" s="60"/>
      <c r="M167" s="60"/>
      <c r="N167" s="60"/>
      <c r="O167" s="60"/>
      <c r="P167" s="60"/>
      <c r="Q167" s="60"/>
      <c r="R167" s="60"/>
    </row>
    <row r="168" spans="12:18">
      <c r="L168" s="60"/>
      <c r="M168" s="60"/>
      <c r="N168" s="60"/>
      <c r="O168" s="60"/>
      <c r="P168" s="60"/>
      <c r="Q168" s="60"/>
      <c r="R168" s="60"/>
    </row>
    <row r="169" spans="12:18">
      <c r="L169" s="60"/>
      <c r="M169" s="60"/>
      <c r="N169" s="60"/>
      <c r="O169" s="60"/>
      <c r="P169" s="60"/>
      <c r="Q169" s="60"/>
      <c r="R169" s="60"/>
    </row>
    <row r="170" spans="12:18">
      <c r="L170" s="60"/>
      <c r="M170" s="60"/>
      <c r="N170" s="60"/>
      <c r="O170" s="60"/>
      <c r="P170" s="60"/>
      <c r="Q170" s="60"/>
      <c r="R170" s="60"/>
    </row>
    <row r="171" spans="12:18">
      <c r="L171" s="60"/>
      <c r="M171" s="60"/>
      <c r="N171" s="60"/>
      <c r="O171" s="60"/>
      <c r="P171" s="60"/>
      <c r="Q171" s="60"/>
      <c r="R171" s="60"/>
    </row>
    <row r="172" spans="12:18">
      <c r="L172" s="60"/>
      <c r="M172" s="60"/>
      <c r="N172" s="60"/>
      <c r="O172" s="60"/>
      <c r="P172" s="60"/>
      <c r="Q172" s="60"/>
      <c r="R172" s="60"/>
    </row>
    <row r="173" spans="12:18">
      <c r="L173" s="60"/>
      <c r="M173" s="60"/>
      <c r="N173" s="60"/>
      <c r="O173" s="60"/>
      <c r="P173" s="60"/>
      <c r="Q173" s="60"/>
      <c r="R173" s="60"/>
    </row>
    <row r="174" spans="12:18">
      <c r="L174" s="60"/>
      <c r="M174" s="60"/>
      <c r="N174" s="60"/>
      <c r="O174" s="60"/>
      <c r="P174" s="60"/>
      <c r="Q174" s="60"/>
      <c r="R174" s="60"/>
    </row>
    <row r="175" spans="12:18">
      <c r="L175" s="60"/>
      <c r="M175" s="60"/>
      <c r="N175" s="60"/>
      <c r="O175" s="60"/>
      <c r="P175" s="60"/>
      <c r="Q175" s="60"/>
      <c r="R175" s="60"/>
    </row>
    <row r="176" spans="12:18">
      <c r="L176" s="60"/>
      <c r="M176" s="60"/>
      <c r="N176" s="60"/>
      <c r="O176" s="60"/>
      <c r="P176" s="60"/>
      <c r="Q176" s="60"/>
      <c r="R176" s="60"/>
    </row>
    <row r="177" spans="12:18">
      <c r="L177" s="60"/>
      <c r="M177" s="60"/>
      <c r="N177" s="60"/>
      <c r="O177" s="60"/>
      <c r="P177" s="60"/>
      <c r="Q177" s="60"/>
      <c r="R177" s="60"/>
    </row>
    <row r="178" spans="12:18">
      <c r="L178" s="60"/>
      <c r="M178" s="60"/>
      <c r="N178" s="60"/>
      <c r="O178" s="60"/>
      <c r="P178" s="60"/>
      <c r="Q178" s="60"/>
      <c r="R178" s="60"/>
    </row>
    <row r="179" spans="12:18">
      <c r="L179" s="60"/>
      <c r="M179" s="60"/>
      <c r="N179" s="60"/>
      <c r="O179" s="60"/>
      <c r="P179" s="60"/>
      <c r="Q179" s="60"/>
      <c r="R179" s="60"/>
    </row>
    <row r="180" spans="12:18">
      <c r="L180" s="60"/>
      <c r="M180" s="60"/>
      <c r="N180" s="60"/>
      <c r="O180" s="60"/>
      <c r="P180" s="60"/>
      <c r="Q180" s="60"/>
      <c r="R180" s="60"/>
    </row>
    <row r="181" spans="12:18">
      <c r="L181" s="60"/>
      <c r="M181" s="60"/>
      <c r="N181" s="60"/>
      <c r="O181" s="60"/>
      <c r="P181" s="60"/>
      <c r="Q181" s="60"/>
      <c r="R181" s="60"/>
    </row>
    <row r="182" spans="12:18">
      <c r="L182" s="60"/>
      <c r="M182" s="60"/>
      <c r="N182" s="60"/>
      <c r="O182" s="60"/>
      <c r="P182" s="60"/>
      <c r="Q182" s="60"/>
      <c r="R182" s="60"/>
    </row>
    <row r="183" spans="12:18">
      <c r="L183" s="60"/>
      <c r="M183" s="60"/>
      <c r="N183" s="60"/>
      <c r="O183" s="60"/>
      <c r="P183" s="60"/>
      <c r="Q183" s="60"/>
      <c r="R183" s="60"/>
    </row>
    <row r="184" spans="12:18">
      <c r="L184" s="60"/>
      <c r="M184" s="60"/>
      <c r="N184" s="60"/>
      <c r="O184" s="60"/>
      <c r="P184" s="60"/>
      <c r="Q184" s="60"/>
      <c r="R184" s="60"/>
    </row>
    <row r="185" spans="12:18">
      <c r="L185" s="60"/>
      <c r="M185" s="60"/>
      <c r="N185" s="60"/>
      <c r="O185" s="60"/>
      <c r="P185" s="60"/>
      <c r="Q185" s="60"/>
      <c r="R185" s="60"/>
    </row>
    <row r="186" spans="12:18">
      <c r="L186" s="60"/>
      <c r="M186" s="60"/>
      <c r="N186" s="60"/>
      <c r="O186" s="60"/>
      <c r="P186" s="60"/>
      <c r="Q186" s="60"/>
      <c r="R186" s="60"/>
    </row>
    <row r="187" spans="12:18">
      <c r="L187" s="60"/>
      <c r="M187" s="60"/>
      <c r="N187" s="60"/>
      <c r="O187" s="60"/>
      <c r="P187" s="60"/>
      <c r="Q187" s="60"/>
      <c r="R187" s="60"/>
    </row>
    <row r="188" spans="12:18">
      <c r="L188" s="60"/>
      <c r="M188" s="60"/>
      <c r="N188" s="60"/>
      <c r="O188" s="60"/>
      <c r="P188" s="60"/>
      <c r="Q188" s="60"/>
      <c r="R188" s="60"/>
    </row>
    <row r="189" spans="12:18">
      <c r="L189" s="60"/>
      <c r="M189" s="60"/>
      <c r="N189" s="60"/>
      <c r="O189" s="60"/>
      <c r="P189" s="60"/>
      <c r="Q189" s="60"/>
      <c r="R189" s="60"/>
    </row>
    <row r="190" spans="12:18">
      <c r="L190" s="60"/>
      <c r="M190" s="60"/>
      <c r="N190" s="60"/>
      <c r="O190" s="60"/>
      <c r="P190" s="60"/>
      <c r="Q190" s="60"/>
      <c r="R190" s="60"/>
    </row>
    <row r="191" spans="12:18">
      <c r="L191" s="60"/>
      <c r="M191" s="60"/>
      <c r="N191" s="60"/>
      <c r="O191" s="60"/>
      <c r="P191" s="60"/>
      <c r="Q191" s="60"/>
      <c r="R191" s="60"/>
    </row>
    <row r="192" spans="12:18">
      <c r="L192" s="60"/>
      <c r="M192" s="60"/>
      <c r="N192" s="60"/>
      <c r="O192" s="60"/>
      <c r="P192" s="60"/>
      <c r="Q192" s="60"/>
      <c r="R192" s="60"/>
    </row>
    <row r="193" spans="12:18">
      <c r="L193" s="60"/>
      <c r="M193" s="60"/>
      <c r="N193" s="60"/>
      <c r="O193" s="60"/>
      <c r="P193" s="60"/>
      <c r="Q193" s="60"/>
      <c r="R193" s="60"/>
    </row>
    <row r="194" spans="12:18">
      <c r="L194" s="60"/>
      <c r="M194" s="60"/>
      <c r="N194" s="60"/>
      <c r="O194" s="60"/>
      <c r="P194" s="60"/>
      <c r="Q194" s="60"/>
      <c r="R194" s="60"/>
    </row>
    <row r="195" spans="12:18">
      <c r="L195" s="60"/>
      <c r="M195" s="60"/>
      <c r="N195" s="60"/>
      <c r="O195" s="60"/>
      <c r="P195" s="60"/>
      <c r="Q195" s="60"/>
      <c r="R195" s="60"/>
    </row>
    <row r="196" spans="12:18">
      <c r="L196" s="60"/>
      <c r="M196" s="60"/>
      <c r="N196" s="60"/>
      <c r="O196" s="60"/>
      <c r="P196" s="60"/>
      <c r="Q196" s="60"/>
      <c r="R196" s="60"/>
    </row>
    <row r="197" spans="12:18">
      <c r="L197" s="60"/>
      <c r="M197" s="60"/>
      <c r="N197" s="60"/>
      <c r="O197" s="60"/>
      <c r="P197" s="60"/>
      <c r="Q197" s="60"/>
      <c r="R197" s="60"/>
    </row>
    <row r="198" spans="12:18">
      <c r="L198" s="60"/>
      <c r="M198" s="60"/>
      <c r="N198" s="60"/>
      <c r="O198" s="60"/>
      <c r="P198" s="60"/>
      <c r="Q198" s="60"/>
      <c r="R198" s="60"/>
    </row>
    <row r="199" spans="12:18">
      <c r="L199" s="60"/>
      <c r="M199" s="60"/>
      <c r="N199" s="60"/>
      <c r="O199" s="60"/>
      <c r="P199" s="60"/>
      <c r="Q199" s="60"/>
      <c r="R199" s="60"/>
    </row>
    <row r="200" spans="12:18">
      <c r="L200" s="60"/>
      <c r="M200" s="60"/>
      <c r="N200" s="60"/>
      <c r="O200" s="60"/>
      <c r="P200" s="60"/>
      <c r="Q200" s="60"/>
      <c r="R200" s="60"/>
    </row>
    <row r="201" spans="12:18">
      <c r="L201" s="60"/>
      <c r="M201" s="60"/>
      <c r="N201" s="60"/>
      <c r="O201" s="60"/>
      <c r="P201" s="60"/>
      <c r="Q201" s="60"/>
      <c r="R201" s="60"/>
    </row>
    <row r="202" spans="12:18">
      <c r="L202" s="60"/>
      <c r="M202" s="60"/>
      <c r="N202" s="60"/>
      <c r="O202" s="60"/>
      <c r="P202" s="60"/>
      <c r="Q202" s="60"/>
      <c r="R202" s="60"/>
    </row>
    <row r="203" spans="12:18">
      <c r="L203" s="60"/>
      <c r="M203" s="60"/>
      <c r="N203" s="60"/>
      <c r="O203" s="60"/>
      <c r="P203" s="60"/>
      <c r="Q203" s="60"/>
      <c r="R203" s="60"/>
    </row>
    <row r="204" spans="12:18">
      <c r="L204" s="60"/>
      <c r="M204" s="60"/>
      <c r="N204" s="60"/>
      <c r="O204" s="60"/>
      <c r="P204" s="60"/>
      <c r="Q204" s="60"/>
      <c r="R204" s="60"/>
    </row>
    <row r="205" spans="12:18">
      <c r="L205" s="60"/>
      <c r="M205" s="60"/>
      <c r="N205" s="60"/>
      <c r="O205" s="60"/>
      <c r="P205" s="60"/>
      <c r="Q205" s="60"/>
      <c r="R205" s="60"/>
    </row>
    <row r="206" spans="12:18">
      <c r="L206" s="60"/>
      <c r="M206" s="60"/>
      <c r="N206" s="60"/>
      <c r="O206" s="60"/>
      <c r="P206" s="60"/>
      <c r="Q206" s="60"/>
      <c r="R206" s="60"/>
    </row>
    <row r="207" spans="12:18">
      <c r="L207" s="60"/>
      <c r="M207" s="60"/>
      <c r="N207" s="60"/>
      <c r="O207" s="60"/>
      <c r="P207" s="60"/>
      <c r="Q207" s="60"/>
      <c r="R207" s="60"/>
    </row>
    <row r="208" spans="12:18">
      <c r="L208" s="60"/>
      <c r="M208" s="60"/>
      <c r="N208" s="60"/>
      <c r="O208" s="60"/>
      <c r="P208" s="60"/>
      <c r="Q208" s="60"/>
      <c r="R208" s="60"/>
    </row>
    <row r="209" spans="12:18">
      <c r="L209" s="60"/>
      <c r="M209" s="60"/>
      <c r="N209" s="60"/>
      <c r="O209" s="60"/>
      <c r="P209" s="60"/>
      <c r="Q209" s="60"/>
      <c r="R209" s="60"/>
    </row>
    <row r="210" spans="12:18">
      <c r="L210" s="60"/>
      <c r="M210" s="60"/>
      <c r="N210" s="60"/>
      <c r="O210" s="60"/>
      <c r="P210" s="60"/>
      <c r="Q210" s="60"/>
      <c r="R210" s="60"/>
    </row>
    <row r="211" spans="12:18">
      <c r="L211" s="60"/>
      <c r="M211" s="60"/>
      <c r="N211" s="60"/>
      <c r="O211" s="60"/>
      <c r="P211" s="60"/>
      <c r="Q211" s="60"/>
      <c r="R211" s="60"/>
    </row>
    <row r="212" spans="12:18">
      <c r="L212" s="60"/>
      <c r="M212" s="60"/>
      <c r="N212" s="60"/>
      <c r="O212" s="60"/>
      <c r="P212" s="60"/>
      <c r="Q212" s="60"/>
      <c r="R212" s="60"/>
    </row>
    <row r="213" spans="12:18">
      <c r="L213" s="60"/>
      <c r="M213" s="60"/>
      <c r="N213" s="60"/>
      <c r="O213" s="60"/>
      <c r="P213" s="60"/>
      <c r="Q213" s="60"/>
      <c r="R213" s="60"/>
    </row>
    <row r="214" spans="12:18">
      <c r="L214" s="60"/>
      <c r="M214" s="60"/>
      <c r="N214" s="60"/>
      <c r="O214" s="60"/>
      <c r="P214" s="60"/>
      <c r="Q214" s="60"/>
      <c r="R214" s="60"/>
    </row>
    <row r="215" spans="12:18">
      <c r="L215" s="60"/>
      <c r="M215" s="60"/>
      <c r="N215" s="60"/>
      <c r="O215" s="60"/>
      <c r="P215" s="60"/>
      <c r="Q215" s="60"/>
      <c r="R215" s="60"/>
    </row>
    <row r="216" spans="12:18">
      <c r="L216" s="60"/>
      <c r="M216" s="60"/>
      <c r="N216" s="60"/>
      <c r="O216" s="60"/>
      <c r="P216" s="60"/>
      <c r="Q216" s="60"/>
      <c r="R216" s="60"/>
    </row>
    <row r="217" spans="12:18">
      <c r="L217" s="60"/>
      <c r="M217" s="60"/>
      <c r="N217" s="60"/>
      <c r="O217" s="60"/>
      <c r="P217" s="60"/>
      <c r="Q217" s="60"/>
      <c r="R217" s="60"/>
    </row>
    <row r="218" spans="12:18">
      <c r="L218" s="60"/>
      <c r="M218" s="60"/>
      <c r="N218" s="60"/>
      <c r="O218" s="60"/>
      <c r="P218" s="60"/>
      <c r="Q218" s="60"/>
      <c r="R218" s="60"/>
    </row>
    <row r="219" spans="12:18">
      <c r="L219" s="60"/>
      <c r="M219" s="60"/>
      <c r="N219" s="60"/>
      <c r="O219" s="60"/>
      <c r="P219" s="60"/>
      <c r="Q219" s="60"/>
      <c r="R219" s="60"/>
    </row>
    <row r="220" spans="12:18">
      <c r="L220" s="60"/>
      <c r="M220" s="60"/>
      <c r="N220" s="60"/>
      <c r="O220" s="60"/>
      <c r="P220" s="60"/>
      <c r="Q220" s="60"/>
      <c r="R220" s="60"/>
    </row>
    <row r="221" spans="12:18">
      <c r="L221" s="60"/>
      <c r="M221" s="60"/>
      <c r="N221" s="60"/>
      <c r="O221" s="60"/>
      <c r="P221" s="60"/>
      <c r="Q221" s="60"/>
      <c r="R221" s="60"/>
    </row>
    <row r="222" spans="12:18">
      <c r="L222" s="60"/>
      <c r="M222" s="60"/>
      <c r="N222" s="60"/>
      <c r="O222" s="60"/>
      <c r="P222" s="60"/>
      <c r="Q222" s="60"/>
      <c r="R222" s="60"/>
    </row>
    <row r="223" spans="12:18">
      <c r="L223" s="60"/>
      <c r="M223" s="60"/>
      <c r="N223" s="60"/>
      <c r="O223" s="60"/>
      <c r="P223" s="60"/>
      <c r="Q223" s="60"/>
      <c r="R223" s="60"/>
    </row>
    <row r="224" spans="12:18">
      <c r="L224" s="60"/>
      <c r="M224" s="60"/>
      <c r="N224" s="60"/>
      <c r="O224" s="60"/>
      <c r="P224" s="60"/>
      <c r="Q224" s="60"/>
      <c r="R224" s="60"/>
    </row>
    <row r="225" spans="12:18">
      <c r="L225" s="60"/>
      <c r="M225" s="60"/>
      <c r="N225" s="60"/>
      <c r="O225" s="60"/>
      <c r="P225" s="60"/>
      <c r="Q225" s="60"/>
      <c r="R225" s="60"/>
    </row>
    <row r="226" spans="12:18">
      <c r="L226" s="60"/>
      <c r="M226" s="60"/>
      <c r="N226" s="60"/>
      <c r="O226" s="60"/>
      <c r="P226" s="60"/>
      <c r="Q226" s="60"/>
      <c r="R226" s="60"/>
    </row>
    <row r="227" spans="12:18">
      <c r="L227" s="60"/>
      <c r="M227" s="60"/>
      <c r="N227" s="60"/>
      <c r="O227" s="60"/>
      <c r="P227" s="60"/>
      <c r="Q227" s="60"/>
      <c r="R227" s="60"/>
    </row>
    <row r="228" spans="12:18">
      <c r="L228" s="60"/>
      <c r="M228" s="60"/>
      <c r="N228" s="60"/>
      <c r="O228" s="60"/>
      <c r="P228" s="60"/>
      <c r="Q228" s="60"/>
      <c r="R228" s="60"/>
    </row>
    <row r="229" spans="12:18">
      <c r="L229" s="60"/>
      <c r="M229" s="60"/>
      <c r="N229" s="60"/>
      <c r="O229" s="60"/>
      <c r="P229" s="60"/>
      <c r="Q229" s="60"/>
      <c r="R229" s="60"/>
    </row>
    <row r="230" spans="12:18">
      <c r="L230" s="60"/>
      <c r="M230" s="60"/>
      <c r="N230" s="60"/>
      <c r="O230" s="60"/>
      <c r="P230" s="60"/>
      <c r="Q230" s="60"/>
      <c r="R230" s="60"/>
    </row>
    <row r="231" spans="12:18">
      <c r="L231" s="60"/>
      <c r="M231" s="60"/>
      <c r="N231" s="60"/>
      <c r="O231" s="60"/>
      <c r="P231" s="60"/>
      <c r="Q231" s="60"/>
      <c r="R231" s="60"/>
    </row>
    <row r="232" spans="12:18">
      <c r="L232" s="60"/>
      <c r="M232" s="60"/>
      <c r="N232" s="60"/>
      <c r="O232" s="60"/>
      <c r="P232" s="60"/>
      <c r="Q232" s="60"/>
      <c r="R232" s="60"/>
    </row>
    <row r="233" spans="12:18">
      <c r="L233" s="60"/>
      <c r="M233" s="60"/>
      <c r="N233" s="60"/>
      <c r="O233" s="60"/>
      <c r="P233" s="60"/>
      <c r="Q233" s="60"/>
      <c r="R233" s="60"/>
    </row>
    <row r="234" spans="12:18">
      <c r="L234" s="60"/>
      <c r="M234" s="60"/>
      <c r="N234" s="60"/>
      <c r="O234" s="60"/>
      <c r="P234" s="60"/>
      <c r="Q234" s="60"/>
      <c r="R234" s="60"/>
    </row>
    <row r="235" spans="12:18">
      <c r="L235" s="60"/>
      <c r="M235" s="60"/>
      <c r="N235" s="60"/>
      <c r="O235" s="60"/>
      <c r="P235" s="60"/>
      <c r="Q235" s="60"/>
      <c r="R235" s="60"/>
    </row>
    <row r="236" spans="12:18">
      <c r="L236" s="60"/>
      <c r="M236" s="60"/>
      <c r="N236" s="60"/>
      <c r="O236" s="60"/>
      <c r="P236" s="60"/>
      <c r="Q236" s="60"/>
      <c r="R236" s="60"/>
    </row>
    <row r="237" spans="12:18">
      <c r="L237" s="60"/>
      <c r="M237" s="60"/>
      <c r="N237" s="60"/>
      <c r="O237" s="60"/>
      <c r="P237" s="60"/>
      <c r="Q237" s="60"/>
      <c r="R237" s="60"/>
    </row>
    <row r="238" spans="12:18">
      <c r="L238" s="60"/>
      <c r="M238" s="60"/>
      <c r="N238" s="60"/>
      <c r="O238" s="60"/>
      <c r="P238" s="60"/>
      <c r="Q238" s="60"/>
      <c r="R238" s="60"/>
    </row>
    <row r="239" spans="12:18">
      <c r="L239" s="60"/>
      <c r="M239" s="60"/>
      <c r="N239" s="60"/>
      <c r="O239" s="60"/>
      <c r="P239" s="60"/>
      <c r="Q239" s="60"/>
      <c r="R239" s="60"/>
    </row>
    <row r="240" spans="12:18">
      <c r="L240" s="60"/>
      <c r="M240" s="60"/>
      <c r="N240" s="60"/>
      <c r="O240" s="60"/>
      <c r="P240" s="60"/>
      <c r="Q240" s="60"/>
      <c r="R240" s="60"/>
    </row>
    <row r="241" spans="12:18">
      <c r="L241" s="60"/>
      <c r="M241" s="60"/>
      <c r="N241" s="60"/>
      <c r="O241" s="60"/>
      <c r="P241" s="60"/>
      <c r="Q241" s="60"/>
      <c r="R241" s="60"/>
    </row>
    <row r="242" spans="12:18">
      <c r="L242" s="60"/>
      <c r="M242" s="60"/>
      <c r="N242" s="60"/>
      <c r="O242" s="60"/>
      <c r="P242" s="60"/>
      <c r="Q242" s="60"/>
      <c r="R242" s="60"/>
    </row>
    <row r="243" spans="12:18">
      <c r="L243" s="60"/>
      <c r="M243" s="60"/>
      <c r="N243" s="60"/>
      <c r="O243" s="60"/>
      <c r="P243" s="60"/>
      <c r="Q243" s="60"/>
      <c r="R243" s="60"/>
    </row>
    <row r="244" spans="12:18">
      <c r="L244" s="60"/>
      <c r="M244" s="60"/>
      <c r="N244" s="60"/>
      <c r="O244" s="60"/>
      <c r="P244" s="60"/>
      <c r="Q244" s="60"/>
      <c r="R244" s="60"/>
    </row>
    <row r="245" spans="12:18">
      <c r="L245" s="60"/>
      <c r="M245" s="60"/>
      <c r="N245" s="60"/>
      <c r="O245" s="60"/>
      <c r="P245" s="60"/>
      <c r="Q245" s="60"/>
      <c r="R245" s="60"/>
    </row>
    <row r="246" spans="12:18">
      <c r="L246" s="60"/>
      <c r="M246" s="60"/>
      <c r="N246" s="60"/>
      <c r="O246" s="60"/>
      <c r="P246" s="60"/>
      <c r="Q246" s="60"/>
      <c r="R246" s="60"/>
    </row>
    <row r="247" spans="12:18">
      <c r="L247" s="60"/>
      <c r="M247" s="60"/>
      <c r="N247" s="60"/>
      <c r="O247" s="60"/>
      <c r="P247" s="60"/>
      <c r="Q247" s="60"/>
      <c r="R247" s="60"/>
    </row>
    <row r="248" spans="12:18">
      <c r="L248" s="60"/>
      <c r="M248" s="60"/>
      <c r="N248" s="60"/>
      <c r="O248" s="60"/>
      <c r="P248" s="60"/>
      <c r="Q248" s="60"/>
      <c r="R248" s="60"/>
    </row>
    <row r="249" spans="12:18">
      <c r="L249" s="60"/>
      <c r="M249" s="60"/>
      <c r="N249" s="60"/>
      <c r="O249" s="60"/>
      <c r="P249" s="60"/>
      <c r="Q249" s="60"/>
      <c r="R249" s="60"/>
    </row>
    <row r="250" spans="12:18">
      <c r="L250" s="60"/>
      <c r="M250" s="60"/>
      <c r="N250" s="60"/>
      <c r="O250" s="60"/>
      <c r="P250" s="60"/>
      <c r="Q250" s="60"/>
      <c r="R250" s="60"/>
    </row>
    <row r="251" spans="12:18">
      <c r="L251" s="60"/>
      <c r="M251" s="60"/>
      <c r="N251" s="60"/>
      <c r="O251" s="60"/>
      <c r="P251" s="60"/>
      <c r="Q251" s="60"/>
      <c r="R251" s="60"/>
    </row>
    <row r="252" spans="12:18">
      <c r="L252" s="60"/>
      <c r="M252" s="60"/>
      <c r="N252" s="60"/>
      <c r="O252" s="60"/>
      <c r="P252" s="60"/>
      <c r="Q252" s="60"/>
      <c r="R252" s="60"/>
    </row>
    <row r="253" spans="12:18">
      <c r="L253" s="60"/>
      <c r="M253" s="60"/>
      <c r="N253" s="60"/>
      <c r="O253" s="60"/>
      <c r="P253" s="60"/>
      <c r="Q253" s="60"/>
      <c r="R253" s="60"/>
    </row>
    <row r="254" spans="12:18">
      <c r="L254" s="60"/>
      <c r="M254" s="60"/>
      <c r="N254" s="60"/>
      <c r="O254" s="60"/>
      <c r="P254" s="60"/>
      <c r="Q254" s="60"/>
      <c r="R254" s="60"/>
    </row>
    <row r="255" spans="12:18">
      <c r="L255" s="60"/>
      <c r="M255" s="60"/>
      <c r="N255" s="60"/>
      <c r="O255" s="60"/>
      <c r="P255" s="60"/>
      <c r="Q255" s="60"/>
      <c r="R255" s="60"/>
    </row>
    <row r="256" spans="12:18">
      <c r="L256" s="60"/>
      <c r="M256" s="60"/>
      <c r="N256" s="60"/>
      <c r="O256" s="60"/>
      <c r="P256" s="60"/>
      <c r="Q256" s="60"/>
      <c r="R256" s="60"/>
    </row>
    <row r="257" spans="12:18">
      <c r="L257" s="60"/>
      <c r="M257" s="60"/>
      <c r="N257" s="60"/>
      <c r="O257" s="60"/>
      <c r="P257" s="60"/>
      <c r="Q257" s="60"/>
      <c r="R257" s="60"/>
    </row>
    <row r="258" spans="12:18">
      <c r="L258" s="60"/>
      <c r="M258" s="60"/>
      <c r="N258" s="60"/>
      <c r="O258" s="60"/>
      <c r="P258" s="60"/>
      <c r="Q258" s="60"/>
      <c r="R258" s="60"/>
    </row>
    <row r="259" spans="12:18">
      <c r="L259" s="60"/>
      <c r="M259" s="60"/>
      <c r="N259" s="60"/>
      <c r="O259" s="60"/>
      <c r="P259" s="60"/>
      <c r="Q259" s="60"/>
      <c r="R259" s="60"/>
    </row>
    <row r="260" spans="12:18">
      <c r="L260" s="60"/>
      <c r="M260" s="60"/>
      <c r="N260" s="60"/>
      <c r="O260" s="60"/>
      <c r="P260" s="60"/>
      <c r="Q260" s="60"/>
      <c r="R260" s="60"/>
    </row>
    <row r="261" spans="12:18">
      <c r="L261" s="60"/>
      <c r="M261" s="60"/>
      <c r="N261" s="60"/>
      <c r="O261" s="60"/>
      <c r="P261" s="60"/>
      <c r="Q261" s="60"/>
      <c r="R261" s="60"/>
    </row>
    <row r="262" spans="12:18">
      <c r="L262" s="60"/>
      <c r="M262" s="60"/>
      <c r="N262" s="60"/>
      <c r="O262" s="60"/>
      <c r="P262" s="60"/>
      <c r="Q262" s="60"/>
      <c r="R262" s="60"/>
    </row>
    <row r="263" spans="12:18">
      <c r="L263" s="60"/>
      <c r="M263" s="60"/>
      <c r="N263" s="60"/>
      <c r="O263" s="60"/>
      <c r="P263" s="60"/>
      <c r="Q263" s="60"/>
      <c r="R263" s="60"/>
    </row>
    <row r="264" spans="12:18">
      <c r="L264" s="60"/>
      <c r="M264" s="60"/>
      <c r="N264" s="60"/>
      <c r="O264" s="60"/>
      <c r="P264" s="60"/>
      <c r="Q264" s="60"/>
      <c r="R264" s="60"/>
    </row>
    <row r="265" spans="12:18">
      <c r="L265" s="60"/>
      <c r="M265" s="60"/>
      <c r="N265" s="60"/>
      <c r="O265" s="60"/>
      <c r="P265" s="60"/>
      <c r="Q265" s="60"/>
      <c r="R265" s="60"/>
    </row>
    <row r="266" spans="12:18">
      <c r="L266" s="60"/>
      <c r="M266" s="60"/>
      <c r="N266" s="60"/>
      <c r="O266" s="60"/>
      <c r="P266" s="60"/>
      <c r="Q266" s="60"/>
      <c r="R266" s="60"/>
    </row>
    <row r="267" spans="12:18">
      <c r="L267" s="60"/>
      <c r="M267" s="60"/>
      <c r="N267" s="60"/>
      <c r="O267" s="60"/>
      <c r="P267" s="60"/>
      <c r="Q267" s="60"/>
      <c r="R267" s="60"/>
    </row>
    <row r="268" spans="12:18">
      <c r="L268" s="60"/>
      <c r="M268" s="60"/>
      <c r="N268" s="60"/>
      <c r="O268" s="60"/>
      <c r="P268" s="60"/>
      <c r="Q268" s="60"/>
      <c r="R268" s="60"/>
    </row>
    <row r="269" spans="12:18">
      <c r="L269" s="60"/>
      <c r="M269" s="60"/>
      <c r="N269" s="60"/>
      <c r="O269" s="60"/>
      <c r="P269" s="60"/>
      <c r="Q269" s="60"/>
      <c r="R269" s="60"/>
    </row>
    <row r="270" spans="12:18">
      <c r="L270" s="60"/>
      <c r="M270" s="60"/>
      <c r="N270" s="60"/>
      <c r="O270" s="60"/>
      <c r="P270" s="60"/>
      <c r="Q270" s="60"/>
      <c r="R270" s="60"/>
    </row>
    <row r="271" spans="12:18">
      <c r="L271" s="60"/>
      <c r="M271" s="60"/>
      <c r="N271" s="60"/>
      <c r="O271" s="60"/>
      <c r="P271" s="60"/>
      <c r="Q271" s="60"/>
      <c r="R271" s="60"/>
    </row>
    <row r="272" spans="12:18">
      <c r="L272" s="60"/>
      <c r="M272" s="60"/>
      <c r="N272" s="60"/>
      <c r="O272" s="60"/>
      <c r="P272" s="60"/>
      <c r="Q272" s="60"/>
      <c r="R272" s="60"/>
    </row>
    <row r="273" spans="12:18">
      <c r="L273" s="60"/>
      <c r="M273" s="60"/>
      <c r="N273" s="60"/>
      <c r="O273" s="60"/>
      <c r="P273" s="60"/>
      <c r="Q273" s="60"/>
      <c r="R273" s="60"/>
    </row>
    <row r="274" spans="12:18">
      <c r="L274" s="60"/>
      <c r="M274" s="60"/>
      <c r="N274" s="60"/>
      <c r="O274" s="60"/>
      <c r="P274" s="60"/>
      <c r="Q274" s="60"/>
      <c r="R274" s="60"/>
    </row>
    <row r="275" spans="12:18">
      <c r="L275" s="60"/>
      <c r="M275" s="60"/>
      <c r="N275" s="60"/>
      <c r="O275" s="60"/>
      <c r="P275" s="60"/>
      <c r="Q275" s="60"/>
      <c r="R275" s="60"/>
    </row>
    <row r="276" spans="12:18">
      <c r="L276" s="60"/>
      <c r="M276" s="60"/>
      <c r="N276" s="60"/>
      <c r="O276" s="60"/>
      <c r="P276" s="60"/>
      <c r="Q276" s="60"/>
      <c r="R276" s="60"/>
    </row>
    <row r="277" spans="12:18">
      <c r="L277" s="60"/>
      <c r="M277" s="60"/>
      <c r="N277" s="60"/>
      <c r="O277" s="60"/>
      <c r="P277" s="60"/>
      <c r="Q277" s="60"/>
      <c r="R277" s="60"/>
    </row>
    <row r="278" spans="12:18">
      <c r="L278" s="60"/>
      <c r="M278" s="60"/>
      <c r="N278" s="60"/>
      <c r="O278" s="60"/>
      <c r="P278" s="60"/>
      <c r="Q278" s="60"/>
      <c r="R278" s="60"/>
    </row>
    <row r="279" spans="12:18">
      <c r="L279" s="60"/>
      <c r="M279" s="60"/>
      <c r="N279" s="60"/>
      <c r="O279" s="60"/>
      <c r="P279" s="60"/>
      <c r="Q279" s="60"/>
      <c r="R279" s="60"/>
    </row>
    <row r="280" spans="12:18">
      <c r="L280" s="60"/>
      <c r="M280" s="60"/>
      <c r="N280" s="60"/>
      <c r="O280" s="60"/>
      <c r="P280" s="60"/>
      <c r="Q280" s="60"/>
      <c r="R280" s="60"/>
    </row>
    <row r="281" spans="12:18">
      <c r="L281" s="60"/>
      <c r="M281" s="60"/>
      <c r="N281" s="60"/>
      <c r="O281" s="60"/>
      <c r="P281" s="60"/>
      <c r="Q281" s="60"/>
      <c r="R281" s="60"/>
    </row>
    <row r="282" spans="12:18">
      <c r="L282" s="60"/>
      <c r="M282" s="60"/>
      <c r="N282" s="60"/>
      <c r="O282" s="60"/>
      <c r="P282" s="60"/>
      <c r="Q282" s="60"/>
      <c r="R282" s="60"/>
    </row>
    <row r="283" spans="12:18">
      <c r="L283" s="60"/>
      <c r="M283" s="60"/>
      <c r="N283" s="60"/>
      <c r="O283" s="60"/>
      <c r="P283" s="60"/>
      <c r="Q283" s="60"/>
      <c r="R283" s="60"/>
    </row>
    <row r="284" spans="12:18">
      <c r="L284" s="60"/>
      <c r="M284" s="60"/>
      <c r="N284" s="60"/>
      <c r="O284" s="60"/>
      <c r="P284" s="60"/>
      <c r="Q284" s="60"/>
      <c r="R284" s="60"/>
    </row>
    <row r="285" spans="12:18">
      <c r="L285" s="60"/>
      <c r="M285" s="60"/>
      <c r="N285" s="60"/>
      <c r="O285" s="60"/>
      <c r="P285" s="60"/>
      <c r="Q285" s="60"/>
      <c r="R285" s="60"/>
    </row>
    <row r="286" spans="12:18">
      <c r="L286" s="60"/>
      <c r="M286" s="60"/>
      <c r="N286" s="60"/>
      <c r="O286" s="60"/>
      <c r="P286" s="60"/>
      <c r="Q286" s="60"/>
      <c r="R286" s="60"/>
    </row>
    <row r="287" spans="12:18">
      <c r="L287" s="60"/>
      <c r="M287" s="60"/>
      <c r="N287" s="60"/>
      <c r="O287" s="60"/>
      <c r="P287" s="60"/>
      <c r="Q287" s="60"/>
      <c r="R287" s="60"/>
    </row>
    <row r="288" spans="12:18">
      <c r="L288" s="60"/>
      <c r="M288" s="60"/>
      <c r="N288" s="60"/>
      <c r="O288" s="60"/>
      <c r="P288" s="60"/>
      <c r="Q288" s="60"/>
      <c r="R288" s="60"/>
    </row>
    <row r="289" spans="12:18">
      <c r="L289" s="60"/>
      <c r="M289" s="60"/>
      <c r="N289" s="60"/>
      <c r="O289" s="60"/>
      <c r="P289" s="60"/>
      <c r="Q289" s="60"/>
      <c r="R289" s="60"/>
    </row>
    <row r="290" spans="12:18">
      <c r="L290" s="60"/>
      <c r="M290" s="60"/>
      <c r="N290" s="60"/>
      <c r="O290" s="60"/>
      <c r="P290" s="60"/>
      <c r="Q290" s="60"/>
      <c r="R290" s="60"/>
    </row>
    <row r="291" spans="12:18">
      <c r="L291" s="60"/>
      <c r="M291" s="60"/>
      <c r="N291" s="60"/>
      <c r="O291" s="60"/>
      <c r="P291" s="60"/>
      <c r="Q291" s="60"/>
      <c r="R291" s="60"/>
    </row>
    <row r="292" spans="12:18">
      <c r="L292" s="60"/>
      <c r="M292" s="60"/>
      <c r="N292" s="60"/>
      <c r="O292" s="60"/>
      <c r="P292" s="60"/>
      <c r="Q292" s="60"/>
      <c r="R292" s="60"/>
    </row>
    <row r="293" spans="12:18">
      <c r="L293" s="60"/>
      <c r="M293" s="60"/>
      <c r="N293" s="60"/>
      <c r="O293" s="60"/>
      <c r="P293" s="60"/>
      <c r="Q293" s="60"/>
      <c r="R293" s="60"/>
    </row>
    <row r="294" spans="12:18">
      <c r="L294" s="60"/>
      <c r="M294" s="60"/>
      <c r="N294" s="60"/>
      <c r="O294" s="60"/>
      <c r="P294" s="60"/>
      <c r="Q294" s="60"/>
      <c r="R294" s="60"/>
    </row>
    <row r="295" spans="12:18">
      <c r="L295" s="60"/>
      <c r="M295" s="60"/>
      <c r="N295" s="60"/>
      <c r="O295" s="60"/>
      <c r="P295" s="60"/>
      <c r="Q295" s="60"/>
      <c r="R295" s="60"/>
    </row>
    <row r="296" spans="12:18">
      <c r="L296" s="60"/>
      <c r="M296" s="60"/>
      <c r="N296" s="60"/>
      <c r="O296" s="60"/>
      <c r="P296" s="60"/>
      <c r="Q296" s="60"/>
      <c r="R296" s="60"/>
    </row>
    <row r="297" spans="12:18">
      <c r="L297" s="60"/>
      <c r="M297" s="60"/>
      <c r="N297" s="60"/>
      <c r="O297" s="60"/>
      <c r="P297" s="60"/>
      <c r="Q297" s="60"/>
      <c r="R297" s="60"/>
    </row>
    <row r="298" spans="12:18">
      <c r="L298" s="60"/>
      <c r="M298" s="60"/>
      <c r="N298" s="60"/>
      <c r="O298" s="60"/>
      <c r="P298" s="60"/>
      <c r="Q298" s="60"/>
      <c r="R298" s="60"/>
    </row>
    <row r="299" spans="12:18">
      <c r="L299" s="60"/>
      <c r="M299" s="60"/>
      <c r="N299" s="60"/>
      <c r="O299" s="60"/>
      <c r="P299" s="60"/>
      <c r="Q299" s="60"/>
      <c r="R299" s="60"/>
    </row>
    <row r="300" spans="12:18">
      <c r="L300" s="60"/>
      <c r="M300" s="60"/>
      <c r="N300" s="60"/>
      <c r="O300" s="60"/>
      <c r="P300" s="60"/>
      <c r="Q300" s="60"/>
      <c r="R300" s="60"/>
    </row>
    <row r="301" spans="12:18">
      <c r="L301" s="60"/>
      <c r="M301" s="60"/>
      <c r="N301" s="60"/>
      <c r="O301" s="60"/>
      <c r="P301" s="60"/>
      <c r="Q301" s="60"/>
      <c r="R301" s="60"/>
    </row>
    <row r="302" spans="12:18">
      <c r="L302" s="60"/>
      <c r="M302" s="60"/>
      <c r="N302" s="60"/>
      <c r="O302" s="60"/>
      <c r="P302" s="60"/>
      <c r="Q302" s="60"/>
      <c r="R302" s="60"/>
    </row>
    <row r="303" spans="12:18">
      <c r="L303" s="60"/>
      <c r="M303" s="60"/>
      <c r="N303" s="60"/>
      <c r="O303" s="60"/>
      <c r="P303" s="60"/>
      <c r="Q303" s="60"/>
      <c r="R303" s="60"/>
    </row>
    <row r="304" spans="12:18">
      <c r="L304" s="60"/>
      <c r="M304" s="60"/>
      <c r="N304" s="60"/>
      <c r="O304" s="60"/>
      <c r="P304" s="60"/>
      <c r="Q304" s="60"/>
      <c r="R304" s="60"/>
    </row>
    <row r="305" spans="12:18">
      <c r="L305" s="60"/>
      <c r="M305" s="60"/>
      <c r="N305" s="60"/>
      <c r="O305" s="60"/>
      <c r="P305" s="60"/>
      <c r="Q305" s="60"/>
      <c r="R305" s="60"/>
    </row>
    <row r="306" spans="12:18">
      <c r="L306" s="60"/>
      <c r="M306" s="60"/>
      <c r="N306" s="60"/>
      <c r="O306" s="60"/>
      <c r="P306" s="60"/>
      <c r="Q306" s="60"/>
      <c r="R306" s="60"/>
    </row>
    <row r="307" spans="12:18">
      <c r="L307" s="60"/>
      <c r="M307" s="60"/>
      <c r="N307" s="60"/>
      <c r="O307" s="60"/>
      <c r="P307" s="60"/>
      <c r="Q307" s="60"/>
      <c r="R307" s="60"/>
    </row>
    <row r="308" spans="12:18">
      <c r="L308" s="60"/>
      <c r="M308" s="60"/>
      <c r="N308" s="60"/>
      <c r="O308" s="60"/>
      <c r="P308" s="60"/>
      <c r="Q308" s="60"/>
      <c r="R308" s="60"/>
    </row>
    <row r="309" spans="12:18">
      <c r="L309" s="60"/>
      <c r="M309" s="60"/>
      <c r="N309" s="60"/>
      <c r="O309" s="60"/>
      <c r="P309" s="60"/>
      <c r="Q309" s="60"/>
      <c r="R309" s="60"/>
    </row>
    <row r="310" spans="12:18">
      <c r="L310" s="60"/>
      <c r="M310" s="60"/>
      <c r="N310" s="60"/>
      <c r="O310" s="60"/>
      <c r="P310" s="60"/>
      <c r="Q310" s="60"/>
      <c r="R310" s="60"/>
    </row>
    <row r="311" spans="12:18">
      <c r="L311" s="60"/>
      <c r="M311" s="60"/>
      <c r="N311" s="60"/>
      <c r="O311" s="60"/>
      <c r="P311" s="60"/>
      <c r="Q311" s="60"/>
      <c r="R311" s="60"/>
    </row>
    <row r="312" spans="12:18">
      <c r="L312" s="60"/>
      <c r="M312" s="60"/>
      <c r="N312" s="60"/>
      <c r="O312" s="60"/>
      <c r="P312" s="60"/>
      <c r="Q312" s="60"/>
      <c r="R312" s="60"/>
    </row>
    <row r="313" spans="12:18">
      <c r="L313" s="60"/>
      <c r="M313" s="60"/>
      <c r="N313" s="60"/>
      <c r="O313" s="60"/>
      <c r="P313" s="60"/>
      <c r="Q313" s="60"/>
      <c r="R313" s="60"/>
    </row>
    <row r="314" spans="12:18">
      <c r="L314" s="60"/>
      <c r="M314" s="60"/>
      <c r="N314" s="60"/>
      <c r="O314" s="60"/>
      <c r="P314" s="60"/>
      <c r="Q314" s="60"/>
      <c r="R314" s="60"/>
    </row>
    <row r="315" spans="12:18">
      <c r="L315" s="60"/>
      <c r="M315" s="60"/>
      <c r="N315" s="60"/>
      <c r="O315" s="60"/>
      <c r="P315" s="60"/>
      <c r="Q315" s="60"/>
      <c r="R315" s="60"/>
    </row>
    <row r="316" spans="12:18">
      <c r="L316" s="60"/>
      <c r="M316" s="60"/>
      <c r="N316" s="60"/>
      <c r="O316" s="60"/>
      <c r="P316" s="60"/>
      <c r="Q316" s="60"/>
      <c r="R316" s="60"/>
    </row>
    <row r="317" spans="12:18">
      <c r="L317" s="60"/>
      <c r="M317" s="60"/>
      <c r="N317" s="60"/>
      <c r="O317" s="60"/>
      <c r="P317" s="60"/>
      <c r="Q317" s="60"/>
      <c r="R317" s="60"/>
    </row>
    <row r="318" spans="12:18">
      <c r="L318" s="60"/>
      <c r="M318" s="60"/>
      <c r="N318" s="60"/>
      <c r="O318" s="60"/>
      <c r="P318" s="60"/>
      <c r="Q318" s="60"/>
      <c r="R318" s="60"/>
    </row>
    <row r="319" spans="12:18">
      <c r="L319" s="60"/>
      <c r="M319" s="60"/>
      <c r="N319" s="60"/>
      <c r="O319" s="60"/>
      <c r="P319" s="60"/>
      <c r="Q319" s="60"/>
      <c r="R319" s="60"/>
    </row>
    <row r="320" spans="12:18">
      <c r="L320" s="60"/>
      <c r="M320" s="60"/>
      <c r="N320" s="60"/>
      <c r="O320" s="60"/>
      <c r="P320" s="60"/>
      <c r="Q320" s="60"/>
      <c r="R320" s="60"/>
    </row>
    <row r="321" spans="12:18">
      <c r="L321" s="60"/>
      <c r="M321" s="60"/>
      <c r="N321" s="60"/>
      <c r="O321" s="60"/>
      <c r="P321" s="60"/>
      <c r="Q321" s="60"/>
      <c r="R321" s="60"/>
    </row>
    <row r="322" spans="12:18">
      <c r="L322" s="60"/>
      <c r="M322" s="60"/>
      <c r="N322" s="60"/>
      <c r="O322" s="60"/>
      <c r="P322" s="60"/>
      <c r="Q322" s="60"/>
      <c r="R322" s="60"/>
    </row>
    <row r="323" spans="12:18">
      <c r="L323" s="60"/>
      <c r="M323" s="60"/>
      <c r="N323" s="60"/>
      <c r="O323" s="60"/>
      <c r="P323" s="60"/>
      <c r="Q323" s="60"/>
      <c r="R323" s="60"/>
    </row>
    <row r="324" spans="12:18">
      <c r="L324" s="60"/>
      <c r="M324" s="60"/>
      <c r="N324" s="60"/>
      <c r="O324" s="60"/>
      <c r="P324" s="60"/>
      <c r="Q324" s="60"/>
      <c r="R324" s="60"/>
    </row>
    <row r="325" spans="12:18">
      <c r="L325" s="60"/>
      <c r="M325" s="60"/>
      <c r="N325" s="60"/>
      <c r="O325" s="60"/>
      <c r="P325" s="60"/>
      <c r="Q325" s="60"/>
      <c r="R325" s="60"/>
    </row>
    <row r="326" spans="12:18">
      <c r="L326" s="60"/>
      <c r="M326" s="60"/>
      <c r="N326" s="60"/>
      <c r="O326" s="60"/>
      <c r="P326" s="60"/>
      <c r="Q326" s="60"/>
      <c r="R326" s="60"/>
    </row>
    <row r="327" spans="12:18">
      <c r="L327" s="60"/>
      <c r="M327" s="60"/>
      <c r="N327" s="60"/>
      <c r="O327" s="60"/>
      <c r="P327" s="60"/>
      <c r="Q327" s="60"/>
      <c r="R327" s="60"/>
    </row>
    <row r="328" spans="12:18">
      <c r="L328" s="60"/>
      <c r="M328" s="60"/>
      <c r="N328" s="60"/>
      <c r="O328" s="60"/>
      <c r="P328" s="60"/>
      <c r="Q328" s="60"/>
      <c r="R328" s="60"/>
    </row>
    <row r="329" spans="12:18">
      <c r="L329" s="60"/>
      <c r="M329" s="60"/>
      <c r="N329" s="60"/>
      <c r="O329" s="60"/>
      <c r="P329" s="60"/>
      <c r="Q329" s="60"/>
      <c r="R329" s="60"/>
    </row>
    <row r="330" spans="12:18">
      <c r="L330" s="60"/>
      <c r="M330" s="60"/>
      <c r="N330" s="60"/>
      <c r="O330" s="60"/>
      <c r="P330" s="60"/>
      <c r="Q330" s="60"/>
      <c r="R330" s="60"/>
    </row>
    <row r="331" spans="12:18">
      <c r="L331" s="60"/>
      <c r="M331" s="60"/>
      <c r="N331" s="60"/>
      <c r="O331" s="60"/>
      <c r="P331" s="60"/>
      <c r="Q331" s="60"/>
      <c r="R331" s="60"/>
    </row>
    <row r="332" spans="12:18">
      <c r="L332" s="60"/>
      <c r="M332" s="60"/>
      <c r="N332" s="60"/>
      <c r="O332" s="60"/>
      <c r="P332" s="60"/>
      <c r="Q332" s="60"/>
      <c r="R332" s="60"/>
    </row>
    <row r="333" spans="12:18">
      <c r="L333" s="60"/>
      <c r="M333" s="60"/>
      <c r="N333" s="60"/>
      <c r="O333" s="60"/>
      <c r="P333" s="60"/>
      <c r="Q333" s="60"/>
      <c r="R333" s="60"/>
    </row>
    <row r="334" spans="12:18">
      <c r="L334" s="60"/>
      <c r="M334" s="60"/>
      <c r="N334" s="60"/>
      <c r="O334" s="60"/>
      <c r="P334" s="60"/>
      <c r="Q334" s="60"/>
      <c r="R334" s="60"/>
    </row>
    <row r="335" spans="12:18">
      <c r="L335" s="60"/>
      <c r="M335" s="60"/>
      <c r="N335" s="60"/>
      <c r="O335" s="60"/>
      <c r="P335" s="60"/>
      <c r="Q335" s="60"/>
      <c r="R335" s="60"/>
    </row>
    <row r="336" spans="12:18">
      <c r="L336" s="60"/>
      <c r="M336" s="60"/>
      <c r="N336" s="60"/>
      <c r="O336" s="60"/>
      <c r="P336" s="60"/>
      <c r="Q336" s="60"/>
      <c r="R336" s="60"/>
    </row>
    <row r="337" spans="12:18">
      <c r="L337" s="60"/>
      <c r="M337" s="60"/>
      <c r="N337" s="60"/>
      <c r="O337" s="60"/>
      <c r="P337" s="60"/>
      <c r="Q337" s="60"/>
      <c r="R337" s="60"/>
    </row>
    <row r="338" spans="12:18">
      <c r="L338" s="60"/>
      <c r="M338" s="60"/>
      <c r="N338" s="60"/>
      <c r="O338" s="60"/>
      <c r="P338" s="60"/>
      <c r="Q338" s="60"/>
      <c r="R338" s="60"/>
    </row>
    <row r="339" spans="12:18">
      <c r="L339" s="60"/>
      <c r="M339" s="60"/>
      <c r="N339" s="60"/>
      <c r="O339" s="60"/>
      <c r="P339" s="60"/>
      <c r="Q339" s="60"/>
      <c r="R339" s="60"/>
    </row>
    <row r="340" spans="12:18">
      <c r="L340" s="60"/>
      <c r="M340" s="60"/>
      <c r="N340" s="60"/>
      <c r="O340" s="60"/>
      <c r="P340" s="60"/>
      <c r="Q340" s="60"/>
      <c r="R340" s="60"/>
    </row>
    <row r="341" spans="12:18">
      <c r="L341" s="60"/>
      <c r="M341" s="60"/>
      <c r="N341" s="60"/>
      <c r="O341" s="60"/>
      <c r="P341" s="60"/>
      <c r="Q341" s="60"/>
      <c r="R341" s="60"/>
    </row>
    <row r="342" spans="12:18">
      <c r="L342" s="60"/>
      <c r="M342" s="60"/>
      <c r="N342" s="60"/>
      <c r="O342" s="60"/>
      <c r="P342" s="60"/>
      <c r="Q342" s="60"/>
      <c r="R342" s="60"/>
    </row>
    <row r="343" spans="12:18">
      <c r="L343" s="60"/>
      <c r="M343" s="60"/>
      <c r="N343" s="60"/>
      <c r="O343" s="60"/>
      <c r="P343" s="60"/>
      <c r="Q343" s="60"/>
      <c r="R343" s="60"/>
    </row>
    <row r="344" spans="12:18">
      <c r="L344" s="60"/>
      <c r="M344" s="60"/>
      <c r="N344" s="60"/>
      <c r="O344" s="60"/>
      <c r="P344" s="60"/>
      <c r="Q344" s="60"/>
      <c r="R344" s="60"/>
    </row>
    <row r="345" spans="12:18">
      <c r="L345" s="60"/>
      <c r="M345" s="60"/>
      <c r="N345" s="60"/>
      <c r="O345" s="60"/>
      <c r="P345" s="60"/>
      <c r="Q345" s="60"/>
      <c r="R345" s="60"/>
    </row>
    <row r="346" spans="12:18">
      <c r="L346" s="60"/>
      <c r="M346" s="60"/>
      <c r="N346" s="60"/>
      <c r="O346" s="60"/>
      <c r="P346" s="60"/>
      <c r="Q346" s="60"/>
      <c r="R346" s="60"/>
    </row>
    <row r="347" spans="12:18">
      <c r="L347" s="60"/>
      <c r="M347" s="60"/>
      <c r="N347" s="60"/>
      <c r="O347" s="60"/>
      <c r="P347" s="60"/>
      <c r="Q347" s="60"/>
      <c r="R347" s="60"/>
    </row>
    <row r="348" spans="12:18">
      <c r="L348" s="60"/>
      <c r="M348" s="60"/>
      <c r="N348" s="60"/>
      <c r="O348" s="60"/>
      <c r="P348" s="60"/>
      <c r="Q348" s="60"/>
      <c r="R348" s="60"/>
    </row>
    <row r="349" spans="12:18">
      <c r="L349" s="60"/>
      <c r="M349" s="60"/>
      <c r="N349" s="60"/>
      <c r="O349" s="60"/>
      <c r="P349" s="60"/>
      <c r="Q349" s="60"/>
      <c r="R349" s="60"/>
    </row>
    <row r="350" spans="12:18">
      <c r="L350" s="60"/>
      <c r="M350" s="60"/>
      <c r="N350" s="60"/>
      <c r="O350" s="60"/>
      <c r="P350" s="60"/>
      <c r="Q350" s="60"/>
      <c r="R350" s="60"/>
    </row>
    <row r="351" spans="12:18">
      <c r="L351" s="60"/>
      <c r="M351" s="60"/>
      <c r="N351" s="60"/>
      <c r="O351" s="60"/>
      <c r="P351" s="60"/>
      <c r="Q351" s="60"/>
      <c r="R351" s="60"/>
    </row>
    <row r="352" spans="12:18">
      <c r="L352" s="60"/>
      <c r="M352" s="60"/>
      <c r="N352" s="60"/>
      <c r="O352" s="60"/>
      <c r="P352" s="60"/>
      <c r="Q352" s="60"/>
      <c r="R352" s="60"/>
    </row>
    <row r="353" spans="12:18">
      <c r="L353" s="60"/>
      <c r="M353" s="60"/>
      <c r="N353" s="60"/>
      <c r="O353" s="60"/>
      <c r="P353" s="60"/>
      <c r="Q353" s="60"/>
      <c r="R353" s="60"/>
    </row>
    <row r="354" spans="12:18">
      <c r="L354" s="60"/>
      <c r="M354" s="60"/>
      <c r="N354" s="60"/>
      <c r="O354" s="60"/>
      <c r="P354" s="60"/>
      <c r="Q354" s="60"/>
      <c r="R354" s="60"/>
    </row>
    <row r="355" spans="12:18">
      <c r="L355" s="60"/>
      <c r="M355" s="60"/>
      <c r="N355" s="60"/>
      <c r="O355" s="60"/>
      <c r="P355" s="60"/>
      <c r="Q355" s="60"/>
      <c r="R355" s="60"/>
    </row>
    <row r="356" spans="12:18">
      <c r="L356" s="60"/>
      <c r="M356" s="60"/>
      <c r="N356" s="60"/>
      <c r="O356" s="60"/>
      <c r="P356" s="60"/>
      <c r="Q356" s="60"/>
      <c r="R356" s="60"/>
    </row>
    <row r="357" spans="12:18">
      <c r="L357" s="60"/>
      <c r="M357" s="60"/>
      <c r="N357" s="60"/>
      <c r="O357" s="60"/>
      <c r="P357" s="60"/>
      <c r="Q357" s="60"/>
      <c r="R357" s="60"/>
    </row>
    <row r="358" spans="12:18">
      <c r="L358" s="60"/>
      <c r="M358" s="60"/>
      <c r="N358" s="60"/>
      <c r="O358" s="60"/>
      <c r="P358" s="60"/>
      <c r="Q358" s="60"/>
      <c r="R358" s="60"/>
    </row>
    <row r="359" spans="12:18">
      <c r="L359" s="60"/>
      <c r="M359" s="60"/>
      <c r="N359" s="60"/>
      <c r="O359" s="60"/>
      <c r="P359" s="60"/>
      <c r="Q359" s="60"/>
      <c r="R359" s="60"/>
    </row>
    <row r="360" spans="12:18">
      <c r="L360" s="60"/>
      <c r="M360" s="60"/>
      <c r="N360" s="60"/>
      <c r="O360" s="60"/>
      <c r="P360" s="60"/>
      <c r="Q360" s="60"/>
      <c r="R360" s="60"/>
    </row>
    <row r="361" spans="12:18">
      <c r="L361" s="60"/>
      <c r="M361" s="60"/>
      <c r="N361" s="60"/>
      <c r="O361" s="60"/>
      <c r="P361" s="60"/>
      <c r="Q361" s="60"/>
      <c r="R361" s="60"/>
    </row>
    <row r="362" spans="12:18">
      <c r="L362" s="60"/>
      <c r="M362" s="60"/>
      <c r="N362" s="60"/>
      <c r="O362" s="60"/>
      <c r="P362" s="60"/>
      <c r="Q362" s="60"/>
      <c r="R362" s="60"/>
    </row>
    <row r="363" spans="12:18">
      <c r="L363" s="60"/>
      <c r="M363" s="60"/>
      <c r="N363" s="60"/>
      <c r="O363" s="60"/>
      <c r="P363" s="60"/>
      <c r="Q363" s="60"/>
      <c r="R363" s="60"/>
    </row>
    <row r="364" spans="12:18">
      <c r="L364" s="60"/>
      <c r="M364" s="60"/>
      <c r="N364" s="60"/>
      <c r="O364" s="60"/>
      <c r="P364" s="60"/>
      <c r="Q364" s="60"/>
      <c r="R364" s="60"/>
    </row>
    <row r="365" spans="12:18">
      <c r="L365" s="60"/>
      <c r="M365" s="60"/>
      <c r="N365" s="60"/>
      <c r="O365" s="60"/>
      <c r="P365" s="60"/>
      <c r="Q365" s="60"/>
      <c r="R365" s="60"/>
    </row>
    <row r="366" spans="12:18">
      <c r="L366" s="60"/>
      <c r="M366" s="60"/>
      <c r="N366" s="60"/>
      <c r="O366" s="60"/>
      <c r="P366" s="60"/>
      <c r="Q366" s="60"/>
      <c r="R366" s="60"/>
    </row>
    <row r="367" spans="12:18">
      <c r="L367" s="60"/>
      <c r="M367" s="60"/>
      <c r="N367" s="60"/>
      <c r="O367" s="60"/>
      <c r="P367" s="60"/>
      <c r="Q367" s="60"/>
      <c r="R367" s="60"/>
    </row>
    <row r="368" spans="12:18">
      <c r="L368" s="60"/>
      <c r="M368" s="60"/>
      <c r="N368" s="60"/>
      <c r="O368" s="60"/>
      <c r="P368" s="60"/>
      <c r="Q368" s="60"/>
      <c r="R368" s="60"/>
    </row>
    <row r="369" spans="12:18">
      <c r="L369" s="60"/>
      <c r="M369" s="60"/>
      <c r="N369" s="60"/>
      <c r="O369" s="60"/>
      <c r="P369" s="60"/>
      <c r="Q369" s="60"/>
      <c r="R369" s="60"/>
    </row>
    <row r="370" spans="12:18">
      <c r="L370" s="60"/>
      <c r="M370" s="60"/>
      <c r="N370" s="60"/>
      <c r="O370" s="60"/>
      <c r="P370" s="60"/>
      <c r="Q370" s="60"/>
      <c r="R370" s="60"/>
    </row>
    <row r="371" spans="12:18">
      <c r="L371" s="60"/>
      <c r="M371" s="60"/>
      <c r="N371" s="60"/>
      <c r="O371" s="60"/>
      <c r="P371" s="60"/>
      <c r="Q371" s="60"/>
      <c r="R371" s="60"/>
    </row>
    <row r="372" spans="12:18">
      <c r="L372" s="60"/>
      <c r="M372" s="60"/>
      <c r="N372" s="60"/>
      <c r="O372" s="60"/>
      <c r="P372" s="60"/>
      <c r="Q372" s="60"/>
      <c r="R372" s="60"/>
    </row>
  </sheetData>
  <mergeCells count="2">
    <mergeCell ref="A1:L1"/>
    <mergeCell ref="A39:G39"/>
  </mergeCells>
  <printOptions horizontalCentered="1" verticalCentered="1"/>
  <pageMargins left="0.4" right="0.4" top="0.25" bottom="0.25" header="0.31496062992126" footer="0.31496062992126"/>
  <pageSetup scale="57" orientation="landscape"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K90"/>
  <sheetViews>
    <sheetView showGridLines="0" view="pageBreakPreview" zoomScaleNormal="100" zoomScaleSheetLayoutView="100" workbookViewId="0">
      <pane ySplit="1" topLeftCell="A2" activePane="bottomLeft" state="frozen"/>
      <selection pane="bottomLeft" activeCell="X47" sqref="X47"/>
    </sheetView>
  </sheetViews>
  <sheetFormatPr baseColWidth="10" defaultColWidth="11.5703125" defaultRowHeight="15"/>
  <cols>
    <col min="1" max="1" width="35.42578125" style="71" customWidth="1"/>
    <col min="2" max="2" width="21" customWidth="1"/>
    <col min="3" max="3" width="19.42578125" style="128" customWidth="1"/>
    <col min="4" max="4" width="20" style="128" customWidth="1"/>
    <col min="5" max="5" width="18" style="128" customWidth="1"/>
    <col min="6" max="6" width="17.28515625" customWidth="1"/>
    <col min="7" max="7" width="18" customWidth="1"/>
    <col min="8" max="9" width="17.7109375" customWidth="1"/>
    <col min="10" max="10" width="17.28515625" customWidth="1"/>
    <col min="11" max="11" width="13.140625" bestFit="1" customWidth="1"/>
    <col min="12" max="12" width="22.140625" bestFit="1" customWidth="1"/>
    <col min="14" max="14" width="22.140625" bestFit="1" customWidth="1"/>
  </cols>
  <sheetData>
    <row r="1" spans="1:11" ht="63.75" customHeight="1">
      <c r="A1" s="2315" t="s">
        <v>1943</v>
      </c>
      <c r="B1" s="2315"/>
      <c r="C1" s="2315"/>
      <c r="D1" s="2315"/>
      <c r="E1" s="2315"/>
      <c r="F1" s="2315"/>
      <c r="G1" s="2315"/>
      <c r="H1" s="2315"/>
      <c r="I1" s="2315"/>
      <c r="J1" s="2315"/>
    </row>
    <row r="2" spans="1:11" s="128" customFormat="1" ht="2.25" customHeight="1">
      <c r="A2" s="849"/>
      <c r="B2" s="619"/>
      <c r="C2" s="1614"/>
      <c r="D2" s="619"/>
      <c r="E2" s="619"/>
      <c r="F2" s="619"/>
      <c r="G2" s="619"/>
      <c r="H2" s="619"/>
      <c r="I2" s="619"/>
      <c r="J2" s="619"/>
    </row>
    <row r="3" spans="1:11" s="71" customFormat="1" ht="35.25" customHeight="1">
      <c r="A3" s="653" t="s">
        <v>120</v>
      </c>
      <c r="B3" s="931" t="s">
        <v>2019</v>
      </c>
      <c r="C3" s="1761" t="s">
        <v>1907</v>
      </c>
      <c r="D3" s="1761" t="s">
        <v>1643</v>
      </c>
      <c r="E3" s="1761" t="s">
        <v>1067</v>
      </c>
      <c r="F3" s="654">
        <v>2011</v>
      </c>
      <c r="G3" s="654" t="s">
        <v>187</v>
      </c>
      <c r="H3" s="654" t="s">
        <v>10</v>
      </c>
      <c r="I3" s="654" t="s">
        <v>9</v>
      </c>
      <c r="J3" s="654" t="s">
        <v>249</v>
      </c>
      <c r="K3" s="527"/>
    </row>
    <row r="4" spans="1:11" s="128" customFormat="1" ht="15.75">
      <c r="A4" s="973" t="s">
        <v>121</v>
      </c>
      <c r="B4" s="1623">
        <f>SUM(C4:J4)</f>
        <v>50143156596.179993</v>
      </c>
      <c r="C4" s="1624">
        <v>10983547966.809999</v>
      </c>
      <c r="D4" s="1624">
        <v>9607837034.2199993</v>
      </c>
      <c r="E4" s="1625">
        <v>8353917156.0299997</v>
      </c>
      <c r="F4" s="1626">
        <v>7058982563.4399996</v>
      </c>
      <c r="G4" s="1626">
        <v>5993827607.7299995</v>
      </c>
      <c r="H4" s="1626">
        <v>4255864090.8899999</v>
      </c>
      <c r="I4" s="1626">
        <f>3109440790.43+62516050</f>
        <v>3171956840.4299998</v>
      </c>
      <c r="J4" s="1626">
        <v>717223336.63</v>
      </c>
      <c r="K4" s="148"/>
    </row>
    <row r="5" spans="1:11" ht="15.75">
      <c r="A5" s="973" t="s">
        <v>959</v>
      </c>
      <c r="B5" s="1623">
        <f t="shared" ref="B5:B32" si="0">SUM(C5:J5)</f>
        <v>21425138467.989998</v>
      </c>
      <c r="C5" s="1624">
        <v>4893712873.4899998</v>
      </c>
      <c r="D5" s="1624">
        <v>4219650063.0100002</v>
      </c>
      <c r="E5" s="1625">
        <v>3583267317.25</v>
      </c>
      <c r="F5" s="1626">
        <v>2917251369.6199999</v>
      </c>
      <c r="G5" s="1626">
        <v>2453330107.3899999</v>
      </c>
      <c r="H5" s="1626">
        <v>1730845321.46</v>
      </c>
      <c r="I5" s="1626">
        <f>1295848185.17+25893187.5</f>
        <v>1321741372.6700001</v>
      </c>
      <c r="J5" s="1626">
        <v>305340043.10000002</v>
      </c>
      <c r="K5" s="27"/>
    </row>
    <row r="6" spans="1:11" ht="15.75">
      <c r="A6" s="973" t="s">
        <v>124</v>
      </c>
      <c r="B6" s="1623">
        <f t="shared" si="0"/>
        <v>20377683473.84</v>
      </c>
      <c r="C6" s="1624">
        <v>4732632296.4300003</v>
      </c>
      <c r="D6" s="1624">
        <v>4513278180.0799999</v>
      </c>
      <c r="E6" s="1625">
        <v>4227970510.3499999</v>
      </c>
      <c r="F6" s="1626">
        <v>1418521323.0899999</v>
      </c>
      <c r="G6" s="1626">
        <v>2673949903.4499998</v>
      </c>
      <c r="H6" s="1626">
        <v>1522359931.3</v>
      </c>
      <c r="I6" s="1626">
        <f>820675045.66+16494075</f>
        <v>837169120.65999997</v>
      </c>
      <c r="J6" s="1626">
        <v>451802208.48000002</v>
      </c>
      <c r="K6" s="27"/>
    </row>
    <row r="7" spans="1:11" ht="15.75">
      <c r="A7" s="973" t="s">
        <v>123</v>
      </c>
      <c r="B7" s="1623">
        <f t="shared" si="0"/>
        <v>18635215778.989998</v>
      </c>
      <c r="C7" s="1624">
        <v>4114822500.02</v>
      </c>
      <c r="D7" s="1624">
        <v>3882133121.6999998</v>
      </c>
      <c r="E7" s="1625">
        <v>2827902358.5799999</v>
      </c>
      <c r="F7" s="1626">
        <v>2348696304.6199999</v>
      </c>
      <c r="G7" s="1626">
        <v>2159111716.5100002</v>
      </c>
      <c r="H7" s="1626">
        <v>1693827132.6099999</v>
      </c>
      <c r="I7" s="1626">
        <f>1282382770.34+25685312.5</f>
        <v>1308068082.8399999</v>
      </c>
      <c r="J7" s="1626">
        <v>300654562.11000001</v>
      </c>
      <c r="K7" s="27"/>
    </row>
    <row r="8" spans="1:11" ht="15.75">
      <c r="A8" s="973" t="s">
        <v>122</v>
      </c>
      <c r="B8" s="1623">
        <f t="shared" si="0"/>
        <v>12779762675.9</v>
      </c>
      <c r="C8" s="1624">
        <v>978092827.33000004</v>
      </c>
      <c r="D8" s="1624">
        <v>1082661823.8499999</v>
      </c>
      <c r="E8" s="1625">
        <v>1207272450.53</v>
      </c>
      <c r="F8" s="1626">
        <v>3576534755.3000002</v>
      </c>
      <c r="G8" s="1626">
        <v>1854716686.5899999</v>
      </c>
      <c r="H8" s="1626">
        <v>1853101176.1400001</v>
      </c>
      <c r="I8" s="1626">
        <f>1992811883.84+40178987.5</f>
        <v>2032990871.3399999</v>
      </c>
      <c r="J8" s="1626">
        <v>194392084.81999999</v>
      </c>
      <c r="K8" s="27"/>
    </row>
    <row r="9" spans="1:11" ht="15.75">
      <c r="A9" s="973" t="s">
        <v>125</v>
      </c>
      <c r="B9" s="1623">
        <f t="shared" si="0"/>
        <v>8359933925.6600008</v>
      </c>
      <c r="C9" s="1624">
        <v>1141651799.97</v>
      </c>
      <c r="D9" s="1624">
        <v>1100171649.97</v>
      </c>
      <c r="E9" s="1625">
        <v>1108857163.1099999</v>
      </c>
      <c r="F9" s="1626">
        <v>1156590386.46</v>
      </c>
      <c r="G9" s="1626">
        <v>1325824546.05</v>
      </c>
      <c r="H9" s="1626">
        <v>1179591255.9300001</v>
      </c>
      <c r="I9" s="1626">
        <f>1064917319.54+21468187.5</f>
        <v>1086385507.04</v>
      </c>
      <c r="J9" s="1626">
        <v>260861617.13</v>
      </c>
      <c r="K9" s="27"/>
    </row>
    <row r="10" spans="1:11" ht="15.75">
      <c r="A10" s="973" t="s">
        <v>386</v>
      </c>
      <c r="B10" s="1623">
        <f t="shared" si="0"/>
        <v>3119370268.7700009</v>
      </c>
      <c r="C10" s="1627"/>
      <c r="D10" s="1627"/>
      <c r="E10" s="1628">
        <v>543095997.98000002</v>
      </c>
      <c r="F10" s="1626">
        <v>713723197.57000005</v>
      </c>
      <c r="G10" s="1626">
        <v>664368054.84000003</v>
      </c>
      <c r="H10" s="1626">
        <v>532130158.67000002</v>
      </c>
      <c r="I10" s="1626">
        <f>529457161.18+10564725</f>
        <v>540021886.18000007</v>
      </c>
      <c r="J10" s="1626">
        <v>126030973.53</v>
      </c>
      <c r="K10" s="27"/>
    </row>
    <row r="11" spans="1:11" ht="15.75">
      <c r="A11" s="973" t="s">
        <v>126</v>
      </c>
      <c r="B11" s="1623">
        <f t="shared" si="0"/>
        <v>2163231786.7200003</v>
      </c>
      <c r="C11" s="1627"/>
      <c r="D11" s="1627"/>
      <c r="E11" s="1625">
        <v>421484991.5</v>
      </c>
      <c r="F11" s="1626">
        <v>442351015.86000001</v>
      </c>
      <c r="G11" s="1626">
        <v>453220008.48000002</v>
      </c>
      <c r="H11" s="1626">
        <v>392090764.45999998</v>
      </c>
      <c r="I11" s="1626">
        <f>380599928.41+7615575</f>
        <v>388215503.41000003</v>
      </c>
      <c r="J11" s="1626">
        <v>65869503.009999998</v>
      </c>
      <c r="K11" s="27"/>
    </row>
    <row r="12" spans="1:11" ht="15.75">
      <c r="A12" s="973" t="s">
        <v>207</v>
      </c>
      <c r="B12" s="1623">
        <f t="shared" si="0"/>
        <v>2474688021.5100002</v>
      </c>
      <c r="C12" s="1624">
        <v>517246744.63</v>
      </c>
      <c r="D12" s="1624">
        <v>473446266.83999997</v>
      </c>
      <c r="E12" s="1625">
        <v>435689492.37</v>
      </c>
      <c r="F12" s="1626">
        <v>277244404.79000002</v>
      </c>
      <c r="G12" s="1626">
        <v>324858266.55000001</v>
      </c>
      <c r="H12" s="1626">
        <v>237105863.31999999</v>
      </c>
      <c r="I12" s="1626">
        <f>185074265.44+3704100</f>
        <v>188778365.44</v>
      </c>
      <c r="J12" s="1626">
        <v>20318617.57</v>
      </c>
      <c r="K12" s="27"/>
    </row>
    <row r="13" spans="1:11" ht="15.75">
      <c r="A13" s="973" t="s">
        <v>129</v>
      </c>
      <c r="B13" s="1623">
        <f t="shared" si="0"/>
        <v>2786493337.8499999</v>
      </c>
      <c r="C13" s="1624">
        <v>970844788.00999999</v>
      </c>
      <c r="D13" s="1624">
        <v>639742830.92999995</v>
      </c>
      <c r="E13" s="1625">
        <v>531091333.37</v>
      </c>
      <c r="F13" s="1626">
        <v>164597786.84</v>
      </c>
      <c r="G13" s="1626">
        <v>212070337.19999999</v>
      </c>
      <c r="H13" s="1626">
        <v>143613388.97999999</v>
      </c>
      <c r="I13" s="1626">
        <f>99807375.27+2008325</f>
        <v>101815700.27</v>
      </c>
      <c r="J13" s="1626">
        <v>22717172.25</v>
      </c>
      <c r="K13" s="27"/>
    </row>
    <row r="14" spans="1:11" ht="15.75">
      <c r="A14" s="973" t="s">
        <v>433</v>
      </c>
      <c r="B14" s="1623">
        <f t="shared" si="0"/>
        <v>1788472787.6899998</v>
      </c>
      <c r="C14" s="1624">
        <v>258311833.18000001</v>
      </c>
      <c r="D14" s="1624">
        <v>215448057.84</v>
      </c>
      <c r="E14" s="1625">
        <v>180182244.78999999</v>
      </c>
      <c r="F14" s="1626">
        <v>376763650.83999997</v>
      </c>
      <c r="G14" s="1626">
        <v>230757864.44</v>
      </c>
      <c r="H14" s="1626">
        <v>179223706.03999999</v>
      </c>
      <c r="I14" s="1626">
        <v>279898886.94999999</v>
      </c>
      <c r="J14" s="1626">
        <v>67886543.609999999</v>
      </c>
      <c r="K14" s="27"/>
    </row>
    <row r="15" spans="1:11" ht="15.75">
      <c r="A15" s="973" t="s">
        <v>128</v>
      </c>
      <c r="B15" s="1623">
        <f t="shared" si="0"/>
        <v>2014022648.0899999</v>
      </c>
      <c r="C15" s="1624">
        <v>516044438.89999998</v>
      </c>
      <c r="D15" s="1624">
        <v>440612182.11000001</v>
      </c>
      <c r="E15" s="1625">
        <v>362032677.48000002</v>
      </c>
      <c r="F15" s="1626">
        <v>164358672.62</v>
      </c>
      <c r="G15" s="1626">
        <v>212481656.75</v>
      </c>
      <c r="H15" s="1626">
        <v>144258968.12</v>
      </c>
      <c r="I15" s="1626">
        <f>139936118.6+2807925</f>
        <v>142744043.59999999</v>
      </c>
      <c r="J15" s="1626">
        <v>31490008.510000002</v>
      </c>
      <c r="K15" s="27"/>
    </row>
    <row r="16" spans="1:11" ht="15.75">
      <c r="A16" s="973" t="s">
        <v>113</v>
      </c>
      <c r="B16" s="1623">
        <f t="shared" si="0"/>
        <v>1539588719</v>
      </c>
      <c r="C16" s="1624">
        <v>247529123.78999999</v>
      </c>
      <c r="D16" s="1624">
        <v>228289268.22</v>
      </c>
      <c r="E16" s="1625">
        <v>219725858.91</v>
      </c>
      <c r="F16" s="1626">
        <v>328109846.66000003</v>
      </c>
      <c r="G16" s="1626">
        <v>185320118.5</v>
      </c>
      <c r="H16" s="1626">
        <v>156843229.44999999</v>
      </c>
      <c r="I16" s="1626">
        <f>140467289.73+2375362.5</f>
        <v>142842652.22999999</v>
      </c>
      <c r="J16" s="1626">
        <v>30928621.239999998</v>
      </c>
      <c r="K16" s="27"/>
    </row>
    <row r="17" spans="1:11" ht="15.75">
      <c r="A17" s="973" t="s">
        <v>131</v>
      </c>
      <c r="B17" s="1623">
        <f t="shared" si="0"/>
        <v>1660258319.04</v>
      </c>
      <c r="C17" s="1624">
        <v>443167668.97000003</v>
      </c>
      <c r="D17" s="1624">
        <v>372436306.32999998</v>
      </c>
      <c r="E17" s="1625">
        <v>320437811.80000001</v>
      </c>
      <c r="F17" s="1626">
        <v>168441449.5</v>
      </c>
      <c r="G17" s="1626">
        <v>177045106.05000001</v>
      </c>
      <c r="H17" s="1626">
        <v>99785424.680000007</v>
      </c>
      <c r="I17" s="1626">
        <f>58144458.66+1173125</f>
        <v>59317583.659999996</v>
      </c>
      <c r="J17" s="1626">
        <v>19626968.050000001</v>
      </c>
      <c r="K17" s="27"/>
    </row>
    <row r="18" spans="1:11" ht="15.75">
      <c r="A18" s="973" t="s">
        <v>127</v>
      </c>
      <c r="B18" s="1623">
        <f t="shared" si="0"/>
        <v>1234642293.1600001</v>
      </c>
      <c r="C18" s="1624">
        <v>157228072.71000001</v>
      </c>
      <c r="D18" s="1624">
        <v>158346055.74000001</v>
      </c>
      <c r="E18" s="1625">
        <v>165405764.31</v>
      </c>
      <c r="F18" s="1626">
        <v>207747862.83000001</v>
      </c>
      <c r="G18" s="1626">
        <v>183095103.16999999</v>
      </c>
      <c r="H18" s="1626">
        <v>173289666.88999999</v>
      </c>
      <c r="I18" s="1626">
        <f>149428213.08+2953537.5</f>
        <v>152381750.58000001</v>
      </c>
      <c r="J18" s="1626">
        <v>37148016.93</v>
      </c>
      <c r="K18" s="27"/>
    </row>
    <row r="19" spans="1:11" ht="15.75">
      <c r="A19" s="973" t="s">
        <v>130</v>
      </c>
      <c r="B19" s="1623">
        <f t="shared" si="0"/>
        <v>1201831480.53</v>
      </c>
      <c r="C19" s="1624">
        <v>188260257.72</v>
      </c>
      <c r="D19" s="1624">
        <v>176997737.69999999</v>
      </c>
      <c r="E19" s="1625">
        <v>165030447.47999999</v>
      </c>
      <c r="F19" s="1626">
        <v>200254647.37</v>
      </c>
      <c r="G19" s="1626">
        <v>162351674.63</v>
      </c>
      <c r="H19" s="1626">
        <v>133956323.18000001</v>
      </c>
      <c r="I19" s="1626">
        <f>141774026.05+2801075</f>
        <v>144575101.05000001</v>
      </c>
      <c r="J19" s="1626">
        <v>30405291.399999999</v>
      </c>
      <c r="K19" s="27"/>
    </row>
    <row r="20" spans="1:11" ht="15.75">
      <c r="A20" s="973" t="s">
        <v>383</v>
      </c>
      <c r="B20" s="1623">
        <f t="shared" si="0"/>
        <v>1353470187.53</v>
      </c>
      <c r="C20" s="1624">
        <v>359504426.99000001</v>
      </c>
      <c r="D20" s="1624">
        <v>217473814.38999999</v>
      </c>
      <c r="E20" s="1625">
        <v>162704809.56</v>
      </c>
      <c r="F20" s="1626">
        <v>242443956.69</v>
      </c>
      <c r="G20" s="1626">
        <v>147377060.99000001</v>
      </c>
      <c r="H20" s="1626">
        <v>112268471.84999999</v>
      </c>
      <c r="I20" s="1626">
        <f>99215826.1+1964275</f>
        <v>101180101.09999999</v>
      </c>
      <c r="J20" s="1626">
        <v>10517545.960000001</v>
      </c>
      <c r="K20" s="27"/>
    </row>
    <row r="21" spans="1:11" ht="15.75">
      <c r="A21" s="973" t="s">
        <v>958</v>
      </c>
      <c r="B21" s="1623">
        <f t="shared" si="0"/>
        <v>1057290829.3299999</v>
      </c>
      <c r="C21" s="1624">
        <v>289565045.02999997</v>
      </c>
      <c r="D21" s="1624">
        <v>198348265.86000001</v>
      </c>
      <c r="E21" s="1625">
        <v>192373833.68000001</v>
      </c>
      <c r="F21" s="1626">
        <v>84838162.140000001</v>
      </c>
      <c r="G21" s="1626">
        <v>146415631.84</v>
      </c>
      <c r="H21" s="1626">
        <v>82340505.900000006</v>
      </c>
      <c r="I21" s="1626">
        <f>50963732.48+1026687.5</f>
        <v>51990419.979999997</v>
      </c>
      <c r="J21" s="1626">
        <v>11418964.9</v>
      </c>
      <c r="K21" s="27"/>
    </row>
    <row r="22" spans="1:11" ht="15.75">
      <c r="A22" s="973" t="s">
        <v>132</v>
      </c>
      <c r="B22" s="1623">
        <f t="shared" si="0"/>
        <v>928780117.28000009</v>
      </c>
      <c r="C22" s="1624">
        <v>198373489.30000001</v>
      </c>
      <c r="D22" s="1624">
        <v>152949848.16</v>
      </c>
      <c r="E22" s="1625">
        <v>126354636.18000001</v>
      </c>
      <c r="F22" s="1626">
        <v>157728696.47</v>
      </c>
      <c r="G22" s="1626">
        <v>100744058.06999999</v>
      </c>
      <c r="H22" s="1626">
        <v>98244497.489999995</v>
      </c>
      <c r="I22" s="1626">
        <f>83226942.91+1667762.5</f>
        <v>84894705.409999996</v>
      </c>
      <c r="J22" s="1626">
        <v>9490186.1999999993</v>
      </c>
      <c r="K22" s="27"/>
    </row>
    <row r="23" spans="1:11" ht="15.75">
      <c r="A23" s="973" t="s">
        <v>133</v>
      </c>
      <c r="B23" s="1623">
        <f t="shared" si="0"/>
        <v>502384343.58999997</v>
      </c>
      <c r="C23" s="1624">
        <v>40249307.670000002</v>
      </c>
      <c r="D23" s="1624">
        <v>42257397.75</v>
      </c>
      <c r="E23" s="1625">
        <v>47552830.670000002</v>
      </c>
      <c r="F23" s="1626">
        <v>148201570.16</v>
      </c>
      <c r="G23" s="1626">
        <v>72128067.510000005</v>
      </c>
      <c r="H23" s="1626">
        <v>72945917.959999993</v>
      </c>
      <c r="I23" s="1626">
        <f>64974696.03+1308000</f>
        <v>66282696.030000001</v>
      </c>
      <c r="J23" s="1626">
        <v>12766555.84</v>
      </c>
      <c r="K23" s="27"/>
    </row>
    <row r="24" spans="1:11" ht="15.75">
      <c r="A24" s="973" t="s">
        <v>385</v>
      </c>
      <c r="B24" s="1623">
        <f t="shared" si="0"/>
        <v>728587692.07999945</v>
      </c>
      <c r="C24" s="1624">
        <v>254472361.72999999</v>
      </c>
      <c r="D24" s="1624">
        <v>206719754.03999999</v>
      </c>
      <c r="E24" s="1625">
        <v>167609040.38999999</v>
      </c>
      <c r="F24" s="1627">
        <v>0</v>
      </c>
      <c r="G24" s="1626">
        <v>97694135.319999993</v>
      </c>
      <c r="H24" s="1627">
        <v>0</v>
      </c>
      <c r="I24" s="1627">
        <v>0</v>
      </c>
      <c r="J24" s="1629">
        <v>2092400.5999994278</v>
      </c>
      <c r="K24" s="27"/>
    </row>
    <row r="25" spans="1:11" ht="15.75">
      <c r="A25" s="973" t="s">
        <v>384</v>
      </c>
      <c r="B25" s="1623">
        <f t="shared" si="0"/>
        <v>477751060.30000001</v>
      </c>
      <c r="C25" s="1624">
        <v>83222214.719999999</v>
      </c>
      <c r="D25" s="1624">
        <v>79446217.159999996</v>
      </c>
      <c r="E25" s="1625">
        <v>78944015.969999999</v>
      </c>
      <c r="F25" s="1626">
        <v>50919574.450000003</v>
      </c>
      <c r="G25" s="1626">
        <v>67501380.629999995</v>
      </c>
      <c r="H25" s="1626">
        <v>58003635.020000003</v>
      </c>
      <c r="I25" s="1626">
        <f>53009219.86+877587.5</f>
        <v>53886807.359999999</v>
      </c>
      <c r="J25" s="1626">
        <v>5827214.9900000002</v>
      </c>
      <c r="K25" s="27"/>
    </row>
    <row r="26" spans="1:11" ht="15.75">
      <c r="A26" s="973" t="s">
        <v>134</v>
      </c>
      <c r="B26" s="1623">
        <f t="shared" si="0"/>
        <v>364022669.18000001</v>
      </c>
      <c r="C26" s="1624">
        <v>36451324.079999998</v>
      </c>
      <c r="D26" s="1624">
        <v>41174860.159999996</v>
      </c>
      <c r="E26" s="1625">
        <v>45850977.93</v>
      </c>
      <c r="F26" s="1626">
        <v>53812757.039999999</v>
      </c>
      <c r="G26" s="1626">
        <v>63399690.530000001</v>
      </c>
      <c r="H26" s="1626">
        <v>57287198.299999997</v>
      </c>
      <c r="I26" s="1626">
        <f>53619845.92+1080900</f>
        <v>54700745.920000002</v>
      </c>
      <c r="J26" s="1626">
        <v>11345115.220000001</v>
      </c>
      <c r="K26" s="2064"/>
    </row>
    <row r="27" spans="1:11" ht="15.75">
      <c r="A27" s="973" t="s">
        <v>206</v>
      </c>
      <c r="B27" s="1623">
        <f t="shared" si="0"/>
        <v>260644027.96000001</v>
      </c>
      <c r="C27" s="1627"/>
      <c r="D27" s="1627"/>
      <c r="E27" s="1627"/>
      <c r="F27" s="1626">
        <v>75662331.959999993</v>
      </c>
      <c r="G27" s="1626">
        <v>0</v>
      </c>
      <c r="H27" s="1626">
        <v>84626497.980000004</v>
      </c>
      <c r="I27" s="1626">
        <f>85207538.42+1700750</f>
        <v>86908288.420000002</v>
      </c>
      <c r="J27" s="1626">
        <v>13446909.6</v>
      </c>
      <c r="K27" s="27"/>
    </row>
    <row r="28" spans="1:11" ht="15.75">
      <c r="A28" s="973" t="s">
        <v>135</v>
      </c>
      <c r="B28" s="1623">
        <f>SUM(C28:J28)</f>
        <v>160153630.19999999</v>
      </c>
      <c r="C28" s="1624">
        <v>23089101.420000002</v>
      </c>
      <c r="D28" s="1624">
        <v>21341806.690000001</v>
      </c>
      <c r="E28" s="1625">
        <v>20222094.07</v>
      </c>
      <c r="F28" s="1627">
        <v>0</v>
      </c>
      <c r="G28" s="1626">
        <v>23975542.640000001</v>
      </c>
      <c r="H28" s="1626">
        <v>32578583.809999999</v>
      </c>
      <c r="I28" s="1626">
        <f>38176876.57+769625</f>
        <v>38946501.57</v>
      </c>
      <c r="J28" s="1626">
        <v>0</v>
      </c>
      <c r="K28" s="27"/>
    </row>
    <row r="29" spans="1:11" ht="15.75">
      <c r="A29" s="973" t="s">
        <v>136</v>
      </c>
      <c r="B29" s="1623">
        <f t="shared" si="0"/>
        <v>114002984.84</v>
      </c>
      <c r="C29" s="1627"/>
      <c r="D29" s="1627"/>
      <c r="E29" s="1627"/>
      <c r="F29" s="1626">
        <v>19428109.170000002</v>
      </c>
      <c r="G29" s="1626">
        <v>26456723.530000001</v>
      </c>
      <c r="H29" s="1626">
        <v>29143437.670000002</v>
      </c>
      <c r="I29" s="1626">
        <f>28483789.51+568375</f>
        <v>29052164.510000002</v>
      </c>
      <c r="J29" s="1626">
        <v>9922549.9600000009</v>
      </c>
      <c r="K29" s="27"/>
    </row>
    <row r="30" spans="1:11" ht="15.75">
      <c r="A30" s="973" t="s">
        <v>205</v>
      </c>
      <c r="B30" s="1623">
        <f t="shared" si="0"/>
        <v>75538660.520000011</v>
      </c>
      <c r="C30" s="1627"/>
      <c r="D30" s="1629">
        <v>9039886.4199999999</v>
      </c>
      <c r="E30" s="1625">
        <v>11648475.24</v>
      </c>
      <c r="F30" s="1626">
        <v>11616199</v>
      </c>
      <c r="G30" s="1626">
        <v>13123437.08</v>
      </c>
      <c r="H30" s="1626">
        <v>12290501.890000001</v>
      </c>
      <c r="I30" s="1626">
        <f>9978633.1+199562.5</f>
        <v>10178195.6</v>
      </c>
      <c r="J30" s="1626">
        <v>7641965.29</v>
      </c>
      <c r="K30" s="27"/>
    </row>
    <row r="31" spans="1:11" ht="15.75">
      <c r="A31" s="973" t="s">
        <v>204</v>
      </c>
      <c r="B31" s="1623">
        <f t="shared" si="0"/>
        <v>65746073.510000005</v>
      </c>
      <c r="C31" s="1627"/>
      <c r="D31" s="1627"/>
      <c r="E31" s="1627">
        <v>0</v>
      </c>
      <c r="F31" s="1627">
        <v>0</v>
      </c>
      <c r="G31" s="1627">
        <v>0</v>
      </c>
      <c r="H31" s="1627">
        <v>0</v>
      </c>
      <c r="I31" s="1626">
        <f>18078095.67+367775</f>
        <v>18445870.670000002</v>
      </c>
      <c r="J31" s="1626">
        <v>47300202.840000004</v>
      </c>
      <c r="K31" s="27"/>
    </row>
    <row r="32" spans="1:11" ht="15.75">
      <c r="A32" s="973" t="s">
        <v>137</v>
      </c>
      <c r="B32" s="1623">
        <f t="shared" si="0"/>
        <v>40803540.200000003</v>
      </c>
      <c r="C32" s="1627"/>
      <c r="D32" s="1627"/>
      <c r="E32" s="1627">
        <v>0</v>
      </c>
      <c r="F32" s="1627">
        <v>0</v>
      </c>
      <c r="G32" s="1626">
        <v>12853568.029999999</v>
      </c>
      <c r="H32" s="1626">
        <v>13003979.24</v>
      </c>
      <c r="I32" s="1626">
        <f>11946219.82+239612.5</f>
        <v>12185832.32</v>
      </c>
      <c r="J32" s="1626">
        <v>2760160.61</v>
      </c>
      <c r="K32" s="27"/>
    </row>
    <row r="33" spans="1:11" ht="15.75">
      <c r="A33" s="618" t="s">
        <v>23</v>
      </c>
      <c r="B33" s="974">
        <f>SUM(B4:B32)</f>
        <v>157832666397.43994</v>
      </c>
      <c r="C33" s="974">
        <f>SUM(C4:C32)</f>
        <v>31428020462.900005</v>
      </c>
      <c r="D33" s="974">
        <f t="shared" ref="D33:J33" si="1">SUM(D4:D32)</f>
        <v>28079802429.170002</v>
      </c>
      <c r="E33" s="974">
        <f t="shared" si="1"/>
        <v>25506624289.529999</v>
      </c>
      <c r="F33" s="974">
        <f t="shared" si="1"/>
        <v>22364820594.489998</v>
      </c>
      <c r="G33" s="974">
        <f t="shared" si="1"/>
        <v>20037998054.499996</v>
      </c>
      <c r="H33" s="974">
        <f t="shared" si="1"/>
        <v>15080619629.229998</v>
      </c>
      <c r="I33" s="974">
        <f t="shared" si="1"/>
        <v>12507555597.240002</v>
      </c>
      <c r="J33" s="974">
        <f t="shared" si="1"/>
        <v>2827225340.3800001</v>
      </c>
      <c r="K33" s="2063"/>
    </row>
    <row r="34" spans="1:11" ht="15.75">
      <c r="A34" s="527"/>
      <c r="B34" s="148"/>
      <c r="C34" s="148"/>
      <c r="D34" s="148"/>
      <c r="E34" s="246"/>
      <c r="F34" s="148"/>
      <c r="G34" s="148"/>
      <c r="H34" s="148"/>
      <c r="I34" s="148"/>
      <c r="J34" s="148"/>
    </row>
    <row r="35" spans="1:11" ht="15.75">
      <c r="A35" s="527"/>
      <c r="B35" s="148"/>
      <c r="C35" s="148"/>
      <c r="D35" s="148"/>
      <c r="E35" s="246"/>
      <c r="F35" s="148"/>
      <c r="G35" s="148"/>
      <c r="H35" s="148"/>
      <c r="I35" s="148"/>
      <c r="J35" s="148"/>
    </row>
    <row r="36" spans="1:11" ht="15.75">
      <c r="A36" s="527"/>
      <c r="B36" s="148"/>
      <c r="C36" s="148"/>
      <c r="D36" s="148"/>
      <c r="E36" s="246"/>
      <c r="F36" s="148"/>
      <c r="G36" s="148"/>
      <c r="H36" s="148"/>
      <c r="I36" s="148"/>
      <c r="J36" s="148"/>
    </row>
    <row r="37" spans="1:11" ht="15.75">
      <c r="A37" s="527"/>
      <c r="B37" s="148"/>
      <c r="C37" s="148"/>
      <c r="D37" s="148"/>
      <c r="E37" s="246"/>
      <c r="F37" s="148"/>
      <c r="G37" s="148"/>
      <c r="H37" s="148"/>
      <c r="I37" s="148"/>
      <c r="J37" s="148"/>
    </row>
    <row r="38" spans="1:11" ht="15.75">
      <c r="A38" s="527"/>
      <c r="B38" s="148"/>
      <c r="C38" s="148"/>
      <c r="D38" s="148"/>
      <c r="E38" s="246"/>
      <c r="F38" s="148"/>
      <c r="G38" s="148"/>
      <c r="H38" s="148"/>
      <c r="I38" s="148"/>
      <c r="J38" s="148"/>
    </row>
    <row r="39" spans="1:11" ht="15.75">
      <c r="A39" s="527"/>
      <c r="B39" s="148"/>
      <c r="C39" s="148"/>
      <c r="D39" s="148"/>
      <c r="E39" s="246"/>
      <c r="F39" s="148"/>
      <c r="G39" s="148"/>
      <c r="H39" s="148"/>
      <c r="I39" s="148"/>
      <c r="J39" s="148"/>
    </row>
    <row r="40" spans="1:11" ht="15.75">
      <c r="A40" s="527"/>
      <c r="B40" s="148"/>
      <c r="C40" s="148"/>
      <c r="D40" s="148"/>
      <c r="E40" s="246"/>
      <c r="F40" s="148"/>
      <c r="G40" s="148"/>
      <c r="H40" s="148"/>
      <c r="I40" s="148"/>
      <c r="J40" s="148"/>
    </row>
    <row r="41" spans="1:11" ht="15.75">
      <c r="A41" s="527"/>
      <c r="B41" s="148"/>
      <c r="C41" s="148"/>
      <c r="D41" s="148"/>
      <c r="E41" s="246"/>
      <c r="F41" s="148"/>
      <c r="G41" s="148"/>
      <c r="H41" s="148"/>
      <c r="I41" s="148"/>
      <c r="J41" s="148"/>
    </row>
    <row r="42" spans="1:11" ht="15.75">
      <c r="A42" s="527"/>
      <c r="B42" s="148"/>
      <c r="C42" s="148"/>
      <c r="D42" s="148"/>
      <c r="E42" s="246"/>
      <c r="F42" s="148"/>
      <c r="G42" s="148"/>
      <c r="H42" s="148"/>
      <c r="I42" s="148"/>
      <c r="J42" s="148"/>
    </row>
    <row r="43" spans="1:11" ht="15.75">
      <c r="A43" s="527"/>
      <c r="B43" s="148"/>
      <c r="C43" s="148"/>
      <c r="D43" s="148"/>
      <c r="E43" s="246"/>
      <c r="F43" s="148"/>
      <c r="G43" s="148"/>
      <c r="H43" s="148"/>
      <c r="I43" s="148"/>
      <c r="J43" s="148"/>
    </row>
    <row r="44" spans="1:11" ht="15.75">
      <c r="A44" s="527"/>
      <c r="B44" s="148"/>
      <c r="C44" s="148"/>
      <c r="D44" s="148"/>
      <c r="E44" s="246"/>
      <c r="F44" s="148"/>
      <c r="G44" s="148"/>
      <c r="H44" s="148"/>
      <c r="I44" s="148"/>
      <c r="J44" s="148"/>
    </row>
    <row r="45" spans="1:11" ht="15.75">
      <c r="A45" s="527"/>
      <c r="B45" s="148"/>
      <c r="C45" s="148"/>
      <c r="D45" s="148"/>
      <c r="E45" s="246"/>
      <c r="F45" s="148"/>
      <c r="G45" s="148"/>
      <c r="H45" s="148"/>
      <c r="I45" s="148"/>
      <c r="J45" s="148"/>
    </row>
    <row r="46" spans="1:11" ht="15.75">
      <c r="A46" s="527"/>
      <c r="B46" s="148"/>
      <c r="C46" s="148"/>
      <c r="D46" s="148"/>
      <c r="E46" s="246"/>
      <c r="F46" s="148"/>
      <c r="G46" s="148"/>
      <c r="H46" s="148"/>
      <c r="I46" s="148"/>
      <c r="J46" s="148"/>
    </row>
    <row r="47" spans="1:11" ht="15.75">
      <c r="A47" s="527"/>
      <c r="B47" s="148"/>
      <c r="C47" s="148"/>
      <c r="D47" s="148"/>
      <c r="E47" s="246"/>
      <c r="F47" s="148"/>
      <c r="G47" s="148"/>
      <c r="H47" s="148"/>
      <c r="I47" s="148"/>
      <c r="J47" s="148"/>
    </row>
    <row r="48" spans="1:11" ht="15.75">
      <c r="A48" s="527"/>
      <c r="B48" s="148"/>
      <c r="C48" s="148"/>
      <c r="D48" s="148"/>
      <c r="E48" s="246" t="s">
        <v>407</v>
      </c>
      <c r="F48" s="148"/>
      <c r="G48" s="148"/>
      <c r="H48" s="148"/>
      <c r="I48" s="148"/>
      <c r="J48" s="148"/>
    </row>
    <row r="49" spans="1:10" ht="15.75">
      <c r="A49" s="527"/>
      <c r="B49" s="148"/>
      <c r="C49" s="148"/>
      <c r="D49" s="148"/>
      <c r="E49" s="246" t="s">
        <v>407</v>
      </c>
      <c r="F49" s="148"/>
      <c r="G49" s="148"/>
      <c r="H49" s="148"/>
      <c r="I49" s="148"/>
      <c r="J49" s="148"/>
    </row>
    <row r="50" spans="1:10" ht="15.75">
      <c r="A50" s="527"/>
      <c r="B50" s="148"/>
      <c r="C50" s="148"/>
      <c r="D50" s="148"/>
      <c r="E50" s="246" t="s">
        <v>407</v>
      </c>
      <c r="F50" s="148"/>
      <c r="G50" s="148"/>
      <c r="H50" s="148"/>
      <c r="I50" s="148"/>
      <c r="J50" s="148"/>
    </row>
    <row r="51" spans="1:10" ht="15.75">
      <c r="A51" s="527"/>
      <c r="B51" s="148"/>
      <c r="C51" s="148"/>
      <c r="D51" s="148"/>
      <c r="E51" s="246" t="s">
        <v>407</v>
      </c>
      <c r="F51" s="148"/>
      <c r="G51" s="148"/>
      <c r="H51" s="148"/>
      <c r="I51" s="148"/>
      <c r="J51" s="148"/>
    </row>
    <row r="52" spans="1:10" ht="15.75">
      <c r="A52" s="527"/>
      <c r="B52" s="148"/>
      <c r="C52" s="148"/>
      <c r="D52" s="148"/>
      <c r="E52" s="246" t="s">
        <v>407</v>
      </c>
      <c r="F52" s="148"/>
      <c r="G52" s="148"/>
      <c r="H52" s="148"/>
      <c r="I52" s="148"/>
      <c r="J52" s="148"/>
    </row>
    <row r="53" spans="1:10" ht="15.75">
      <c r="A53" s="527"/>
      <c r="B53" s="148"/>
      <c r="C53" s="148"/>
      <c r="D53" s="148"/>
      <c r="E53" s="246" t="s">
        <v>407</v>
      </c>
      <c r="F53" s="148"/>
      <c r="G53" s="148"/>
      <c r="H53" s="148"/>
      <c r="I53" s="148"/>
      <c r="J53" s="148"/>
    </row>
    <row r="54" spans="1:10" ht="15.75">
      <c r="A54" s="527"/>
      <c r="B54" s="148"/>
      <c r="C54" s="148"/>
      <c r="D54" s="148"/>
      <c r="E54" s="246" t="s">
        <v>407</v>
      </c>
      <c r="F54" s="148"/>
      <c r="G54" s="148"/>
      <c r="H54" s="148"/>
      <c r="I54" s="148"/>
      <c r="J54" s="148"/>
    </row>
    <row r="55" spans="1:10" ht="15.75">
      <c r="A55" s="527"/>
      <c r="B55" s="148"/>
      <c r="C55" s="148"/>
      <c r="D55" s="148"/>
      <c r="E55" s="246" t="s">
        <v>407</v>
      </c>
      <c r="F55" s="148"/>
      <c r="G55" s="148"/>
      <c r="H55" s="148"/>
      <c r="I55" s="148"/>
      <c r="J55" s="148"/>
    </row>
    <row r="56" spans="1:10" ht="15.75">
      <c r="A56" s="527"/>
      <c r="B56" s="148"/>
      <c r="C56" s="148"/>
      <c r="D56" s="148"/>
      <c r="E56" s="246" t="s">
        <v>407</v>
      </c>
      <c r="F56" s="148"/>
      <c r="G56" s="148"/>
      <c r="H56" s="148"/>
      <c r="I56" s="148"/>
      <c r="J56" s="148"/>
    </row>
    <row r="57" spans="1:10">
      <c r="A57" s="527"/>
      <c r="B57" s="148"/>
      <c r="C57" s="148"/>
      <c r="D57" s="148"/>
      <c r="E57" s="148" t="e">
        <f>SUM(#REF!)</f>
        <v>#REF!</v>
      </c>
      <c r="F57" s="148"/>
      <c r="G57" s="148"/>
      <c r="H57" s="148"/>
      <c r="I57" s="148"/>
      <c r="J57" s="148"/>
    </row>
    <row r="66" spans="1:1" ht="15.75" customHeight="1"/>
    <row r="67" spans="1:1" ht="13.5" customHeight="1">
      <c r="A67" s="79" t="s">
        <v>36</v>
      </c>
    </row>
    <row r="90" spans="4:4">
      <c r="D90" s="486"/>
    </row>
  </sheetData>
  <autoFilter ref="A3:J57">
    <sortState ref="A4:I58">
      <sortCondition descending="1" ref="B4"/>
    </sortState>
  </autoFilter>
  <sortState ref="A3:I33">
    <sortCondition descending="1" ref="B5"/>
  </sortState>
  <mergeCells count="1">
    <mergeCell ref="A1:J1"/>
  </mergeCells>
  <printOptions horizontalCentered="1" verticalCentered="1"/>
  <pageMargins left="0.39370078740157483" right="0.39370078740157483" top="0.23622047244094491" bottom="0.23622047244094491" header="0.25"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Q72"/>
  <sheetViews>
    <sheetView showGridLines="0" view="pageBreakPreview" topLeftCell="B1" zoomScale="70" zoomScaleNormal="100" zoomScaleSheetLayoutView="70" workbookViewId="0">
      <pane ySplit="1" topLeftCell="A2" activePane="bottomLeft" state="frozen"/>
      <selection sqref="A1:B2"/>
      <selection pane="bottomLeft" activeCell="N11" sqref="N11"/>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6.7109375" customWidth="1"/>
    <col min="9" max="9" width="49.7109375" bestFit="1" customWidth="1"/>
    <col min="10" max="10" width="29.5703125" customWidth="1"/>
    <col min="11" max="11" width="16.42578125" customWidth="1"/>
    <col min="12" max="12" width="11.5703125" customWidth="1"/>
    <col min="13" max="13" width="22.7109375" customWidth="1"/>
    <col min="14" max="14" width="17.5703125" customWidth="1"/>
    <col min="15" max="15" width="34.5703125" customWidth="1"/>
    <col min="16" max="16" width="18.140625" customWidth="1"/>
  </cols>
  <sheetData>
    <row r="1" spans="1:14" ht="99" customHeight="1">
      <c r="A1" s="2316" t="s">
        <v>2018</v>
      </c>
      <c r="B1" s="2316"/>
      <c r="C1" s="2316"/>
      <c r="D1" s="2316"/>
      <c r="E1" s="2316"/>
      <c r="F1" s="2316"/>
      <c r="G1" s="2316"/>
      <c r="H1" s="2316"/>
      <c r="I1" s="2316"/>
      <c r="J1" s="2316"/>
      <c r="K1" s="2316"/>
      <c r="L1" s="2316"/>
    </row>
    <row r="2" spans="1:14" ht="54.75" customHeight="1">
      <c r="A2" s="2317" t="s">
        <v>2020</v>
      </c>
      <c r="B2" s="2317"/>
      <c r="C2" s="2317"/>
      <c r="D2" s="2317"/>
      <c r="E2" s="2317"/>
      <c r="F2" s="2317"/>
      <c r="G2" s="2317"/>
      <c r="H2" s="2317"/>
      <c r="I2" s="2317"/>
      <c r="J2" s="2317"/>
      <c r="K2" s="2317"/>
      <c r="L2" s="2317"/>
    </row>
    <row r="3" spans="1:14" ht="48" customHeight="1">
      <c r="A3" s="2317"/>
      <c r="B3" s="2317"/>
      <c r="C3" s="2317"/>
      <c r="D3" s="2317"/>
      <c r="E3" s="2317"/>
      <c r="F3" s="2317"/>
      <c r="G3" s="2317"/>
      <c r="H3" s="2317"/>
      <c r="I3" s="2317"/>
      <c r="J3" s="2317"/>
      <c r="K3" s="2317"/>
      <c r="L3" s="2317"/>
    </row>
    <row r="4" spans="1:14" ht="18.75" customHeight="1">
      <c r="D4" s="27"/>
      <c r="E4" s="27"/>
      <c r="F4" s="21"/>
      <c r="G4" s="21"/>
    </row>
    <row r="5" spans="1:14" ht="18" customHeight="1">
      <c r="D5" s="27"/>
      <c r="E5" s="24"/>
      <c r="F5" s="21"/>
      <c r="G5" s="21"/>
      <c r="H5" s="1020" t="s">
        <v>1630</v>
      </c>
      <c r="I5" s="1020" t="s">
        <v>120</v>
      </c>
      <c r="J5" s="976" t="s">
        <v>1444</v>
      </c>
      <c r="K5" s="977" t="s">
        <v>48</v>
      </c>
      <c r="M5" s="128"/>
    </row>
    <row r="6" spans="1:14" ht="18.75" customHeight="1">
      <c r="D6" s="27"/>
      <c r="E6" s="27"/>
      <c r="F6" s="21"/>
      <c r="G6" s="21"/>
      <c r="H6" s="1002">
        <v>1</v>
      </c>
      <c r="I6" s="975" t="s">
        <v>121</v>
      </c>
      <c r="J6" s="2150">
        <v>948955267.38</v>
      </c>
      <c r="K6" s="1949">
        <f>+J6/$J$28</f>
        <v>0.34913960599677157</v>
      </c>
      <c r="M6" s="2112"/>
    </row>
    <row r="7" spans="1:14" ht="18.75" customHeight="1">
      <c r="D7" s="24"/>
      <c r="E7" s="24"/>
      <c r="H7" s="1002">
        <v>2</v>
      </c>
      <c r="I7" s="975" t="s">
        <v>959</v>
      </c>
      <c r="J7" s="2150">
        <v>424311972.67000002</v>
      </c>
      <c r="K7" s="1949">
        <f t="shared" ref="K7:K27" si="0">+J7/$J$28</f>
        <v>0.15611285384055287</v>
      </c>
      <c r="M7" s="2049"/>
    </row>
    <row r="8" spans="1:14" ht="18.75" customHeight="1">
      <c r="D8" s="27"/>
      <c r="E8" s="27"/>
      <c r="F8" s="149"/>
      <c r="G8" s="149"/>
      <c r="H8" s="1002">
        <v>3</v>
      </c>
      <c r="I8" s="975" t="s">
        <v>124</v>
      </c>
      <c r="J8" s="2150">
        <v>404730761.14999998</v>
      </c>
      <c r="K8" s="1949">
        <f t="shared" si="0"/>
        <v>0.14890853482780575</v>
      </c>
      <c r="M8" s="2050"/>
    </row>
    <row r="9" spans="1:14" ht="18.75" customHeight="1">
      <c r="D9" s="99"/>
      <c r="E9" s="24"/>
      <c r="F9" s="22"/>
      <c r="G9" s="128"/>
      <c r="H9" s="1002">
        <v>4</v>
      </c>
      <c r="I9" s="975" t="s">
        <v>123</v>
      </c>
      <c r="J9" s="2150">
        <v>340988686.80000001</v>
      </c>
      <c r="K9" s="1949">
        <f t="shared" si="0"/>
        <v>0.12545655190618701</v>
      </c>
      <c r="M9" s="1068"/>
    </row>
    <row r="10" spans="1:14" ht="18.75" customHeight="1">
      <c r="D10" s="27"/>
      <c r="E10" s="148"/>
      <c r="G10" s="128"/>
      <c r="H10" s="1002">
        <v>7</v>
      </c>
      <c r="I10" s="975" t="s">
        <v>129</v>
      </c>
      <c r="J10" s="2150">
        <v>100783328.76000001</v>
      </c>
      <c r="K10" s="1949">
        <f t="shared" si="0"/>
        <v>3.7080200620477739E-2</v>
      </c>
      <c r="M10" s="486"/>
    </row>
    <row r="11" spans="1:14" ht="18.75" customHeight="1">
      <c r="D11" s="27"/>
      <c r="E11" s="24"/>
      <c r="F11" s="128"/>
      <c r="G11" s="148"/>
      <c r="H11" s="1002">
        <v>5</v>
      </c>
      <c r="I11" s="975" t="s">
        <v>125</v>
      </c>
      <c r="J11" s="2150">
        <v>96893554.980000004</v>
      </c>
      <c r="K11" s="1949">
        <f t="shared" si="0"/>
        <v>3.5649075116832747E-2</v>
      </c>
    </row>
    <row r="12" spans="1:14" ht="18.75" customHeight="1">
      <c r="D12" s="27"/>
      <c r="E12" s="24"/>
      <c r="G12" s="128"/>
      <c r="H12" s="1002">
        <v>6</v>
      </c>
      <c r="I12" s="975" t="s">
        <v>122</v>
      </c>
      <c r="J12" s="2150">
        <v>74820545.099999994</v>
      </c>
      <c r="K12" s="1949">
        <f t="shared" si="0"/>
        <v>2.7527973693429162E-2</v>
      </c>
      <c r="M12" s="21"/>
    </row>
    <row r="13" spans="1:14" ht="18.75" customHeight="1">
      <c r="D13" s="27"/>
      <c r="E13" s="24"/>
      <c r="F13" s="22"/>
      <c r="G13" s="414"/>
      <c r="H13" s="1002">
        <v>9</v>
      </c>
      <c r="I13" s="975" t="s">
        <v>128</v>
      </c>
      <c r="J13" s="2150">
        <v>44918890.469999999</v>
      </c>
      <c r="K13" s="1949">
        <f t="shared" si="0"/>
        <v>1.6526557425417445E-2</v>
      </c>
      <c r="M13" s="128"/>
    </row>
    <row r="14" spans="1:14" ht="18.75" customHeight="1">
      <c r="D14" s="27"/>
      <c r="E14" s="24"/>
      <c r="H14" s="1002">
        <v>8</v>
      </c>
      <c r="I14" s="975" t="s">
        <v>207</v>
      </c>
      <c r="J14" s="2150">
        <v>43732405.530000001</v>
      </c>
      <c r="K14" s="1949">
        <f t="shared" si="0"/>
        <v>1.609002590626964E-2</v>
      </c>
      <c r="M14" s="21"/>
    </row>
    <row r="15" spans="1:14" ht="18.75" customHeight="1">
      <c r="D15" s="27"/>
      <c r="E15" s="24"/>
      <c r="F15" s="149"/>
      <c r="G15" s="149"/>
      <c r="H15" s="1002">
        <v>10</v>
      </c>
      <c r="I15" s="975" t="s">
        <v>131</v>
      </c>
      <c r="J15" s="2150">
        <v>39028392.869999997</v>
      </c>
      <c r="K15" s="1949">
        <f t="shared" si="0"/>
        <v>1.4359325647604487E-2</v>
      </c>
      <c r="M15" s="146"/>
    </row>
    <row r="16" spans="1:14" ht="18.75" customHeight="1">
      <c r="D16" s="27"/>
      <c r="E16" s="24"/>
      <c r="H16" s="1002">
        <v>11</v>
      </c>
      <c r="I16" s="975" t="s">
        <v>383</v>
      </c>
      <c r="J16" s="2150">
        <v>38629605.990000002</v>
      </c>
      <c r="K16" s="1949">
        <f t="shared" si="0"/>
        <v>1.4212603985429314E-2</v>
      </c>
      <c r="M16" s="21"/>
      <c r="N16" s="486"/>
    </row>
    <row r="17" spans="1:13" ht="18.75" customHeight="1">
      <c r="D17" s="27"/>
      <c r="E17" s="24"/>
      <c r="F17" s="21"/>
      <c r="G17" s="21"/>
      <c r="H17" s="1002">
        <v>14</v>
      </c>
      <c r="I17" s="975" t="s">
        <v>958</v>
      </c>
      <c r="J17" s="2150">
        <v>28074901.829999998</v>
      </c>
      <c r="K17" s="1949">
        <f t="shared" si="0"/>
        <v>1.032931740859298E-2</v>
      </c>
      <c r="M17" s="128"/>
    </row>
    <row r="18" spans="1:13" ht="18.75" customHeight="1">
      <c r="D18" s="27"/>
      <c r="E18" s="24"/>
      <c r="F18" s="21"/>
      <c r="G18" s="21"/>
      <c r="H18" s="1002">
        <v>12</v>
      </c>
      <c r="I18" s="975" t="s">
        <v>433</v>
      </c>
      <c r="J18" s="2150">
        <v>24766404.75</v>
      </c>
      <c r="K18" s="1949">
        <f t="shared" si="0"/>
        <v>9.1120552186249593E-3</v>
      </c>
      <c r="M18" s="128"/>
    </row>
    <row r="19" spans="1:13" ht="18.75" customHeight="1">
      <c r="D19" s="27"/>
      <c r="E19" s="24"/>
      <c r="F19" s="128"/>
      <c r="G19" s="415"/>
      <c r="H19" s="1002">
        <v>15</v>
      </c>
      <c r="I19" s="975" t="s">
        <v>385</v>
      </c>
      <c r="J19" s="2150">
        <v>22502600.07</v>
      </c>
      <c r="K19" s="1949">
        <f t="shared" si="0"/>
        <v>8.2791562388753199E-3</v>
      </c>
      <c r="M19" s="149"/>
    </row>
    <row r="20" spans="1:13" ht="18.75" customHeight="1">
      <c r="D20" s="27"/>
      <c r="E20" s="24"/>
      <c r="F20" s="21"/>
      <c r="G20" s="21"/>
      <c r="H20" s="1002">
        <v>13</v>
      </c>
      <c r="I20" s="975" t="s">
        <v>113</v>
      </c>
      <c r="J20" s="2150">
        <v>21398179.050000001</v>
      </c>
      <c r="K20" s="1949">
        <f t="shared" si="0"/>
        <v>7.8728176757921937E-3</v>
      </c>
      <c r="M20" s="146"/>
    </row>
    <row r="21" spans="1:13" ht="18.75" customHeight="1">
      <c r="D21" s="27"/>
      <c r="E21" s="24"/>
      <c r="F21" s="21"/>
      <c r="G21" s="21"/>
      <c r="H21" s="1002">
        <v>17</v>
      </c>
      <c r="I21" s="975" t="s">
        <v>132</v>
      </c>
      <c r="J21" s="2150">
        <v>18704525.34</v>
      </c>
      <c r="K21" s="1949">
        <f t="shared" si="0"/>
        <v>6.881768648162377E-3</v>
      </c>
      <c r="M21" s="146"/>
    </row>
    <row r="22" spans="1:13" ht="18.75" customHeight="1">
      <c r="D22" s="27"/>
      <c r="E22" s="24"/>
      <c r="F22" s="128"/>
      <c r="G22" s="128"/>
      <c r="H22" s="1002">
        <v>16</v>
      </c>
      <c r="I22" s="975" t="s">
        <v>130</v>
      </c>
      <c r="J22" s="2150">
        <v>15988557.51</v>
      </c>
      <c r="K22" s="1949">
        <f t="shared" si="0"/>
        <v>5.8825098098778655E-3</v>
      </c>
      <c r="M22" s="149"/>
    </row>
    <row r="23" spans="1:13" ht="18.75" customHeight="1">
      <c r="D23" s="27"/>
      <c r="E23" s="24"/>
      <c r="F23" s="21"/>
      <c r="G23" s="21"/>
      <c r="H23" s="1002">
        <v>18</v>
      </c>
      <c r="I23" s="975" t="s">
        <v>127</v>
      </c>
      <c r="J23" s="2150">
        <v>13722215.640000001</v>
      </c>
      <c r="K23" s="1949">
        <f t="shared" si="0"/>
        <v>5.048677347226146E-3</v>
      </c>
    </row>
    <row r="24" spans="1:13" ht="18.75" customHeight="1">
      <c r="D24" s="27"/>
      <c r="E24" s="24"/>
      <c r="F24" s="21"/>
      <c r="G24" s="21"/>
      <c r="H24" s="1002">
        <v>19</v>
      </c>
      <c r="I24" s="975" t="s">
        <v>384</v>
      </c>
      <c r="J24" s="2150">
        <v>6915318</v>
      </c>
      <c r="K24" s="1949">
        <f t="shared" si="0"/>
        <v>2.5442836821259296E-3</v>
      </c>
    </row>
    <row r="25" spans="1:13" ht="18.75" customHeight="1">
      <c r="D25" s="27"/>
      <c r="E25" s="24"/>
      <c r="F25" s="21"/>
      <c r="G25" s="21"/>
      <c r="H25" s="1002">
        <v>20</v>
      </c>
      <c r="I25" s="975" t="s">
        <v>133</v>
      </c>
      <c r="J25" s="2150">
        <v>3339160.29</v>
      </c>
      <c r="K25" s="1949">
        <f t="shared" si="0"/>
        <v>1.2285437976749423E-3</v>
      </c>
    </row>
    <row r="26" spans="1:13" ht="18.75" customHeight="1">
      <c r="D26" s="27"/>
      <c r="E26" s="24"/>
      <c r="F26" s="21"/>
      <c r="G26" s="21"/>
      <c r="H26" s="1002">
        <v>21</v>
      </c>
      <c r="I26" s="975" t="s">
        <v>134</v>
      </c>
      <c r="J26" s="2150">
        <v>2765670.09</v>
      </c>
      <c r="K26" s="1949">
        <f t="shared" si="0"/>
        <v>1.0175452929468681E-3</v>
      </c>
    </row>
    <row r="27" spans="1:13" ht="18.75" customHeight="1">
      <c r="D27" s="27"/>
      <c r="E27" s="24"/>
      <c r="F27" s="21"/>
      <c r="G27" s="21"/>
      <c r="H27" s="1002">
        <v>22</v>
      </c>
      <c r="I27" s="975" t="s">
        <v>135</v>
      </c>
      <c r="J27" s="2150">
        <v>2011350.15</v>
      </c>
      <c r="K27" s="1949">
        <f t="shared" si="0"/>
        <v>7.4001591332264701E-4</v>
      </c>
      <c r="L27" s="27"/>
    </row>
    <row r="28" spans="1:13" ht="21.75" customHeight="1">
      <c r="D28" s="27"/>
      <c r="E28" s="24"/>
      <c r="F28" s="21"/>
      <c r="G28" s="21"/>
      <c r="H28" s="1020"/>
      <c r="I28" s="1250" t="s">
        <v>23</v>
      </c>
      <c r="J28" s="2037">
        <f>SUM(J6:J27)</f>
        <v>2717982294.4200001</v>
      </c>
      <c r="K28" s="2151">
        <f>SUM(K6:K27)</f>
        <v>0.99999999999999978</v>
      </c>
    </row>
    <row r="29" spans="1:13" ht="15" customHeight="1">
      <c r="D29" s="27"/>
      <c r="E29" s="24"/>
      <c r="F29" s="21"/>
      <c r="G29" s="21"/>
      <c r="K29" s="128"/>
    </row>
    <row r="30" spans="1:13">
      <c r="B30" s="128"/>
      <c r="D30" s="27"/>
      <c r="E30" s="24"/>
      <c r="F30" s="21"/>
      <c r="G30" s="21"/>
      <c r="H30" s="21"/>
    </row>
    <row r="31" spans="1:13" s="27" customFormat="1" ht="15" customHeight="1">
      <c r="A31" s="39"/>
      <c r="B31" s="128"/>
      <c r="C31" s="39"/>
      <c r="D31" s="40"/>
      <c r="E31" s="41"/>
      <c r="F31" s="21"/>
      <c r="G31" s="21"/>
      <c r="H31"/>
      <c r="I31"/>
      <c r="J31"/>
      <c r="K31"/>
      <c r="L31"/>
    </row>
    <row r="32" spans="1:13" ht="15" customHeight="1">
      <c r="B32" s="128"/>
    </row>
    <row r="33" spans="2:17" ht="15" customHeight="1">
      <c r="B33" s="128"/>
    </row>
    <row r="36" spans="2:17" ht="15" customHeight="1">
      <c r="I36" s="27"/>
      <c r="J36" s="27"/>
      <c r="K36" s="27"/>
    </row>
    <row r="45" spans="2:17" ht="15" customHeight="1">
      <c r="O45" s="128"/>
      <c r="P45" s="128"/>
      <c r="Q45" s="128"/>
    </row>
    <row r="46" spans="2:17" ht="15" customHeight="1">
      <c r="I46" s="21"/>
      <c r="J46" s="21"/>
      <c r="K46" s="21"/>
      <c r="O46" s="128"/>
      <c r="P46" s="128"/>
      <c r="Q46" s="128"/>
    </row>
    <row r="47" spans="2:17" ht="15" customHeight="1">
      <c r="O47" s="128"/>
      <c r="P47" s="128"/>
      <c r="Q47" s="128"/>
    </row>
    <row r="48" spans="2:17" ht="15" customHeight="1">
      <c r="O48" s="128"/>
      <c r="P48" s="128"/>
      <c r="Q48" s="128"/>
    </row>
    <row r="49" spans="1:17" ht="15" customHeight="1">
      <c r="O49" s="128"/>
      <c r="P49" s="128"/>
      <c r="Q49" s="128"/>
    </row>
    <row r="50" spans="1:17" ht="15" customHeight="1">
      <c r="O50" s="128"/>
      <c r="P50" s="128"/>
      <c r="Q50" s="128"/>
    </row>
    <row r="51" spans="1:17" ht="15" customHeight="1">
      <c r="O51" s="128"/>
      <c r="P51" s="128"/>
      <c r="Q51" s="128"/>
    </row>
    <row r="52" spans="1:17" ht="15" customHeight="1">
      <c r="O52" s="128"/>
      <c r="P52" s="128"/>
      <c r="Q52" s="128"/>
    </row>
    <row r="53" spans="1:17" ht="15" customHeight="1">
      <c r="O53" s="128"/>
      <c r="P53" s="128"/>
      <c r="Q53" s="128"/>
    </row>
    <row r="54" spans="1:17" ht="15" customHeight="1">
      <c r="O54" s="128"/>
      <c r="P54" s="128"/>
      <c r="Q54" s="128"/>
    </row>
    <row r="55" spans="1:17" ht="15" customHeight="1">
      <c r="O55" s="128"/>
      <c r="P55" s="128"/>
      <c r="Q55" s="128"/>
    </row>
    <row r="56" spans="1:17" ht="15" customHeight="1">
      <c r="O56" s="128"/>
      <c r="P56" s="128"/>
      <c r="Q56" s="128"/>
    </row>
    <row r="57" spans="1:17" ht="15" customHeight="1">
      <c r="O57" s="128"/>
      <c r="P57" s="128"/>
      <c r="Q57" s="128"/>
    </row>
    <row r="58" spans="1:17" ht="15" customHeight="1">
      <c r="O58" s="128"/>
      <c r="P58" s="128"/>
      <c r="Q58" s="128"/>
    </row>
    <row r="59" spans="1:17" ht="15" customHeight="1">
      <c r="O59" s="128"/>
      <c r="P59" s="128"/>
      <c r="Q59" s="128"/>
    </row>
    <row r="60" spans="1:17" ht="15" customHeight="1">
      <c r="O60" s="128"/>
      <c r="P60" s="128"/>
      <c r="Q60" s="128"/>
    </row>
    <row r="61" spans="1:17" ht="15" customHeight="1">
      <c r="O61" s="128"/>
      <c r="P61" s="128"/>
      <c r="Q61" s="128"/>
    </row>
    <row r="62" spans="1:17" ht="15" customHeight="1">
      <c r="O62" s="128"/>
      <c r="P62" s="128"/>
      <c r="Q62" s="128"/>
    </row>
    <row r="63" spans="1:17" ht="15" customHeight="1">
      <c r="O63" s="128"/>
      <c r="P63" s="128"/>
      <c r="Q63" s="128"/>
    </row>
    <row r="64" spans="1:17" ht="15" customHeight="1">
      <c r="A64" s="79" t="s">
        <v>36</v>
      </c>
      <c r="O64" s="128"/>
      <c r="P64" s="128"/>
      <c r="Q64" s="128"/>
    </row>
    <row r="65" spans="15:17" ht="15" customHeight="1">
      <c r="O65" s="128"/>
      <c r="P65" s="128"/>
      <c r="Q65" s="128"/>
    </row>
    <row r="66" spans="15:17" ht="15" customHeight="1">
      <c r="O66" s="128"/>
      <c r="P66" s="128"/>
      <c r="Q66" s="128"/>
    </row>
    <row r="67" spans="15:17" ht="15" customHeight="1">
      <c r="O67" s="128"/>
      <c r="P67" s="128"/>
      <c r="Q67" s="128"/>
    </row>
    <row r="68" spans="15:17" ht="15" customHeight="1">
      <c r="O68" s="128"/>
      <c r="P68" s="128"/>
      <c r="Q68" s="128"/>
    </row>
    <row r="69" spans="15:17" ht="15" customHeight="1">
      <c r="O69" s="128"/>
      <c r="P69" s="128"/>
      <c r="Q69" s="128"/>
    </row>
    <row r="70" spans="15:17" ht="15" customHeight="1">
      <c r="O70" s="128"/>
      <c r="P70" s="128"/>
      <c r="Q70" s="128"/>
    </row>
    <row r="71" spans="15:17" ht="15" customHeight="1">
      <c r="O71" s="128"/>
      <c r="P71" s="128"/>
      <c r="Q71" s="128"/>
    </row>
    <row r="72" spans="15:17" ht="15" customHeight="1">
      <c r="O72" s="128"/>
      <c r="P72" s="128"/>
      <c r="Q72" s="128"/>
    </row>
  </sheetData>
  <sortState ref="H6:K28">
    <sortCondition descending="1" ref="J6"/>
  </sortState>
  <mergeCells count="2">
    <mergeCell ref="A1:L1"/>
    <mergeCell ref="A2:L3"/>
  </mergeCells>
  <printOptions horizontalCentered="1" verticalCentered="1"/>
  <pageMargins left="0.39370078740157499" right="0.39370078740157499" top="0.23622047244094499" bottom="0.23622047244094499" header="0.31496062992126" footer="0.31496062992126"/>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83"/>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128" customWidth="1"/>
    <col min="2" max="2" width="20" style="128" customWidth="1"/>
    <col min="3" max="3" width="19.140625" style="128" customWidth="1"/>
    <col min="4" max="4" width="16.140625" style="128" customWidth="1"/>
    <col min="5" max="5" width="19.42578125" style="128" customWidth="1"/>
    <col min="6" max="6" width="16.85546875" style="128" customWidth="1"/>
    <col min="7" max="7" width="16.42578125" style="128" customWidth="1"/>
    <col min="8" max="8" width="14.85546875" style="128" customWidth="1"/>
    <col min="9" max="9" width="16" style="128" customWidth="1"/>
    <col min="10" max="10" width="18.7109375" style="128" customWidth="1"/>
    <col min="11" max="11" width="17.140625" style="128" customWidth="1"/>
    <col min="12" max="12" width="15.7109375" style="128" customWidth="1"/>
    <col min="13" max="13" width="16.85546875" style="128" customWidth="1"/>
    <col min="14" max="14" width="16.28515625" style="128" customWidth="1"/>
    <col min="15" max="15" width="15" style="128" customWidth="1"/>
    <col min="16" max="16" width="9.7109375" style="128" customWidth="1"/>
    <col min="17" max="17" width="18" style="128" bestFit="1" customWidth="1"/>
    <col min="18" max="18" width="17.42578125" style="128" customWidth="1"/>
    <col min="19" max="22" width="11.42578125" style="128"/>
    <col min="23" max="23" width="18.7109375" style="128" bestFit="1" customWidth="1"/>
    <col min="24" max="16384" width="11.42578125" style="128"/>
  </cols>
  <sheetData>
    <row r="1" spans="1:29" ht="90.75" customHeight="1">
      <c r="A1" s="2196" t="s">
        <v>729</v>
      </c>
      <c r="B1" s="2197"/>
      <c r="C1" s="2197"/>
      <c r="D1" s="2197"/>
      <c r="E1" s="2197"/>
      <c r="F1" s="2197"/>
      <c r="G1" s="2197"/>
      <c r="H1" s="2197"/>
      <c r="I1" s="2197"/>
      <c r="J1" s="2197"/>
      <c r="K1" s="2197"/>
      <c r="L1" s="2197"/>
      <c r="M1" s="2197"/>
      <c r="N1" s="2197"/>
      <c r="O1" s="2197"/>
      <c r="P1" s="2198"/>
    </row>
    <row r="2" spans="1:29" ht="399" customHeight="1">
      <c r="A2" s="2200" t="s">
        <v>1876</v>
      </c>
      <c r="B2" s="2201"/>
      <c r="C2" s="2201"/>
      <c r="D2" s="2201"/>
      <c r="E2" s="2201"/>
      <c r="F2" s="2201"/>
      <c r="G2" s="2201"/>
      <c r="H2" s="2201"/>
      <c r="I2" s="2201"/>
      <c r="J2" s="2201"/>
      <c r="K2" s="2201"/>
      <c r="L2" s="2201"/>
      <c r="M2" s="2201"/>
      <c r="N2" s="2201"/>
      <c r="O2" s="2201"/>
      <c r="P2" s="2201"/>
      <c r="Q2" s="90"/>
      <c r="R2" s="90"/>
    </row>
    <row r="3" spans="1:29" ht="408.75" customHeight="1">
      <c r="A3" s="2202"/>
      <c r="B3" s="2202"/>
      <c r="C3" s="2202"/>
      <c r="D3" s="2202"/>
      <c r="E3" s="2202"/>
      <c r="F3" s="2202"/>
      <c r="G3" s="2202"/>
      <c r="H3" s="2202"/>
      <c r="I3" s="2202"/>
      <c r="J3" s="2202"/>
      <c r="K3" s="2202"/>
      <c r="L3" s="2202"/>
      <c r="M3" s="2202"/>
      <c r="N3" s="2202"/>
      <c r="O3" s="2202"/>
      <c r="P3" s="2202"/>
      <c r="Q3" s="90"/>
      <c r="R3" s="90"/>
    </row>
    <row r="4" spans="1:29" ht="213.75" customHeight="1">
      <c r="A4" s="2202"/>
      <c r="B4" s="2202"/>
      <c r="C4" s="2202"/>
      <c r="D4" s="2202"/>
      <c r="E4" s="2202"/>
      <c r="F4" s="2202"/>
      <c r="G4" s="2202"/>
      <c r="H4" s="2202"/>
      <c r="I4" s="2202"/>
      <c r="J4" s="2202"/>
      <c r="K4" s="2202"/>
      <c r="L4" s="2202"/>
      <c r="M4" s="2202"/>
      <c r="N4" s="2202"/>
      <c r="O4" s="2202"/>
      <c r="P4" s="2202"/>
      <c r="Q4" s="90"/>
      <c r="R4" s="90"/>
      <c r="S4" s="128" t="s">
        <v>36</v>
      </c>
    </row>
    <row r="5" spans="1:29" ht="25.5" customHeight="1">
      <c r="A5" s="39"/>
      <c r="B5" s="39"/>
      <c r="C5" s="39"/>
      <c r="D5" s="39"/>
      <c r="E5" s="39"/>
      <c r="F5" s="39"/>
      <c r="G5" s="39"/>
      <c r="H5" s="39"/>
      <c r="I5" s="39"/>
      <c r="J5" s="39"/>
      <c r="K5" s="39"/>
      <c r="L5" s="39"/>
      <c r="M5" s="39"/>
      <c r="N5" s="39"/>
      <c r="O5" s="39"/>
      <c r="P5" s="39"/>
      <c r="R5" s="90"/>
    </row>
    <row r="6" spans="1:29" ht="25.5" customHeight="1">
      <c r="A6" s="39"/>
      <c r="B6" s="39"/>
      <c r="C6" s="39"/>
      <c r="D6" s="39"/>
      <c r="E6" s="39"/>
      <c r="F6" s="39"/>
      <c r="G6" s="39"/>
      <c r="H6" s="39"/>
      <c r="I6" s="39"/>
      <c r="J6" s="39"/>
      <c r="K6" s="39"/>
      <c r="L6" s="39"/>
      <c r="M6" s="39"/>
      <c r="N6" s="39"/>
      <c r="O6" s="39"/>
      <c r="P6" s="39"/>
      <c r="Q6" s="39"/>
      <c r="R6" s="39"/>
    </row>
    <row r="7" spans="1:29" ht="25.5" customHeight="1">
      <c r="A7" s="39"/>
      <c r="B7" s="39"/>
      <c r="C7" s="39"/>
      <c r="D7" s="39"/>
      <c r="E7" s="39"/>
      <c r="F7" s="39"/>
      <c r="G7" s="39"/>
      <c r="H7" s="39"/>
      <c r="I7" s="39"/>
      <c r="J7" s="39"/>
      <c r="K7" s="39"/>
      <c r="L7" s="39"/>
      <c r="M7" s="39"/>
      <c r="N7" s="39"/>
      <c r="O7" s="39"/>
      <c r="P7" s="39"/>
      <c r="Q7" s="39"/>
      <c r="R7" s="39"/>
      <c r="AC7" s="128" t="s">
        <v>36</v>
      </c>
    </row>
    <row r="8" spans="1:29" ht="25.5" customHeight="1">
      <c r="A8" s="39"/>
      <c r="B8" s="39"/>
      <c r="C8" s="39"/>
      <c r="D8" s="39"/>
      <c r="E8" s="39"/>
      <c r="F8" s="39"/>
      <c r="G8" s="39"/>
      <c r="H8" s="39"/>
      <c r="I8" s="39"/>
      <c r="J8" s="39"/>
      <c r="K8" s="39"/>
      <c r="L8" s="39"/>
      <c r="M8" s="39"/>
      <c r="N8" s="39"/>
      <c r="O8" s="39"/>
      <c r="P8" s="39"/>
      <c r="Q8" s="39"/>
      <c r="R8" s="39"/>
    </row>
    <row r="9" spans="1:29" ht="25.5" customHeight="1">
      <c r="A9" s="39"/>
      <c r="B9" s="39"/>
      <c r="C9" s="39"/>
      <c r="D9" s="39"/>
      <c r="E9" s="39"/>
      <c r="F9" s="39"/>
      <c r="G9" s="39"/>
      <c r="H9" s="39"/>
      <c r="I9" s="39"/>
      <c r="J9" s="39"/>
      <c r="K9" s="39"/>
      <c r="L9" s="39"/>
      <c r="M9" s="39"/>
      <c r="N9" s="39"/>
      <c r="O9" s="39"/>
      <c r="P9" s="39"/>
      <c r="Q9" s="39"/>
      <c r="R9" s="39"/>
    </row>
    <row r="10" spans="1:29" ht="25.5" customHeight="1">
      <c r="A10" s="39"/>
      <c r="B10" s="39"/>
      <c r="C10" s="39"/>
      <c r="D10" s="39"/>
      <c r="E10" s="39"/>
      <c r="F10" s="39"/>
      <c r="G10" s="39"/>
      <c r="H10" s="39"/>
      <c r="I10" s="39"/>
      <c r="J10" s="39"/>
      <c r="K10" s="39"/>
      <c r="L10" s="39"/>
      <c r="M10" s="39"/>
      <c r="N10" s="39"/>
      <c r="O10" s="39"/>
      <c r="P10" s="39"/>
      <c r="Q10" s="39"/>
      <c r="R10" s="39"/>
    </row>
    <row r="11" spans="1:29" ht="25.5" customHeight="1">
      <c r="A11" s="39"/>
      <c r="B11" s="39"/>
      <c r="C11" s="39"/>
      <c r="D11" s="39"/>
      <c r="E11" s="39"/>
      <c r="F11" s="39"/>
      <c r="G11" s="39"/>
      <c r="H11" s="39"/>
      <c r="I11" s="39"/>
      <c r="J11" s="39"/>
      <c r="K11" s="39"/>
      <c r="L11" s="39"/>
      <c r="M11" s="39"/>
      <c r="N11" s="39"/>
      <c r="O11" s="39"/>
      <c r="P11" s="39"/>
      <c r="Q11" s="39"/>
      <c r="R11" s="39"/>
    </row>
    <row r="12" spans="1:29" ht="25.5" customHeight="1">
      <c r="A12" s="39"/>
      <c r="B12" s="39"/>
      <c r="C12" s="39"/>
      <c r="D12" s="39"/>
      <c r="E12" s="39"/>
      <c r="F12" s="39"/>
      <c r="G12" s="39"/>
      <c r="H12" s="39"/>
      <c r="I12" s="39"/>
      <c r="J12" s="39"/>
      <c r="K12" s="39"/>
      <c r="L12" s="39"/>
      <c r="M12" s="39"/>
      <c r="N12" s="39"/>
      <c r="O12" s="39"/>
      <c r="P12" s="39"/>
      <c r="Q12" s="39"/>
      <c r="R12" s="39"/>
    </row>
    <row r="13" spans="1:29" ht="25.5" customHeight="1">
      <c r="A13" s="39"/>
      <c r="B13" s="39"/>
      <c r="C13" s="39"/>
      <c r="D13" s="39"/>
      <c r="E13" s="39"/>
      <c r="F13" s="39"/>
      <c r="G13" s="39"/>
      <c r="H13" s="39"/>
      <c r="I13" s="39"/>
      <c r="J13" s="39"/>
      <c r="K13" s="39"/>
      <c r="L13" s="39"/>
      <c r="M13" s="39"/>
      <c r="N13" s="39"/>
      <c r="O13" s="39"/>
      <c r="P13" s="39"/>
      <c r="Q13" s="39"/>
      <c r="R13" s="39"/>
    </row>
    <row r="14" spans="1:29" ht="25.5" customHeight="1">
      <c r="A14" s="39"/>
      <c r="B14" s="39"/>
      <c r="C14" s="39"/>
      <c r="D14" s="39"/>
      <c r="E14" s="39"/>
      <c r="F14" s="39"/>
      <c r="G14" s="39"/>
      <c r="H14" s="39"/>
      <c r="I14" s="39"/>
      <c r="J14" s="39"/>
      <c r="K14" s="39"/>
      <c r="L14" s="39"/>
      <c r="M14" s="39"/>
      <c r="N14" s="39"/>
      <c r="O14" s="39"/>
      <c r="P14" s="39"/>
      <c r="Q14" s="39"/>
      <c r="R14" s="39"/>
    </row>
    <row r="15" spans="1:29" ht="25.5" customHeight="1">
      <c r="A15" s="39"/>
      <c r="B15" s="39"/>
      <c r="C15" s="39"/>
      <c r="D15" s="39"/>
      <c r="E15" s="39"/>
      <c r="F15" s="39"/>
      <c r="G15" s="39"/>
      <c r="H15" s="39"/>
      <c r="I15" s="39"/>
      <c r="J15" s="39"/>
      <c r="K15" s="39"/>
      <c r="L15" s="39"/>
      <c r="M15" s="39"/>
      <c r="N15" s="39"/>
      <c r="O15" s="39"/>
      <c r="P15" s="39"/>
      <c r="Q15" s="39"/>
      <c r="R15" s="39"/>
    </row>
    <row r="16" spans="1:29" ht="25.5" customHeight="1">
      <c r="A16" s="39"/>
      <c r="B16" s="39"/>
      <c r="C16" s="39"/>
      <c r="D16" s="39"/>
      <c r="E16" s="39"/>
      <c r="F16" s="39"/>
      <c r="G16" s="39"/>
      <c r="H16" s="39"/>
      <c r="I16" s="39"/>
      <c r="J16" s="39"/>
      <c r="K16" s="39"/>
      <c r="L16" s="39"/>
      <c r="M16" s="39"/>
      <c r="N16" s="39"/>
      <c r="O16" s="39"/>
      <c r="P16" s="39"/>
      <c r="Q16" s="39"/>
      <c r="R16" s="39"/>
    </row>
    <row r="17" spans="1:24" ht="25.5" customHeight="1">
      <c r="A17" s="39"/>
      <c r="B17" s="39"/>
      <c r="C17" s="39"/>
      <c r="D17" s="39"/>
      <c r="E17" s="39"/>
      <c r="F17" s="39"/>
      <c r="G17" s="39"/>
      <c r="H17" s="39"/>
      <c r="I17" s="39"/>
      <c r="J17" s="39"/>
      <c r="K17" s="39"/>
      <c r="L17" s="39"/>
      <c r="M17" s="39"/>
      <c r="N17" s="39"/>
      <c r="O17" s="39"/>
      <c r="P17" s="39"/>
      <c r="Q17" s="39"/>
      <c r="R17" s="39"/>
    </row>
    <row r="18" spans="1:24" ht="25.5" customHeight="1">
      <c r="A18" s="39"/>
      <c r="B18" s="39"/>
      <c r="C18" s="39"/>
      <c r="D18" s="39"/>
      <c r="E18" s="39"/>
      <c r="F18" s="39"/>
      <c r="G18" s="39"/>
      <c r="H18" s="39"/>
      <c r="I18" s="39"/>
      <c r="J18" s="39"/>
      <c r="K18" s="39"/>
      <c r="L18" s="39"/>
      <c r="M18" s="39"/>
      <c r="N18" s="39"/>
      <c r="O18" s="39"/>
      <c r="P18" s="39"/>
      <c r="Q18" s="39"/>
      <c r="R18" s="39"/>
    </row>
    <row r="19" spans="1:24" ht="25.5" customHeight="1">
      <c r="A19" s="39"/>
      <c r="B19" s="39"/>
      <c r="C19" s="39"/>
      <c r="D19" s="39"/>
      <c r="E19" s="39"/>
      <c r="F19" s="39"/>
      <c r="G19" s="39"/>
      <c r="H19" s="39"/>
      <c r="I19" s="39"/>
      <c r="J19" s="39"/>
      <c r="K19" s="39"/>
      <c r="L19" s="39"/>
      <c r="M19" s="39"/>
      <c r="N19" s="39"/>
      <c r="O19" s="39"/>
      <c r="P19" s="39"/>
      <c r="Q19" s="39"/>
      <c r="R19" s="39"/>
      <c r="S19" s="128" t="s">
        <v>36</v>
      </c>
    </row>
    <row r="20" spans="1:24" ht="25.5" customHeight="1">
      <c r="A20" s="39"/>
      <c r="B20" s="39"/>
      <c r="C20" s="39"/>
      <c r="D20" s="39"/>
      <c r="E20" s="39"/>
      <c r="F20" s="39"/>
      <c r="G20" s="39"/>
      <c r="H20" s="39"/>
      <c r="I20" s="39"/>
      <c r="J20" s="39"/>
      <c r="K20" s="39"/>
      <c r="L20" s="39"/>
      <c r="M20" s="39"/>
      <c r="N20" s="39"/>
      <c r="O20" s="39"/>
      <c r="P20" s="39"/>
      <c r="Q20" s="39"/>
      <c r="R20" s="39"/>
    </row>
    <row r="21" spans="1:24" ht="25.5" customHeight="1">
      <c r="A21" s="39"/>
      <c r="B21" s="39"/>
      <c r="C21" s="39"/>
      <c r="D21" s="39"/>
      <c r="E21" s="39"/>
      <c r="F21" s="39"/>
      <c r="G21" s="39"/>
      <c r="H21" s="39"/>
      <c r="I21" s="39"/>
      <c r="J21" s="39"/>
      <c r="K21" s="39"/>
      <c r="L21" s="39"/>
      <c r="M21" s="39"/>
      <c r="N21" s="39"/>
      <c r="O21" s="39"/>
      <c r="P21" s="39"/>
      <c r="Q21" s="39"/>
      <c r="R21" s="39"/>
    </row>
    <row r="22" spans="1:24" ht="25.5" customHeight="1">
      <c r="A22" s="39"/>
      <c r="B22" s="39"/>
      <c r="C22" s="39"/>
      <c r="D22" s="39"/>
      <c r="E22" s="39"/>
      <c r="F22" s="39"/>
      <c r="G22" s="39"/>
      <c r="H22" s="39"/>
      <c r="I22" s="39"/>
      <c r="J22" s="39"/>
      <c r="K22" s="39"/>
      <c r="L22" s="39"/>
      <c r="M22" s="39"/>
      <c r="N22" s="39"/>
      <c r="O22" s="39"/>
      <c r="P22" s="39"/>
      <c r="Q22" s="39"/>
      <c r="R22" s="39"/>
    </row>
    <row r="23" spans="1:24" ht="25.5" customHeight="1">
      <c r="A23" s="39"/>
      <c r="B23" s="39"/>
      <c r="C23" s="39"/>
      <c r="D23" s="39"/>
      <c r="E23" s="39"/>
      <c r="F23" s="39"/>
      <c r="G23" s="39"/>
      <c r="H23" s="39"/>
      <c r="I23" s="39"/>
      <c r="J23" s="39"/>
      <c r="K23" s="39"/>
      <c r="L23" s="39"/>
      <c r="M23" s="39"/>
      <c r="N23" s="39"/>
      <c r="O23" s="39"/>
      <c r="P23" s="39"/>
      <c r="Q23" s="39"/>
      <c r="R23" s="39"/>
    </row>
    <row r="24" spans="1:24" ht="25.5" customHeight="1">
      <c r="A24" s="39"/>
      <c r="B24" s="39"/>
      <c r="C24" s="39"/>
      <c r="D24" s="39"/>
      <c r="E24" s="39"/>
      <c r="F24" s="39"/>
      <c r="G24" s="39"/>
      <c r="H24" s="39"/>
      <c r="I24" s="39"/>
      <c r="J24" s="39"/>
      <c r="K24" s="39"/>
      <c r="L24" s="39"/>
      <c r="M24" s="39"/>
      <c r="N24" s="39"/>
      <c r="O24" s="39"/>
      <c r="P24" s="39"/>
      <c r="Q24" s="39"/>
      <c r="R24" s="39"/>
    </row>
    <row r="25" spans="1:24" ht="25.5" customHeight="1">
      <c r="A25" s="39"/>
      <c r="B25" s="39"/>
      <c r="C25" s="39"/>
      <c r="D25" s="39"/>
      <c r="E25" s="39"/>
      <c r="F25" s="39"/>
      <c r="G25" s="39"/>
      <c r="H25" s="39"/>
      <c r="I25" s="39"/>
      <c r="J25" s="39"/>
      <c r="K25" s="39"/>
      <c r="L25" s="39"/>
      <c r="M25" s="39"/>
      <c r="N25" s="39"/>
      <c r="O25" s="39"/>
      <c r="P25" s="39"/>
      <c r="Q25" s="39"/>
      <c r="R25" s="39"/>
    </row>
    <row r="26" spans="1:24" ht="25.5" customHeight="1">
      <c r="A26" s="39"/>
      <c r="B26" s="39"/>
      <c r="C26" s="39"/>
      <c r="D26" s="39"/>
      <c r="E26" s="39"/>
      <c r="F26" s="39"/>
      <c r="G26" s="39"/>
      <c r="H26" s="39"/>
      <c r="I26" s="39"/>
      <c r="J26" s="39"/>
      <c r="K26" s="39"/>
      <c r="L26" s="39"/>
      <c r="M26" s="39"/>
      <c r="N26" s="39"/>
      <c r="O26" s="39"/>
      <c r="P26" s="39"/>
      <c r="Q26" s="39"/>
      <c r="R26" s="39"/>
    </row>
    <row r="27" spans="1:24">
      <c r="S27" s="151"/>
      <c r="T27" s="151"/>
      <c r="U27" s="151"/>
      <c r="V27" s="151"/>
      <c r="W27" s="151"/>
      <c r="X27" s="151"/>
    </row>
    <row r="28" spans="1:24">
      <c r="S28" s="151"/>
      <c r="T28" s="151"/>
      <c r="U28" s="151"/>
      <c r="V28" s="151"/>
      <c r="W28" s="151"/>
      <c r="X28" s="151"/>
    </row>
    <row r="29" spans="1:24">
      <c r="S29" s="151"/>
      <c r="T29" s="151"/>
      <c r="U29" s="151"/>
      <c r="V29" s="151"/>
      <c r="W29" s="151"/>
      <c r="X29" s="151"/>
    </row>
    <row r="30" spans="1:24">
      <c r="S30" s="151"/>
      <c r="T30" s="151"/>
      <c r="U30" s="151"/>
      <c r="V30" s="151"/>
      <c r="W30" s="151"/>
      <c r="X30" s="151"/>
    </row>
    <row r="31" spans="1:24" ht="51" customHeight="1">
      <c r="S31" s="151"/>
      <c r="T31" s="151"/>
      <c r="U31" s="151"/>
      <c r="V31" s="151"/>
      <c r="W31" s="151"/>
      <c r="X31" s="151"/>
    </row>
    <row r="32" spans="1:24" ht="78" customHeight="1">
      <c r="A32" s="2199"/>
      <c r="B32" s="2199"/>
      <c r="C32" s="2199"/>
      <c r="D32" s="2199"/>
      <c r="E32" s="2199"/>
      <c r="F32" s="2199"/>
      <c r="G32" s="2199"/>
      <c r="H32" s="2199"/>
      <c r="I32" s="2199"/>
      <c r="J32" s="2199"/>
      <c r="K32" s="2199"/>
      <c r="L32" s="2199"/>
      <c r="M32" s="2199"/>
      <c r="N32" s="2199"/>
      <c r="O32" s="2199"/>
      <c r="P32" s="2199"/>
      <c r="Q32" s="2199"/>
      <c r="R32" s="2199"/>
      <c r="S32" s="2199"/>
      <c r="T32" s="2199"/>
      <c r="U32" s="2199"/>
      <c r="V32" s="151"/>
      <c r="W32" s="151"/>
      <c r="X32" s="151"/>
    </row>
    <row r="33" spans="2:26">
      <c r="S33" s="151"/>
    </row>
    <row r="34" spans="2:26">
      <c r="S34" s="151"/>
    </row>
    <row r="35" spans="2:26">
      <c r="S35" s="151"/>
    </row>
    <row r="36" spans="2:26">
      <c r="S36" s="151"/>
    </row>
    <row r="37" spans="2:26">
      <c r="S37" s="151"/>
    </row>
    <row r="38" spans="2:26">
      <c r="S38" s="151"/>
      <c r="T38" s="151"/>
      <c r="U38" s="151"/>
      <c r="V38" s="151"/>
      <c r="W38" s="151"/>
      <c r="X38" s="151"/>
      <c r="Y38" s="151"/>
      <c r="Z38" s="151"/>
    </row>
    <row r="39" spans="2:26">
      <c r="S39" s="151"/>
      <c r="T39" s="151"/>
      <c r="U39" s="151"/>
      <c r="V39" s="151"/>
      <c r="W39" s="151"/>
      <c r="X39" s="151"/>
      <c r="Y39" s="151"/>
      <c r="Z39" s="151"/>
    </row>
    <row r="40" spans="2:26">
      <c r="S40" s="151"/>
      <c r="T40" s="151"/>
      <c r="U40" s="151"/>
      <c r="V40" s="151"/>
      <c r="W40" s="151"/>
      <c r="X40" s="151"/>
      <c r="Y40" s="151"/>
      <c r="Z40" s="151"/>
    </row>
    <row r="41" spans="2:26">
      <c r="S41" s="151"/>
      <c r="T41" s="151"/>
      <c r="U41" s="151"/>
      <c r="V41" s="151"/>
      <c r="W41" s="151"/>
      <c r="X41" s="151"/>
      <c r="Y41" s="151"/>
      <c r="Z41" s="151"/>
    </row>
    <row r="42" spans="2:26">
      <c r="S42" s="151"/>
      <c r="T42" s="151"/>
      <c r="U42" s="151"/>
      <c r="V42" s="151"/>
      <c r="W42" s="151"/>
      <c r="X42" s="151"/>
      <c r="Y42" s="151"/>
      <c r="Z42" s="151"/>
    </row>
    <row r="43" spans="2:26">
      <c r="S43" s="151"/>
      <c r="T43" s="151"/>
      <c r="U43" s="151"/>
      <c r="V43" s="151"/>
      <c r="W43" s="151"/>
      <c r="X43" s="151"/>
      <c r="Y43" s="151"/>
      <c r="Z43" s="151"/>
    </row>
    <row r="44" spans="2:26">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row>
    <row r="63" spans="20:20">
      <c r="T63" s="151"/>
    </row>
    <row r="64" spans="20:20">
      <c r="T64" s="151"/>
    </row>
    <row r="65" spans="20:20">
      <c r="T65" s="151"/>
    </row>
    <row r="66" spans="20:20">
      <c r="T66" s="151"/>
    </row>
    <row r="67" spans="20:20">
      <c r="T67" s="151"/>
    </row>
    <row r="68" spans="20:20">
      <c r="T68" s="151"/>
    </row>
    <row r="69" spans="20:20">
      <c r="T69" s="151"/>
    </row>
    <row r="70" spans="20:20">
      <c r="T70" s="151"/>
    </row>
    <row r="80" spans="20:20">
      <c r="T80" s="151"/>
    </row>
    <row r="81" spans="20:20">
      <c r="T81" s="151"/>
    </row>
    <row r="82" spans="20:20">
      <c r="T82" s="151"/>
    </row>
    <row r="83" spans="20:20">
      <c r="T83" s="151"/>
    </row>
  </sheetData>
  <mergeCells count="3">
    <mergeCell ref="A1:P1"/>
    <mergeCell ref="A32:U32"/>
    <mergeCell ref="A2:P4"/>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L54"/>
  <sheetViews>
    <sheetView showGridLines="0" view="pageBreakPreview" topLeftCell="DU1" zoomScale="55" zoomScaleNormal="70" zoomScaleSheetLayoutView="55" workbookViewId="0">
      <selection activeCell="IO51" sqref="IO51:IO52"/>
    </sheetView>
  </sheetViews>
  <sheetFormatPr baseColWidth="10" defaultRowHeight="15"/>
  <cols>
    <col min="1" max="1" width="20.28515625" style="1810" customWidth="1"/>
    <col min="2" max="3" width="0" style="1810" hidden="1" customWidth="1"/>
    <col min="4" max="4" width="13" style="1810" customWidth="1"/>
    <col min="5" max="12" width="0" style="1810" hidden="1" customWidth="1"/>
    <col min="13" max="13" width="11.42578125" style="1810"/>
    <col min="14" max="30" width="0" style="1810" hidden="1" customWidth="1"/>
    <col min="31" max="31" width="12.85546875" style="1810" bestFit="1" customWidth="1"/>
    <col min="32" max="48" width="0" style="1810" hidden="1" customWidth="1"/>
    <col min="49" max="49" width="11.42578125" style="1810"/>
    <col min="50" max="66" width="0" style="1810" hidden="1" customWidth="1"/>
    <col min="67" max="67" width="12.5703125" style="1810" bestFit="1" customWidth="1"/>
    <col min="68" max="86" width="0" style="1810" hidden="1" customWidth="1"/>
    <col min="87" max="87" width="13.140625" style="1810" bestFit="1" customWidth="1"/>
    <col min="88" max="106" width="0" style="1810" hidden="1" customWidth="1"/>
    <col min="107" max="107" width="12.5703125" style="1810" bestFit="1" customWidth="1"/>
    <col min="108" max="124" width="0" style="1810" hidden="1" customWidth="1"/>
    <col min="125" max="125" width="12.5703125" style="1810" bestFit="1" customWidth="1"/>
    <col min="126" max="142" width="0" style="1810" hidden="1" customWidth="1"/>
    <col min="143" max="143" width="13.140625" style="1810" bestFit="1" customWidth="1"/>
    <col min="144" max="160" width="0" style="1810" hidden="1" customWidth="1"/>
    <col min="161" max="161" width="13" style="1810" bestFit="1" customWidth="1"/>
    <col min="162" max="178" width="0" style="1810" hidden="1" customWidth="1"/>
    <col min="179" max="179" width="13" style="1810" bestFit="1" customWidth="1"/>
    <col min="180" max="196" width="0" style="1810" hidden="1" customWidth="1"/>
    <col min="197" max="197" width="12.85546875" style="1810" bestFit="1" customWidth="1"/>
    <col min="198" max="214" width="0" style="1810" hidden="1" customWidth="1"/>
    <col min="215" max="215" width="12.85546875" style="1810" bestFit="1" customWidth="1"/>
    <col min="216" max="232" width="0" style="1810" hidden="1" customWidth="1"/>
    <col min="233" max="233" width="13.7109375" style="1810" customWidth="1"/>
    <col min="234" max="240" width="0" style="1810" hidden="1" customWidth="1"/>
    <col min="241" max="241" width="12.140625" style="1810" hidden="1" customWidth="1"/>
    <col min="242" max="242" width="13" style="1810" customWidth="1"/>
    <col min="243" max="244" width="11.42578125" style="1810" hidden="1" customWidth="1"/>
    <col min="245" max="245" width="14.42578125" style="1810" customWidth="1"/>
    <col min="246" max="246" width="13.7109375" style="1810" customWidth="1"/>
    <col min="247" max="247" width="11.42578125" style="1810"/>
    <col min="248" max="248" width="10" style="1810" bestFit="1" customWidth="1"/>
    <col min="249" max="249" width="65.7109375" style="1810" customWidth="1"/>
    <col min="250" max="250" width="15.7109375" style="1810" bestFit="1" customWidth="1"/>
    <col min="251" max="251" width="21" style="1810" bestFit="1" customWidth="1"/>
    <col min="252" max="259" width="20.5703125" style="1810" customWidth="1"/>
    <col min="260" max="16384" width="11.42578125" style="1810"/>
  </cols>
  <sheetData>
    <row r="1" spans="1:246" ht="91.5" customHeight="1">
      <c r="A1" s="2334" t="s">
        <v>1853</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c r="BB1" s="2335"/>
      <c r="BC1" s="2335"/>
      <c r="BD1" s="2335"/>
      <c r="BE1" s="2335"/>
      <c r="BF1" s="2335"/>
      <c r="BG1" s="2335"/>
      <c r="BH1" s="2335"/>
      <c r="BI1" s="2335"/>
      <c r="BJ1" s="2335"/>
      <c r="BK1" s="2335"/>
      <c r="BL1" s="2335"/>
      <c r="BM1" s="2335"/>
      <c r="BN1" s="2335"/>
      <c r="BO1" s="2335"/>
      <c r="BP1" s="2335"/>
      <c r="BQ1" s="2335"/>
      <c r="BR1" s="2335"/>
      <c r="BS1" s="2335"/>
      <c r="BT1" s="2335"/>
      <c r="BU1" s="2335"/>
      <c r="BV1" s="2335"/>
      <c r="BW1" s="2335"/>
      <c r="BX1" s="2335"/>
      <c r="BY1" s="2335"/>
      <c r="BZ1" s="2335"/>
      <c r="CA1" s="2335"/>
      <c r="CB1" s="2335"/>
      <c r="CC1" s="2335"/>
      <c r="CD1" s="2335"/>
      <c r="CE1" s="2335"/>
      <c r="CF1" s="2335"/>
      <c r="CG1" s="2335"/>
      <c r="CH1" s="2335"/>
      <c r="CI1" s="2335"/>
      <c r="CJ1" s="2335"/>
      <c r="CK1" s="2335"/>
      <c r="CL1" s="2335"/>
      <c r="CM1" s="2335"/>
      <c r="CN1" s="2335"/>
      <c r="CO1" s="2335"/>
      <c r="CP1" s="2335"/>
      <c r="CQ1" s="2335"/>
      <c r="CR1" s="2335"/>
      <c r="CS1" s="2335"/>
      <c r="CT1" s="2335"/>
      <c r="CU1" s="2335"/>
      <c r="CV1" s="2335"/>
      <c r="CW1" s="2335"/>
      <c r="CX1" s="2335"/>
      <c r="CY1" s="2335"/>
      <c r="CZ1" s="2335"/>
      <c r="DA1" s="2335"/>
      <c r="DB1" s="2335"/>
      <c r="DC1" s="2335"/>
      <c r="DD1" s="2335"/>
      <c r="DE1" s="2335"/>
      <c r="DF1" s="2335"/>
      <c r="DG1" s="2335"/>
      <c r="DH1" s="2335"/>
      <c r="DI1" s="2335"/>
      <c r="DJ1" s="2335"/>
      <c r="DK1" s="2335"/>
      <c r="DL1" s="2335"/>
      <c r="DM1" s="2335"/>
      <c r="DN1" s="2335"/>
      <c r="DO1" s="2335"/>
      <c r="DP1" s="2335"/>
      <c r="DQ1" s="2335"/>
      <c r="DR1" s="2335"/>
      <c r="DS1" s="2335"/>
      <c r="DT1" s="2335"/>
      <c r="DU1" s="2335"/>
      <c r="DV1" s="2335"/>
      <c r="DW1" s="2335"/>
      <c r="DX1" s="2335"/>
      <c r="DY1" s="2335"/>
      <c r="DZ1" s="2335"/>
      <c r="EA1" s="2335"/>
      <c r="EB1" s="2335"/>
      <c r="EC1" s="2335"/>
      <c r="ED1" s="2335"/>
      <c r="EE1" s="2335"/>
      <c r="EF1" s="2335"/>
      <c r="EG1" s="2335"/>
      <c r="EH1" s="2335"/>
      <c r="EI1" s="2335"/>
      <c r="EJ1" s="2335"/>
      <c r="EK1" s="2335"/>
      <c r="EL1" s="2335"/>
      <c r="EM1" s="2335"/>
      <c r="EN1" s="2335"/>
      <c r="EO1" s="2335"/>
      <c r="EP1" s="2335"/>
      <c r="EQ1" s="2335"/>
      <c r="ER1" s="2335"/>
      <c r="ES1" s="2335"/>
      <c r="ET1" s="2335"/>
      <c r="EU1" s="2335"/>
      <c r="EV1" s="2335"/>
      <c r="EW1" s="2335"/>
      <c r="EX1" s="2335"/>
      <c r="EY1" s="2335"/>
      <c r="EZ1" s="2335"/>
      <c r="FA1" s="2335"/>
      <c r="FB1" s="2335"/>
      <c r="FC1" s="2335"/>
      <c r="FD1" s="2335"/>
      <c r="FE1" s="2335"/>
      <c r="FF1" s="2335"/>
      <c r="FG1" s="2335"/>
      <c r="FH1" s="2335"/>
      <c r="FI1" s="2335"/>
      <c r="FJ1" s="2335"/>
      <c r="FK1" s="2335"/>
      <c r="FL1" s="2335"/>
      <c r="FM1" s="2335"/>
      <c r="FN1" s="2335"/>
      <c r="FO1" s="2335"/>
      <c r="FP1" s="2335"/>
      <c r="FQ1" s="2335"/>
      <c r="FR1" s="2335"/>
      <c r="FS1" s="2335"/>
      <c r="FT1" s="2335"/>
      <c r="FU1" s="2335"/>
      <c r="FV1" s="2335"/>
      <c r="FW1" s="2335"/>
      <c r="FX1" s="2335"/>
      <c r="FY1" s="2335"/>
      <c r="FZ1" s="2335"/>
      <c r="GA1" s="2335"/>
      <c r="GB1" s="2335"/>
      <c r="GC1" s="2335"/>
      <c r="GD1" s="2335"/>
      <c r="GE1" s="2335"/>
      <c r="GF1" s="2335"/>
      <c r="GG1" s="2335"/>
      <c r="GH1" s="2335"/>
      <c r="GI1" s="2335"/>
      <c r="GJ1" s="2335"/>
      <c r="GK1" s="2335"/>
      <c r="GL1" s="2335"/>
      <c r="GM1" s="2335"/>
      <c r="GN1" s="2335"/>
      <c r="GO1" s="2335"/>
      <c r="GP1" s="2335"/>
      <c r="GQ1" s="2335"/>
      <c r="GR1" s="2335"/>
      <c r="GS1" s="2335"/>
      <c r="GT1" s="2335"/>
      <c r="GU1" s="2335"/>
      <c r="GV1" s="2335"/>
      <c r="GW1" s="2335"/>
      <c r="GX1" s="2335"/>
      <c r="GY1" s="2335"/>
      <c r="GZ1" s="2335"/>
      <c r="HA1" s="2335"/>
      <c r="HB1" s="2335"/>
      <c r="HC1" s="2335"/>
      <c r="HD1" s="2335"/>
      <c r="HE1" s="2335"/>
      <c r="HF1" s="2335"/>
      <c r="HG1" s="2335"/>
      <c r="HH1" s="2335"/>
      <c r="HI1" s="2335"/>
      <c r="HJ1" s="2335"/>
      <c r="HK1" s="2335"/>
      <c r="HL1" s="2335"/>
      <c r="HM1" s="2335"/>
      <c r="HN1" s="2335"/>
      <c r="HO1" s="2335"/>
      <c r="HP1" s="2335"/>
      <c r="HQ1" s="2335"/>
      <c r="HR1" s="2335"/>
      <c r="HS1" s="2335"/>
      <c r="HT1" s="2335"/>
      <c r="HU1" s="2335"/>
      <c r="HV1" s="2335"/>
      <c r="HW1" s="2335"/>
      <c r="HX1" s="2335"/>
      <c r="HY1" s="2335"/>
      <c r="HZ1" s="2335"/>
      <c r="IA1" s="2335"/>
      <c r="IB1" s="2335"/>
      <c r="IC1" s="2335"/>
      <c r="ID1" s="2335"/>
      <c r="IE1" s="2335"/>
      <c r="IF1" s="2335"/>
      <c r="IG1" s="2335"/>
      <c r="IH1" s="2335"/>
      <c r="II1" s="2335"/>
      <c r="IJ1" s="2335"/>
      <c r="IK1" s="2335"/>
      <c r="IL1" s="2336"/>
    </row>
    <row r="2" spans="1:246" ht="6.75" customHeight="1">
      <c r="A2" s="2337"/>
      <c r="B2" s="2337"/>
      <c r="C2" s="2337"/>
      <c r="D2" s="2337"/>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2"/>
      <c r="AP2" s="1882"/>
      <c r="AQ2" s="1882"/>
      <c r="AR2" s="1883"/>
      <c r="AS2" s="1883"/>
      <c r="AT2" s="1883"/>
      <c r="AU2" s="1881"/>
      <c r="AV2" s="1881"/>
      <c r="AW2" s="1881"/>
      <c r="AX2" s="1881"/>
      <c r="AY2" s="1881"/>
      <c r="AZ2" s="1881"/>
      <c r="BA2" s="1882"/>
      <c r="BB2" s="1882"/>
      <c r="BC2" s="1882"/>
      <c r="BD2" s="1882"/>
      <c r="BE2" s="1882"/>
      <c r="BF2" s="1882"/>
      <c r="BG2" s="1882"/>
      <c r="BH2" s="1882"/>
      <c r="BI2" s="1882"/>
      <c r="BJ2" s="1881"/>
      <c r="BK2" s="1881"/>
      <c r="BL2" s="1881"/>
      <c r="BM2" s="1881"/>
      <c r="BN2" s="1881"/>
      <c r="BO2" s="1881"/>
      <c r="BP2" s="1881"/>
      <c r="BQ2" s="1881"/>
      <c r="BR2" s="1881"/>
      <c r="BS2" s="1881"/>
      <c r="BT2" s="1881"/>
      <c r="BU2" s="1881"/>
      <c r="BV2" s="1882"/>
      <c r="BW2" s="1882"/>
      <c r="BX2" s="1882"/>
      <c r="BY2" s="1881"/>
      <c r="BZ2" s="1881"/>
      <c r="CA2" s="1881"/>
      <c r="CB2" s="1881"/>
      <c r="CC2" s="1881"/>
      <c r="CD2" s="1881"/>
      <c r="CE2" s="1881"/>
      <c r="CF2" s="1881"/>
      <c r="CG2" s="1881"/>
      <c r="CH2" s="1881"/>
      <c r="CI2" s="1881"/>
      <c r="CJ2" s="1881"/>
      <c r="CK2" s="1881"/>
      <c r="CL2" s="1881"/>
      <c r="CM2" s="1881"/>
      <c r="CN2" s="1881"/>
      <c r="CO2" s="1881"/>
      <c r="CP2" s="1881"/>
      <c r="CQ2" s="1881"/>
      <c r="CR2" s="1881"/>
      <c r="CS2" s="1881"/>
      <c r="CT2" s="1881"/>
      <c r="CU2" s="1881"/>
      <c r="CV2" s="1881"/>
      <c r="CW2" s="1881"/>
      <c r="CX2" s="1881"/>
      <c r="CY2" s="1881"/>
      <c r="CZ2" s="1881"/>
      <c r="DA2" s="1881"/>
      <c r="DB2" s="1881"/>
      <c r="DC2" s="1881"/>
      <c r="DD2" s="1881"/>
      <c r="DE2" s="1881"/>
      <c r="DF2" s="1881"/>
      <c r="DG2" s="1881"/>
      <c r="DH2" s="1881"/>
      <c r="DI2" s="1881"/>
      <c r="DJ2" s="1881"/>
      <c r="DK2" s="1881"/>
      <c r="DL2" s="1881"/>
      <c r="DM2" s="1881"/>
      <c r="DN2" s="1881"/>
      <c r="DO2" s="1881"/>
      <c r="DP2" s="1881"/>
      <c r="DQ2" s="1881"/>
      <c r="DR2" s="1881"/>
      <c r="DS2" s="1881"/>
      <c r="DT2" s="1881"/>
      <c r="DU2" s="1881"/>
      <c r="DV2" s="1881"/>
      <c r="DW2" s="1881"/>
      <c r="DX2" s="1881"/>
      <c r="DY2" s="1881"/>
      <c r="DZ2" s="1881"/>
      <c r="EA2" s="1881"/>
      <c r="EB2" s="1881"/>
      <c r="EC2" s="1881"/>
      <c r="ED2" s="1881"/>
      <c r="EE2" s="1881"/>
      <c r="EF2" s="1881"/>
      <c r="EG2" s="1881"/>
      <c r="EH2" s="1881"/>
      <c r="EI2" s="1881"/>
      <c r="EJ2" s="1881"/>
      <c r="EK2" s="1881"/>
      <c r="EL2" s="1881"/>
      <c r="EM2" s="1881"/>
      <c r="EN2" s="1881"/>
      <c r="EO2" s="1881"/>
      <c r="EP2" s="1881"/>
      <c r="EQ2" s="1881"/>
      <c r="ER2" s="1881"/>
      <c r="ES2" s="1881"/>
      <c r="ET2" s="1881"/>
      <c r="EU2" s="1881"/>
      <c r="EV2" s="1881"/>
      <c r="EW2" s="1881"/>
      <c r="EX2" s="1881"/>
      <c r="EY2" s="1881"/>
      <c r="EZ2" s="1881"/>
      <c r="FA2" s="1881"/>
      <c r="FB2" s="1881"/>
      <c r="FC2" s="1881"/>
      <c r="FD2" s="1881"/>
      <c r="FE2" s="1881"/>
      <c r="FF2" s="1881"/>
      <c r="FG2" s="1881"/>
      <c r="FH2" s="1881"/>
      <c r="FI2" s="1881"/>
      <c r="FJ2" s="1881"/>
      <c r="FK2" s="1881"/>
      <c r="FL2" s="1881"/>
      <c r="FM2" s="1881"/>
      <c r="FN2" s="1881"/>
      <c r="FO2" s="1881"/>
      <c r="FP2" s="1881"/>
      <c r="FQ2" s="1881"/>
      <c r="FR2" s="1881"/>
      <c r="FS2" s="1881"/>
      <c r="FT2" s="1881"/>
      <c r="FU2" s="1881"/>
      <c r="FV2" s="1881"/>
      <c r="FW2" s="1881"/>
      <c r="FX2" s="1881"/>
      <c r="FY2" s="1881"/>
      <c r="FZ2" s="1881"/>
      <c r="GA2" s="1881"/>
      <c r="GB2" s="1881"/>
      <c r="GC2" s="1881"/>
      <c r="GD2" s="1881"/>
      <c r="GE2" s="1881"/>
      <c r="GF2" s="1881"/>
      <c r="GG2" s="1881"/>
      <c r="GH2" s="1881"/>
      <c r="GI2" s="1881"/>
      <c r="GJ2" s="1881"/>
      <c r="GK2" s="1881"/>
      <c r="GL2" s="1881"/>
      <c r="GM2" s="1881"/>
      <c r="GN2" s="1881"/>
      <c r="GO2" s="1881"/>
      <c r="GP2" s="1881"/>
      <c r="GQ2" s="1881"/>
      <c r="GR2" s="1881"/>
      <c r="GS2" s="1881"/>
      <c r="GT2" s="1881"/>
      <c r="GU2" s="1881"/>
      <c r="GV2" s="1881"/>
      <c r="GW2" s="1881"/>
      <c r="GX2" s="1881"/>
      <c r="GY2" s="1881"/>
      <c r="GZ2" s="1881"/>
      <c r="HA2" s="1881"/>
      <c r="HB2" s="1881"/>
      <c r="HC2" s="1881"/>
      <c r="HD2" s="1881"/>
      <c r="HE2" s="1881"/>
      <c r="HF2" s="1881"/>
      <c r="HG2" s="1881"/>
      <c r="HH2" s="1881"/>
      <c r="HI2" s="1881"/>
      <c r="HJ2" s="1881"/>
      <c r="HK2" s="1881"/>
      <c r="HL2" s="1881"/>
      <c r="HM2" s="1881"/>
      <c r="HN2" s="1881"/>
      <c r="HO2" s="1881"/>
      <c r="HP2" s="1881"/>
      <c r="HQ2" s="1881"/>
      <c r="HR2" s="1881"/>
      <c r="HS2" s="1881"/>
      <c r="HT2" s="1881"/>
      <c r="HU2" s="1881"/>
      <c r="HV2" s="1881"/>
      <c r="HW2" s="1888"/>
      <c r="HX2" s="1888"/>
      <c r="HY2" s="1888"/>
      <c r="HZ2" s="1888"/>
      <c r="IA2" s="1888"/>
      <c r="IB2" s="1888"/>
      <c r="IC2" s="1888"/>
      <c r="ID2" s="1888"/>
      <c r="IE2" s="1888"/>
      <c r="IF2" s="1888"/>
      <c r="IG2" s="1888"/>
      <c r="IH2" s="1888"/>
      <c r="II2" s="1889"/>
      <c r="IJ2" s="1889"/>
      <c r="IK2" s="1889"/>
      <c r="IL2" s="1889"/>
    </row>
    <row r="3" spans="1:246" hidden="1">
      <c r="A3" s="1884"/>
      <c r="B3" s="2324" t="s">
        <v>1575</v>
      </c>
      <c r="C3" s="2324"/>
      <c r="D3" s="2324"/>
      <c r="E3" s="2324" t="s">
        <v>1836</v>
      </c>
      <c r="F3" s="2324"/>
      <c r="G3" s="2324"/>
      <c r="H3" s="2324" t="s">
        <v>1835</v>
      </c>
      <c r="I3" s="2324"/>
      <c r="J3" s="2324"/>
      <c r="K3" s="2324" t="s">
        <v>1576</v>
      </c>
      <c r="L3" s="2324"/>
      <c r="M3" s="2324"/>
      <c r="N3" s="2324" t="s">
        <v>1834</v>
      </c>
      <c r="O3" s="2324"/>
      <c r="P3" s="2324"/>
      <c r="Q3" s="2324" t="s">
        <v>1833</v>
      </c>
      <c r="R3" s="2324"/>
      <c r="S3" s="2324"/>
      <c r="T3" s="2324" t="s">
        <v>1832</v>
      </c>
      <c r="U3" s="2324"/>
      <c r="V3" s="2324"/>
      <c r="W3" s="2324" t="s">
        <v>1831</v>
      </c>
      <c r="X3" s="2324"/>
      <c r="Y3" s="2324"/>
      <c r="Z3" s="2319" t="s">
        <v>1830</v>
      </c>
      <c r="AA3" s="2319"/>
      <c r="AB3" s="2319"/>
      <c r="AC3" s="2319" t="s">
        <v>1829</v>
      </c>
      <c r="AD3" s="2319"/>
      <c r="AE3" s="2319"/>
      <c r="AF3" s="2319" t="s">
        <v>1828</v>
      </c>
      <c r="AG3" s="2319"/>
      <c r="AH3" s="2319"/>
      <c r="AI3" s="2319" t="s">
        <v>1827</v>
      </c>
      <c r="AJ3" s="2319"/>
      <c r="AK3" s="2319"/>
      <c r="AL3" s="2318">
        <v>39692</v>
      </c>
      <c r="AM3" s="2319"/>
      <c r="AN3" s="2319"/>
      <c r="AO3" s="2324" t="s">
        <v>1826</v>
      </c>
      <c r="AP3" s="2324"/>
      <c r="AQ3" s="1885"/>
      <c r="AR3" s="2324" t="s">
        <v>1825</v>
      </c>
      <c r="AS3" s="2324"/>
      <c r="AT3" s="1885"/>
      <c r="AU3" s="2324" t="s">
        <v>1577</v>
      </c>
      <c r="AV3" s="2324"/>
      <c r="AW3" s="1885"/>
      <c r="AX3" s="2324" t="s">
        <v>1824</v>
      </c>
      <c r="AY3" s="2324"/>
      <c r="AZ3" s="1885"/>
      <c r="BA3" s="2324" t="s">
        <v>1823</v>
      </c>
      <c r="BB3" s="2324"/>
      <c r="BC3" s="1885"/>
      <c r="BD3" s="2319" t="s">
        <v>1822</v>
      </c>
      <c r="BE3" s="2319"/>
      <c r="BF3" s="2319"/>
      <c r="BG3" s="2319" t="s">
        <v>1821</v>
      </c>
      <c r="BH3" s="2319"/>
      <c r="BI3" s="2319"/>
      <c r="BJ3" s="2319" t="s">
        <v>1820</v>
      </c>
      <c r="BK3" s="2319"/>
      <c r="BL3" s="2319"/>
      <c r="BM3" s="2319" t="s">
        <v>1819</v>
      </c>
      <c r="BN3" s="2319"/>
      <c r="BO3" s="2319"/>
      <c r="BP3" s="2319" t="s">
        <v>1818</v>
      </c>
      <c r="BQ3" s="2319"/>
      <c r="BR3" s="2319"/>
      <c r="BS3" s="2319" t="s">
        <v>1817</v>
      </c>
      <c r="BT3" s="2319"/>
      <c r="BU3" s="2319"/>
      <c r="BV3" s="2324" t="s">
        <v>1816</v>
      </c>
      <c r="BW3" s="2324"/>
      <c r="BX3" s="2324"/>
      <c r="BY3" s="2319" t="s">
        <v>1815</v>
      </c>
      <c r="BZ3" s="2319"/>
      <c r="CA3" s="2320">
        <v>40087</v>
      </c>
      <c r="CB3" s="2324"/>
      <c r="CC3" s="2324"/>
      <c r="CD3" s="2320">
        <v>40118</v>
      </c>
      <c r="CE3" s="2324"/>
      <c r="CF3" s="2324"/>
      <c r="CG3" s="2324" t="s">
        <v>34</v>
      </c>
      <c r="CH3" s="2324"/>
      <c r="CI3" s="2324"/>
      <c r="CJ3" s="2319" t="s">
        <v>1814</v>
      </c>
      <c r="CK3" s="2319"/>
      <c r="CL3" s="2320">
        <v>40179</v>
      </c>
      <c r="CM3" s="2324"/>
      <c r="CN3" s="2324"/>
      <c r="CO3" s="2320">
        <v>40210</v>
      </c>
      <c r="CP3" s="2324"/>
      <c r="CQ3" s="2324"/>
      <c r="CR3" s="2318">
        <v>40238</v>
      </c>
      <c r="CS3" s="2318"/>
      <c r="CT3" s="2318"/>
      <c r="CU3" s="2319" t="s">
        <v>1813</v>
      </c>
      <c r="CV3" s="2319"/>
      <c r="CW3" s="2319"/>
      <c r="CX3" s="2319" t="s">
        <v>1812</v>
      </c>
      <c r="CY3" s="2324"/>
      <c r="CZ3" s="1885"/>
      <c r="DA3" s="2318">
        <v>40330</v>
      </c>
      <c r="DB3" s="2319"/>
      <c r="DC3" s="2319"/>
      <c r="DD3" s="2318">
        <v>40360</v>
      </c>
      <c r="DE3" s="2319"/>
      <c r="DF3" s="2319"/>
      <c r="DG3" s="2318">
        <v>40391</v>
      </c>
      <c r="DH3" s="2319"/>
      <c r="DI3" s="2319"/>
      <c r="DJ3" s="2320">
        <v>40422</v>
      </c>
      <c r="DK3" s="2324"/>
      <c r="DL3" s="2324"/>
      <c r="DM3" s="2320">
        <v>40452</v>
      </c>
      <c r="DN3" s="2320"/>
      <c r="DO3" s="2320"/>
      <c r="DP3" s="2320">
        <v>40483</v>
      </c>
      <c r="DQ3" s="2324"/>
      <c r="DR3" s="2324"/>
      <c r="DS3" s="2320">
        <v>40513</v>
      </c>
      <c r="DT3" s="2320"/>
      <c r="DU3" s="2320"/>
      <c r="DV3" s="2320">
        <v>40544</v>
      </c>
      <c r="DW3" s="2320"/>
      <c r="DX3" s="2320"/>
      <c r="DY3" s="2318">
        <v>40575</v>
      </c>
      <c r="DZ3" s="2319"/>
      <c r="EA3" s="1886"/>
      <c r="EB3" s="2319" t="s">
        <v>1811</v>
      </c>
      <c r="EC3" s="2319"/>
      <c r="ED3" s="2319"/>
      <c r="EE3" s="2319" t="s">
        <v>1810</v>
      </c>
      <c r="EF3" s="2319"/>
      <c r="EG3" s="2319"/>
      <c r="EH3" s="2319" t="s">
        <v>1809</v>
      </c>
      <c r="EI3" s="2319"/>
      <c r="EJ3" s="2319"/>
      <c r="EK3" s="2318">
        <v>40695</v>
      </c>
      <c r="EL3" s="2319"/>
      <c r="EM3" s="2319"/>
      <c r="EN3" s="2318">
        <v>40725</v>
      </c>
      <c r="EO3" s="2319"/>
      <c r="EP3" s="2319"/>
      <c r="EQ3" s="2318">
        <v>40756</v>
      </c>
      <c r="ER3" s="2319"/>
      <c r="ES3" s="2319"/>
      <c r="ET3" s="2320">
        <v>40787</v>
      </c>
      <c r="EU3" s="2324"/>
      <c r="EV3" s="2324"/>
      <c r="EW3" s="2320">
        <v>40817</v>
      </c>
      <c r="EX3" s="2320"/>
      <c r="EY3" s="2320"/>
      <c r="EZ3" s="2320">
        <v>40848</v>
      </c>
      <c r="FA3" s="2320"/>
      <c r="FB3" s="2320"/>
      <c r="FC3" s="2320">
        <v>40878</v>
      </c>
      <c r="FD3" s="2320"/>
      <c r="FE3" s="2320"/>
      <c r="FF3" s="2320">
        <v>40909</v>
      </c>
      <c r="FG3" s="2324"/>
      <c r="FH3" s="1885"/>
      <c r="FI3" s="2319" t="s">
        <v>1808</v>
      </c>
      <c r="FJ3" s="2319"/>
      <c r="FK3" s="2319"/>
      <c r="FL3" s="2319" t="s">
        <v>1807</v>
      </c>
      <c r="FM3" s="2319"/>
      <c r="FN3" s="2319"/>
      <c r="FO3" s="2319" t="s">
        <v>1806</v>
      </c>
      <c r="FP3" s="2319"/>
      <c r="FQ3" s="2319"/>
      <c r="FR3" s="2319" t="s">
        <v>1805</v>
      </c>
      <c r="FS3" s="2319"/>
      <c r="FT3" s="2319"/>
      <c r="FU3" s="2318">
        <v>41061</v>
      </c>
      <c r="FV3" s="2319"/>
      <c r="FW3" s="2319"/>
      <c r="FX3" s="2318">
        <v>41091</v>
      </c>
      <c r="FY3" s="2318"/>
      <c r="FZ3" s="2318"/>
      <c r="GA3" s="2318">
        <v>41122</v>
      </c>
      <c r="GB3" s="2319"/>
      <c r="GC3" s="2319"/>
      <c r="GD3" s="2320">
        <v>41153</v>
      </c>
      <c r="GE3" s="2320"/>
      <c r="GF3" s="2320"/>
      <c r="GG3" s="2320">
        <v>41183</v>
      </c>
      <c r="GH3" s="2320"/>
      <c r="GI3" s="2320"/>
      <c r="GJ3" s="2320">
        <v>41214</v>
      </c>
      <c r="GK3" s="2320"/>
      <c r="GL3" s="2320"/>
      <c r="GM3" s="2320">
        <v>41244</v>
      </c>
      <c r="GN3" s="2320"/>
      <c r="GO3" s="2320"/>
      <c r="GP3" s="2320">
        <v>41275</v>
      </c>
      <c r="GQ3" s="2320"/>
      <c r="GR3" s="2320"/>
      <c r="GS3" s="2319" t="s">
        <v>1804</v>
      </c>
      <c r="GT3" s="2319"/>
      <c r="GU3" s="2319"/>
      <c r="GV3" s="2319" t="s">
        <v>1803</v>
      </c>
      <c r="GW3" s="2319"/>
      <c r="GX3" s="2319"/>
      <c r="GY3" s="2319" t="s">
        <v>1802</v>
      </c>
      <c r="GZ3" s="2319"/>
      <c r="HA3" s="2319"/>
      <c r="HB3" s="2319" t="s">
        <v>1801</v>
      </c>
      <c r="HC3" s="2319"/>
      <c r="HD3" s="2319"/>
      <c r="HE3" s="2319" t="s">
        <v>1800</v>
      </c>
      <c r="HF3" s="2319"/>
      <c r="HG3" s="2319"/>
      <c r="HH3" s="2319" t="s">
        <v>1799</v>
      </c>
      <c r="HI3" s="2319"/>
      <c r="HJ3" s="2319"/>
      <c r="HK3" s="2319" t="s">
        <v>1798</v>
      </c>
      <c r="HL3" s="2319"/>
      <c r="HM3" s="2319"/>
      <c r="HN3" s="2320">
        <v>41518</v>
      </c>
      <c r="HO3" s="2324"/>
      <c r="HP3" s="2324"/>
      <c r="HQ3" s="2320">
        <v>41548</v>
      </c>
      <c r="HR3" s="2320"/>
      <c r="HS3" s="2320"/>
      <c r="HT3" s="2320">
        <v>41579</v>
      </c>
      <c r="HU3" s="2324"/>
      <c r="HV3" s="1885"/>
      <c r="HW3" s="2325" t="s">
        <v>1797</v>
      </c>
      <c r="HX3" s="2326"/>
      <c r="HY3" s="2326"/>
      <c r="HZ3" s="2327" t="s">
        <v>1796</v>
      </c>
      <c r="IA3" s="2327"/>
      <c r="IB3" s="2327"/>
      <c r="IC3" s="2328" t="s">
        <v>1795</v>
      </c>
      <c r="ID3" s="2329"/>
      <c r="IE3" s="2330"/>
      <c r="IF3" s="2331" t="s">
        <v>1794</v>
      </c>
      <c r="IG3" s="2332"/>
      <c r="IH3" s="2333"/>
      <c r="II3" s="2321" t="s">
        <v>1793</v>
      </c>
      <c r="IJ3" s="2322"/>
      <c r="IK3" s="2323"/>
    </row>
    <row r="4" spans="1:246">
      <c r="A4" s="1942" t="s">
        <v>120</v>
      </c>
      <c r="B4" s="1887" t="s">
        <v>1583</v>
      </c>
      <c r="C4" s="1887" t="s">
        <v>1584</v>
      </c>
      <c r="D4" s="1935" t="s">
        <v>1792</v>
      </c>
      <c r="E4" s="1935" t="s">
        <v>1583</v>
      </c>
      <c r="F4" s="1935" t="s">
        <v>1584</v>
      </c>
      <c r="G4" s="1935" t="s">
        <v>1791</v>
      </c>
      <c r="H4" s="1935" t="s">
        <v>1583</v>
      </c>
      <c r="I4" s="1935" t="s">
        <v>1584</v>
      </c>
      <c r="J4" s="1935" t="s">
        <v>1790</v>
      </c>
      <c r="K4" s="1935" t="s">
        <v>1583</v>
      </c>
      <c r="L4" s="1935" t="s">
        <v>1584</v>
      </c>
      <c r="M4" s="1935" t="s">
        <v>1139</v>
      </c>
      <c r="N4" s="1935" t="s">
        <v>1583</v>
      </c>
      <c r="O4" s="1935" t="s">
        <v>1584</v>
      </c>
      <c r="P4" s="1935" t="s">
        <v>1789</v>
      </c>
      <c r="Q4" s="1935" t="s">
        <v>1583</v>
      </c>
      <c r="R4" s="1935" t="s">
        <v>1584</v>
      </c>
      <c r="S4" s="1935" t="s">
        <v>1788</v>
      </c>
      <c r="T4" s="1935" t="s">
        <v>1583</v>
      </c>
      <c r="U4" s="1935" t="s">
        <v>1584</v>
      </c>
      <c r="V4" s="1935" t="s">
        <v>1787</v>
      </c>
      <c r="W4" s="1935" t="s">
        <v>1583</v>
      </c>
      <c r="X4" s="1935" t="s">
        <v>1584</v>
      </c>
      <c r="Y4" s="1935" t="s">
        <v>1786</v>
      </c>
      <c r="Z4" s="1935" t="s">
        <v>1583</v>
      </c>
      <c r="AA4" s="1935" t="s">
        <v>1584</v>
      </c>
      <c r="AB4" s="1935" t="s">
        <v>1785</v>
      </c>
      <c r="AC4" s="1935" t="s">
        <v>1583</v>
      </c>
      <c r="AD4" s="1935" t="s">
        <v>1584</v>
      </c>
      <c r="AE4" s="1935" t="s">
        <v>1837</v>
      </c>
      <c r="AF4" s="1935" t="s">
        <v>1583</v>
      </c>
      <c r="AG4" s="1935" t="s">
        <v>1584</v>
      </c>
      <c r="AH4" s="1936">
        <v>39630</v>
      </c>
      <c r="AI4" s="1935" t="s">
        <v>1583</v>
      </c>
      <c r="AJ4" s="1935" t="s">
        <v>1584</v>
      </c>
      <c r="AK4" s="1935" t="s">
        <v>1784</v>
      </c>
      <c r="AL4" s="1935" t="s">
        <v>1583</v>
      </c>
      <c r="AM4" s="1935" t="s">
        <v>1584</v>
      </c>
      <c r="AN4" s="1935" t="s">
        <v>1783</v>
      </c>
      <c r="AO4" s="1935" t="s">
        <v>1583</v>
      </c>
      <c r="AP4" s="1935" t="s">
        <v>1584</v>
      </c>
      <c r="AQ4" s="1935" t="s">
        <v>1782</v>
      </c>
      <c r="AR4" s="1935" t="s">
        <v>1583</v>
      </c>
      <c r="AS4" s="1935" t="s">
        <v>1584</v>
      </c>
      <c r="AT4" s="1935" t="s">
        <v>1781</v>
      </c>
      <c r="AU4" s="1935" t="s">
        <v>1583</v>
      </c>
      <c r="AV4" s="1935" t="s">
        <v>1584</v>
      </c>
      <c r="AW4" s="1935" t="s">
        <v>1059</v>
      </c>
      <c r="AX4" s="1935" t="s">
        <v>1583</v>
      </c>
      <c r="AY4" s="1935" t="s">
        <v>1584</v>
      </c>
      <c r="AZ4" s="1935" t="s">
        <v>1180</v>
      </c>
      <c r="BA4" s="1935" t="s">
        <v>1583</v>
      </c>
      <c r="BB4" s="1935" t="s">
        <v>1584</v>
      </c>
      <c r="BC4" s="1935" t="s">
        <v>1181</v>
      </c>
      <c r="BD4" s="1935" t="s">
        <v>1583</v>
      </c>
      <c r="BE4" s="1935" t="s">
        <v>1584</v>
      </c>
      <c r="BF4" s="1935" t="s">
        <v>1137</v>
      </c>
      <c r="BG4" s="1935" t="s">
        <v>1583</v>
      </c>
      <c r="BH4" s="1935" t="s">
        <v>1584</v>
      </c>
      <c r="BI4" s="1935" t="s">
        <v>1780</v>
      </c>
      <c r="BJ4" s="1935" t="s">
        <v>1583</v>
      </c>
      <c r="BK4" s="1935" t="s">
        <v>1584</v>
      </c>
      <c r="BL4" s="1935" t="s">
        <v>1183</v>
      </c>
      <c r="BM4" s="1935" t="s">
        <v>1583</v>
      </c>
      <c r="BN4" s="1935" t="s">
        <v>1584</v>
      </c>
      <c r="BO4" s="1935" t="s">
        <v>1184</v>
      </c>
      <c r="BP4" s="1935" t="s">
        <v>1583</v>
      </c>
      <c r="BQ4" s="1935" t="s">
        <v>1584</v>
      </c>
      <c r="BR4" s="1935" t="s">
        <v>1185</v>
      </c>
      <c r="BS4" s="1935" t="s">
        <v>1583</v>
      </c>
      <c r="BT4" s="1935" t="s">
        <v>1584</v>
      </c>
      <c r="BU4" s="1935" t="s">
        <v>1186</v>
      </c>
      <c r="BV4" s="1935" t="s">
        <v>1583</v>
      </c>
      <c r="BW4" s="1935" t="s">
        <v>1584</v>
      </c>
      <c r="BX4" s="1935" t="s">
        <v>1138</v>
      </c>
      <c r="BY4" s="1935" t="s">
        <v>1583</v>
      </c>
      <c r="BZ4" s="1935" t="s">
        <v>1584</v>
      </c>
      <c r="CA4" s="1935" t="s">
        <v>1583</v>
      </c>
      <c r="CB4" s="1935" t="s">
        <v>1584</v>
      </c>
      <c r="CC4" s="1935" t="s">
        <v>1187</v>
      </c>
      <c r="CD4" s="1935" t="s">
        <v>1583</v>
      </c>
      <c r="CE4" s="1935" t="s">
        <v>1584</v>
      </c>
      <c r="CF4" s="1935" t="s">
        <v>1188</v>
      </c>
      <c r="CG4" s="1935" t="s">
        <v>1583</v>
      </c>
      <c r="CH4" s="1935" t="s">
        <v>1584</v>
      </c>
      <c r="CI4" s="1935" t="s">
        <v>944</v>
      </c>
      <c r="CJ4" s="1935" t="s">
        <v>1583</v>
      </c>
      <c r="CK4" s="1935" t="s">
        <v>1584</v>
      </c>
      <c r="CL4" s="1935" t="s">
        <v>1583</v>
      </c>
      <c r="CM4" s="1935" t="s">
        <v>1584</v>
      </c>
      <c r="CN4" s="1935" t="s">
        <v>1779</v>
      </c>
      <c r="CO4" s="1935" t="s">
        <v>1583</v>
      </c>
      <c r="CP4" s="1935" t="s">
        <v>1584</v>
      </c>
      <c r="CQ4" s="1935" t="s">
        <v>1778</v>
      </c>
      <c r="CR4" s="1935" t="s">
        <v>1583</v>
      </c>
      <c r="CS4" s="1935" t="s">
        <v>1584</v>
      </c>
      <c r="CT4" s="1935" t="s">
        <v>1777</v>
      </c>
      <c r="CU4" s="1935" t="s">
        <v>1583</v>
      </c>
      <c r="CV4" s="1935" t="s">
        <v>1584</v>
      </c>
      <c r="CW4" s="1935" t="s">
        <v>1776</v>
      </c>
      <c r="CX4" s="1935" t="s">
        <v>1583</v>
      </c>
      <c r="CY4" s="1935" t="s">
        <v>1584</v>
      </c>
      <c r="CZ4" s="1935" t="s">
        <v>1775</v>
      </c>
      <c r="DA4" s="1935" t="s">
        <v>1583</v>
      </c>
      <c r="DB4" s="1935" t="s">
        <v>1584</v>
      </c>
      <c r="DC4" s="1937" t="s">
        <v>1774</v>
      </c>
      <c r="DD4" s="1935" t="s">
        <v>1583</v>
      </c>
      <c r="DE4" s="1935" t="s">
        <v>1584</v>
      </c>
      <c r="DF4" s="1935" t="s">
        <v>1773</v>
      </c>
      <c r="DG4" s="1935" t="s">
        <v>1583</v>
      </c>
      <c r="DH4" s="1935" t="s">
        <v>1584</v>
      </c>
      <c r="DI4" s="1935" t="s">
        <v>1772</v>
      </c>
      <c r="DJ4" s="1935" t="s">
        <v>1583</v>
      </c>
      <c r="DK4" s="1935" t="s">
        <v>1584</v>
      </c>
      <c r="DL4" s="1935" t="s">
        <v>1771</v>
      </c>
      <c r="DM4" s="1935" t="s">
        <v>1583</v>
      </c>
      <c r="DN4" s="1935" t="s">
        <v>1584</v>
      </c>
      <c r="DO4" s="1935" t="s">
        <v>1770</v>
      </c>
      <c r="DP4" s="1935" t="s">
        <v>1583</v>
      </c>
      <c r="DQ4" s="1935" t="s">
        <v>1584</v>
      </c>
      <c r="DR4" s="1935" t="s">
        <v>1769</v>
      </c>
      <c r="DS4" s="1935" t="s">
        <v>1583</v>
      </c>
      <c r="DT4" s="1935" t="s">
        <v>1584</v>
      </c>
      <c r="DU4" s="1935" t="s">
        <v>1768</v>
      </c>
      <c r="DV4" s="1935" t="s">
        <v>1583</v>
      </c>
      <c r="DW4" s="1935" t="s">
        <v>1584</v>
      </c>
      <c r="DX4" s="1935" t="s">
        <v>1767</v>
      </c>
      <c r="DY4" s="1935" t="s">
        <v>1583</v>
      </c>
      <c r="DZ4" s="1935" t="s">
        <v>1584</v>
      </c>
      <c r="EA4" s="1935" t="s">
        <v>1766</v>
      </c>
      <c r="EB4" s="1935" t="s">
        <v>1583</v>
      </c>
      <c r="EC4" s="1935" t="s">
        <v>1584</v>
      </c>
      <c r="ED4" s="1935" t="s">
        <v>1765</v>
      </c>
      <c r="EE4" s="1935" t="s">
        <v>1583</v>
      </c>
      <c r="EF4" s="1935" t="s">
        <v>1584</v>
      </c>
      <c r="EG4" s="1935" t="s">
        <v>1764</v>
      </c>
      <c r="EH4" s="1935" t="s">
        <v>1583</v>
      </c>
      <c r="EI4" s="1935" t="s">
        <v>1584</v>
      </c>
      <c r="EJ4" s="1935" t="s">
        <v>1763</v>
      </c>
      <c r="EK4" s="1935" t="s">
        <v>1583</v>
      </c>
      <c r="EL4" s="1935" t="s">
        <v>1584</v>
      </c>
      <c r="EM4" s="1935" t="s">
        <v>1762</v>
      </c>
      <c r="EN4" s="1935" t="s">
        <v>1583</v>
      </c>
      <c r="EO4" s="1935" t="s">
        <v>1584</v>
      </c>
      <c r="EP4" s="1935" t="s">
        <v>1761</v>
      </c>
      <c r="EQ4" s="1935" t="s">
        <v>1583</v>
      </c>
      <c r="ER4" s="1935" t="s">
        <v>1584</v>
      </c>
      <c r="ES4" s="1935" t="s">
        <v>1760</v>
      </c>
      <c r="ET4" s="1935" t="s">
        <v>1583</v>
      </c>
      <c r="EU4" s="1935" t="s">
        <v>1584</v>
      </c>
      <c r="EV4" s="1935" t="s">
        <v>1759</v>
      </c>
      <c r="EW4" s="1935" t="s">
        <v>1583</v>
      </c>
      <c r="EX4" s="1935" t="s">
        <v>1584</v>
      </c>
      <c r="EY4" s="1935" t="s">
        <v>1758</v>
      </c>
      <c r="EZ4" s="1935" t="s">
        <v>1583</v>
      </c>
      <c r="FA4" s="1935" t="s">
        <v>1584</v>
      </c>
      <c r="FB4" s="1935" t="s">
        <v>1030</v>
      </c>
      <c r="FC4" s="1935" t="s">
        <v>1583</v>
      </c>
      <c r="FD4" s="1935" t="s">
        <v>1584</v>
      </c>
      <c r="FE4" s="1935" t="s">
        <v>946</v>
      </c>
      <c r="FF4" s="1935" t="s">
        <v>1583</v>
      </c>
      <c r="FG4" s="1935" t="s">
        <v>1584</v>
      </c>
      <c r="FH4" s="1935" t="s">
        <v>1031</v>
      </c>
      <c r="FI4" s="1935" t="s">
        <v>1583</v>
      </c>
      <c r="FJ4" s="1935" t="s">
        <v>1584</v>
      </c>
      <c r="FK4" s="1935" t="s">
        <v>1032</v>
      </c>
      <c r="FL4" s="1935" t="s">
        <v>1583</v>
      </c>
      <c r="FM4" s="1935" t="s">
        <v>1584</v>
      </c>
      <c r="FN4" s="1935" t="s">
        <v>943</v>
      </c>
      <c r="FO4" s="1935" t="s">
        <v>1583</v>
      </c>
      <c r="FP4" s="1935" t="s">
        <v>1584</v>
      </c>
      <c r="FQ4" s="1935" t="s">
        <v>957</v>
      </c>
      <c r="FR4" s="1935" t="s">
        <v>1583</v>
      </c>
      <c r="FS4" s="1935" t="s">
        <v>1584</v>
      </c>
      <c r="FT4" s="1935" t="s">
        <v>1033</v>
      </c>
      <c r="FU4" s="1935" t="s">
        <v>1583</v>
      </c>
      <c r="FV4" s="1935" t="s">
        <v>1584</v>
      </c>
      <c r="FW4" s="1935" t="s">
        <v>1034</v>
      </c>
      <c r="FX4" s="1935" t="s">
        <v>1583</v>
      </c>
      <c r="FY4" s="1935" t="s">
        <v>1584</v>
      </c>
      <c r="FZ4" s="1935" t="s">
        <v>1035</v>
      </c>
      <c r="GA4" s="1935" t="s">
        <v>1583</v>
      </c>
      <c r="GB4" s="1935" t="s">
        <v>1584</v>
      </c>
      <c r="GC4" s="1935" t="s">
        <v>1022</v>
      </c>
      <c r="GD4" s="1935" t="s">
        <v>1583</v>
      </c>
      <c r="GE4" s="1935" t="s">
        <v>1584</v>
      </c>
      <c r="GF4" s="1935" t="s">
        <v>1038</v>
      </c>
      <c r="GG4" s="1935" t="s">
        <v>1583</v>
      </c>
      <c r="GH4" s="1935" t="s">
        <v>1584</v>
      </c>
      <c r="GI4" s="1935" t="s">
        <v>1051</v>
      </c>
      <c r="GJ4" s="1935" t="s">
        <v>1583</v>
      </c>
      <c r="GK4" s="1935" t="s">
        <v>1584</v>
      </c>
      <c r="GL4" s="1935" t="s">
        <v>1050</v>
      </c>
      <c r="GM4" s="1935" t="s">
        <v>1583</v>
      </c>
      <c r="GN4" s="1935" t="s">
        <v>1584</v>
      </c>
      <c r="GO4" s="1935" t="s">
        <v>1060</v>
      </c>
      <c r="GP4" s="1935" t="s">
        <v>1583</v>
      </c>
      <c r="GQ4" s="1935" t="s">
        <v>1584</v>
      </c>
      <c r="GR4" s="1935" t="s">
        <v>1123</v>
      </c>
      <c r="GS4" s="1935" t="s">
        <v>1583</v>
      </c>
      <c r="GT4" s="1935" t="s">
        <v>1584</v>
      </c>
      <c r="GU4" s="1935" t="s">
        <v>1232</v>
      </c>
      <c r="GV4" s="1935" t="s">
        <v>1583</v>
      </c>
      <c r="GW4" s="1935" t="s">
        <v>1584</v>
      </c>
      <c r="GX4" s="1935" t="s">
        <v>1309</v>
      </c>
      <c r="GY4" s="1935" t="s">
        <v>1583</v>
      </c>
      <c r="GZ4" s="1935" t="s">
        <v>1584</v>
      </c>
      <c r="HA4" s="1935" t="s">
        <v>1317</v>
      </c>
      <c r="HB4" s="1935" t="s">
        <v>1583</v>
      </c>
      <c r="HC4" s="1935" t="s">
        <v>1584</v>
      </c>
      <c r="HD4" s="1935" t="s">
        <v>1331</v>
      </c>
      <c r="HE4" s="1935" t="s">
        <v>1583</v>
      </c>
      <c r="HF4" s="1935" t="s">
        <v>1584</v>
      </c>
      <c r="HG4" s="1935" t="s">
        <v>1403</v>
      </c>
      <c r="HH4" s="1935" t="s">
        <v>1583</v>
      </c>
      <c r="HI4" s="1935" t="s">
        <v>1584</v>
      </c>
      <c r="HJ4" s="1935" t="s">
        <v>1425</v>
      </c>
      <c r="HK4" s="1935" t="s">
        <v>1583</v>
      </c>
      <c r="HL4" s="1935" t="s">
        <v>1584</v>
      </c>
      <c r="HM4" s="1935" t="s">
        <v>1436</v>
      </c>
      <c r="HN4" s="1935" t="s">
        <v>1583</v>
      </c>
      <c r="HO4" s="1935" t="s">
        <v>1584</v>
      </c>
      <c r="HP4" s="1935" t="s">
        <v>1442</v>
      </c>
      <c r="HQ4" s="1935" t="s">
        <v>1583</v>
      </c>
      <c r="HR4" s="1935" t="s">
        <v>1584</v>
      </c>
      <c r="HS4" s="1935" t="s">
        <v>1625</v>
      </c>
      <c r="HT4" s="1935" t="s">
        <v>1583</v>
      </c>
      <c r="HU4" s="1935" t="s">
        <v>1584</v>
      </c>
      <c r="HV4" s="1935" t="s">
        <v>1628</v>
      </c>
      <c r="HW4" s="1938" t="s">
        <v>1583</v>
      </c>
      <c r="HX4" s="1939" t="s">
        <v>1584</v>
      </c>
      <c r="HY4" s="1935" t="s">
        <v>1644</v>
      </c>
      <c r="HZ4" s="1935" t="s">
        <v>1583</v>
      </c>
      <c r="IA4" s="1935" t="s">
        <v>1584</v>
      </c>
      <c r="IB4" s="1935" t="s">
        <v>1757</v>
      </c>
      <c r="IC4" s="1935" t="s">
        <v>1583</v>
      </c>
      <c r="ID4" s="1935" t="s">
        <v>1584</v>
      </c>
      <c r="IE4" s="1935" t="s">
        <v>1733</v>
      </c>
      <c r="IF4" s="1935" t="s">
        <v>1583</v>
      </c>
      <c r="IG4" s="1935" t="s">
        <v>1584</v>
      </c>
      <c r="IH4" s="1935" t="s">
        <v>1750</v>
      </c>
      <c r="II4" s="1940" t="s">
        <v>1583</v>
      </c>
      <c r="IJ4" s="1940" t="s">
        <v>1584</v>
      </c>
      <c r="IK4" s="1935" t="s">
        <v>1756</v>
      </c>
      <c r="IL4" s="1935" t="s">
        <v>1852</v>
      </c>
    </row>
    <row r="5" spans="1:246">
      <c r="A5" s="1932" t="s">
        <v>1838</v>
      </c>
      <c r="B5" s="1863">
        <v>197449</v>
      </c>
      <c r="C5" s="1863">
        <v>142740</v>
      </c>
      <c r="D5" s="1863">
        <f t="shared" ref="D5:D32" si="0">+C5+B5</f>
        <v>340189</v>
      </c>
      <c r="E5" s="1864">
        <v>200121</v>
      </c>
      <c r="F5" s="1864">
        <v>152654</v>
      </c>
      <c r="G5" s="1864">
        <f t="shared" ref="G5:G32" si="1">+F5+E5</f>
        <v>352775</v>
      </c>
      <c r="H5" s="1864">
        <v>211286</v>
      </c>
      <c r="I5" s="1864">
        <v>152133</v>
      </c>
      <c r="J5" s="1864">
        <f t="shared" ref="J5:J32" si="2">+I5+H5</f>
        <v>363419</v>
      </c>
      <c r="K5" s="1825">
        <v>227050</v>
      </c>
      <c r="L5" s="1825">
        <v>163053</v>
      </c>
      <c r="M5" s="1825">
        <f t="shared" ref="M5:M32" si="3">+L5+K5</f>
        <v>390103</v>
      </c>
      <c r="N5" s="1826">
        <v>218680</v>
      </c>
      <c r="O5" s="1826">
        <v>157578</v>
      </c>
      <c r="P5" s="1827">
        <f t="shared" ref="P5:P32" si="4">+O5+N5</f>
        <v>376258</v>
      </c>
      <c r="Q5" s="1863">
        <v>214902</v>
      </c>
      <c r="R5" s="1863">
        <v>161708</v>
      </c>
      <c r="S5" s="1863">
        <f t="shared" ref="S5:S32" si="5">+R5+Q5</f>
        <v>376610</v>
      </c>
      <c r="T5" s="1863">
        <v>224183</v>
      </c>
      <c r="U5" s="1863">
        <v>167061</v>
      </c>
      <c r="V5" s="1863">
        <f t="shared" ref="V5:V32" si="6">+U5+T5</f>
        <v>391244</v>
      </c>
      <c r="W5" s="1825">
        <v>225425</v>
      </c>
      <c r="X5" s="1825">
        <v>169036</v>
      </c>
      <c r="Y5" s="1825">
        <f t="shared" ref="Y5:Y32" si="7">+X5+W5</f>
        <v>394461</v>
      </c>
      <c r="Z5" s="1825">
        <v>226709</v>
      </c>
      <c r="AA5" s="1825">
        <v>186725</v>
      </c>
      <c r="AB5" s="1825">
        <f t="shared" ref="AB5:AB32" si="8">+AA5+Z5</f>
        <v>413434</v>
      </c>
      <c r="AC5" s="1828">
        <v>241507</v>
      </c>
      <c r="AD5" s="1828">
        <v>195203</v>
      </c>
      <c r="AE5" s="1828">
        <f t="shared" ref="AE5:AE32" si="9">+AD5+AC5</f>
        <v>436710</v>
      </c>
      <c r="AF5" s="1829">
        <v>227551</v>
      </c>
      <c r="AG5" s="1829">
        <v>189485</v>
      </c>
      <c r="AH5" s="1830">
        <f t="shared" ref="AH5:AH32" si="10">+AG5+AF5</f>
        <v>417036</v>
      </c>
      <c r="AI5" s="1829">
        <v>232584</v>
      </c>
      <c r="AJ5" s="1829">
        <v>182141</v>
      </c>
      <c r="AK5" s="1830">
        <f t="shared" ref="AK5:AK32" si="11">+AJ5+AI5</f>
        <v>414725</v>
      </c>
      <c r="AL5" s="1863">
        <v>241679</v>
      </c>
      <c r="AM5" s="1863">
        <v>187201</v>
      </c>
      <c r="AN5" s="1863">
        <f t="shared" ref="AN5:AN32" si="12">+AM5+AL5</f>
        <v>428880</v>
      </c>
      <c r="AO5" s="1829">
        <v>242978</v>
      </c>
      <c r="AP5" s="1829">
        <v>191339</v>
      </c>
      <c r="AQ5" s="1830">
        <f t="shared" ref="AQ5:AQ32" si="13">+AO5+AP5</f>
        <v>434317</v>
      </c>
      <c r="AR5" s="1829">
        <v>255091</v>
      </c>
      <c r="AS5" s="1829">
        <v>199384</v>
      </c>
      <c r="AT5" s="1830">
        <f t="shared" ref="AT5:AT32" si="14">+AS5+AR5</f>
        <v>454475</v>
      </c>
      <c r="AU5" s="1829">
        <v>256510</v>
      </c>
      <c r="AV5" s="1829">
        <v>200380</v>
      </c>
      <c r="AW5" s="1830">
        <f t="shared" ref="AW5:AW32" si="15">+AV5+AU5</f>
        <v>456890</v>
      </c>
      <c r="AX5" s="1829">
        <v>268602</v>
      </c>
      <c r="AY5" s="1829">
        <v>216932</v>
      </c>
      <c r="AZ5" s="1830">
        <f t="shared" ref="AZ5:AZ32" si="16">+AY5+AX5</f>
        <v>485534</v>
      </c>
      <c r="BA5" s="1863">
        <v>264806</v>
      </c>
      <c r="BB5" s="1863">
        <v>218479</v>
      </c>
      <c r="BC5" s="1863">
        <f t="shared" ref="BC5:BC32" si="17">+BB5+BA5</f>
        <v>483285</v>
      </c>
      <c r="BD5" s="1831">
        <v>267843</v>
      </c>
      <c r="BE5" s="1832">
        <v>222337</v>
      </c>
      <c r="BF5" s="1832">
        <f t="shared" ref="BF5:BF32" si="18">+BE5+BD5</f>
        <v>490180</v>
      </c>
      <c r="BG5" s="1863">
        <v>274414</v>
      </c>
      <c r="BH5" s="1863">
        <v>229057</v>
      </c>
      <c r="BI5" s="1863">
        <f t="shared" ref="BI5:BI32" si="19">+BH5+BG5</f>
        <v>503471</v>
      </c>
      <c r="BJ5" s="1865">
        <v>268802</v>
      </c>
      <c r="BK5" s="1866">
        <v>229006</v>
      </c>
      <c r="BL5" s="1866">
        <f t="shared" ref="BL5:BL32" si="20">+BK5+BJ5</f>
        <v>497808</v>
      </c>
      <c r="BM5" s="1866">
        <v>284087</v>
      </c>
      <c r="BN5" s="1866">
        <v>244200</v>
      </c>
      <c r="BO5" s="1866">
        <f t="shared" ref="BO5:BO32" si="21">+BN5+BM5</f>
        <v>528287</v>
      </c>
      <c r="BP5" s="1866">
        <v>283823</v>
      </c>
      <c r="BQ5" s="1866">
        <v>251715</v>
      </c>
      <c r="BR5" s="1866">
        <f t="shared" ref="BR5:BR32" si="22">+BQ5+BP5</f>
        <v>535538</v>
      </c>
      <c r="BS5" s="1866">
        <v>308227</v>
      </c>
      <c r="BT5" s="1866">
        <v>273916</v>
      </c>
      <c r="BU5" s="1866">
        <f t="shared" ref="BU5:BU32" si="23">+BT5+BS5</f>
        <v>582143</v>
      </c>
      <c r="BV5" s="1863">
        <v>316436</v>
      </c>
      <c r="BW5" s="1863">
        <v>280486</v>
      </c>
      <c r="BX5" s="1863">
        <f t="shared" ref="BX5:BX32" si="24">+BW5+BV5</f>
        <v>596922</v>
      </c>
      <c r="BY5" s="1863">
        <v>309715</v>
      </c>
      <c r="BZ5" s="1863">
        <v>274925</v>
      </c>
      <c r="CA5" s="1863">
        <v>315881</v>
      </c>
      <c r="CB5" s="1863">
        <v>284853</v>
      </c>
      <c r="CC5" s="1863">
        <f t="shared" ref="CC5:CC32" si="25">+CB5+CA5</f>
        <v>600734</v>
      </c>
      <c r="CD5" s="1863">
        <v>316674</v>
      </c>
      <c r="CE5" s="1863">
        <v>290373</v>
      </c>
      <c r="CF5" s="1863">
        <f t="shared" ref="CF5:CF32" si="26">+CE5+CD5</f>
        <v>607047</v>
      </c>
      <c r="CG5" s="1865">
        <v>314310</v>
      </c>
      <c r="CH5" s="1866">
        <v>293448</v>
      </c>
      <c r="CI5" s="1866">
        <f t="shared" ref="CI5:CI32" si="27">+CH5+CG5</f>
        <v>607758</v>
      </c>
      <c r="CJ5" s="1863">
        <v>312990</v>
      </c>
      <c r="CK5" s="1863">
        <v>292753</v>
      </c>
      <c r="CL5" s="1829">
        <v>317961</v>
      </c>
      <c r="CM5" s="1829">
        <v>305040</v>
      </c>
      <c r="CN5" s="1830">
        <f t="shared" ref="CN5:CN32" si="28">+CM5+CL5</f>
        <v>623001</v>
      </c>
      <c r="CO5" s="1863">
        <v>342122</v>
      </c>
      <c r="CP5" s="1863">
        <v>320823</v>
      </c>
      <c r="CQ5" s="1863">
        <f t="shared" ref="CQ5:CQ32" si="29">+CP5+CO5</f>
        <v>662945</v>
      </c>
      <c r="CR5" s="1831">
        <v>332092</v>
      </c>
      <c r="CS5" s="1832">
        <v>320643</v>
      </c>
      <c r="CT5" s="1832">
        <f t="shared" ref="CT5:CT32" si="30">+CS5+CR5</f>
        <v>652735</v>
      </c>
      <c r="CU5" s="1863">
        <v>340177</v>
      </c>
      <c r="CV5" s="1863">
        <v>328221</v>
      </c>
      <c r="CW5" s="1863">
        <f t="shared" ref="CW5:CW32" si="31">+CV5+CU5</f>
        <v>668398</v>
      </c>
      <c r="CX5" s="1865">
        <v>335194</v>
      </c>
      <c r="CY5" s="1866">
        <v>328574</v>
      </c>
      <c r="CZ5" s="1866">
        <f t="shared" ref="CZ5:CZ32" si="32">+CY5+CX5</f>
        <v>663768</v>
      </c>
      <c r="DA5" s="1866">
        <v>330166</v>
      </c>
      <c r="DB5" s="1866">
        <v>327567</v>
      </c>
      <c r="DC5" s="1866">
        <f t="shared" ref="DC5:DC32" si="33">+DB5+DA5</f>
        <v>657733</v>
      </c>
      <c r="DD5" s="1866">
        <v>345226</v>
      </c>
      <c r="DE5" s="1866">
        <v>337018</v>
      </c>
      <c r="DF5" s="1866">
        <f t="shared" ref="DF5:DF32" si="34">+DE5+DD5</f>
        <v>682244</v>
      </c>
      <c r="DG5" s="1866">
        <v>341475</v>
      </c>
      <c r="DH5" s="1866">
        <v>340517</v>
      </c>
      <c r="DI5" s="1866">
        <f t="shared" ref="DI5:DI32" si="35">+DH5+DG5</f>
        <v>681992</v>
      </c>
      <c r="DJ5" s="1863">
        <v>348992</v>
      </c>
      <c r="DK5" s="1863">
        <v>349408</v>
      </c>
      <c r="DL5" s="1863">
        <f t="shared" ref="DL5:DL32" si="36">+DK5+DJ5</f>
        <v>698400</v>
      </c>
      <c r="DM5" s="1863">
        <v>349385</v>
      </c>
      <c r="DN5" s="1863">
        <v>352208</v>
      </c>
      <c r="DO5" s="1863">
        <f t="shared" ref="DO5:DO32" si="37">+DN5+DM5</f>
        <v>701593</v>
      </c>
      <c r="DP5" s="1863">
        <v>355341</v>
      </c>
      <c r="DQ5" s="1863">
        <v>362708</v>
      </c>
      <c r="DR5" s="1863">
        <f t="shared" ref="DR5:DR32" si="38">+DQ5+DP5</f>
        <v>718049</v>
      </c>
      <c r="DS5" s="1865">
        <v>358501</v>
      </c>
      <c r="DT5" s="1866">
        <v>366949</v>
      </c>
      <c r="DU5" s="1866">
        <f t="shared" ref="DU5:DU32" si="39">+DT5+DS5</f>
        <v>725450</v>
      </c>
      <c r="DV5" s="1829">
        <v>357239</v>
      </c>
      <c r="DW5" s="1829">
        <v>368303</v>
      </c>
      <c r="DX5" s="1830">
        <f t="shared" ref="DX5:DX32" si="40">+DW5+DV5</f>
        <v>725542</v>
      </c>
      <c r="DY5" s="1863">
        <v>357332</v>
      </c>
      <c r="DZ5" s="1863">
        <v>430473</v>
      </c>
      <c r="EA5" s="1863">
        <f t="shared" ref="EA5:EA32" si="41">+DZ5+DY5</f>
        <v>787805</v>
      </c>
      <c r="EB5" s="1831">
        <v>370256</v>
      </c>
      <c r="EC5" s="1832">
        <v>383534</v>
      </c>
      <c r="ED5" s="1832">
        <f t="shared" ref="ED5:ED32" si="42">+EC5+EB5</f>
        <v>753790</v>
      </c>
      <c r="EE5" s="1863">
        <v>366406</v>
      </c>
      <c r="EF5" s="1863">
        <v>393813</v>
      </c>
      <c r="EG5" s="1863">
        <f t="shared" ref="EG5:EG32" si="43">+EF5+EE5</f>
        <v>760219</v>
      </c>
      <c r="EH5" s="1865">
        <v>359766</v>
      </c>
      <c r="EI5" s="1866">
        <v>386153</v>
      </c>
      <c r="EJ5" s="1866">
        <f t="shared" ref="EJ5:EJ32" si="44">+EI5+EH5</f>
        <v>745919</v>
      </c>
      <c r="EK5" s="1866">
        <v>370791</v>
      </c>
      <c r="EL5" s="1866">
        <v>397478</v>
      </c>
      <c r="EM5" s="1866">
        <f t="shared" ref="EM5:EM32" si="45">+EL5+EK5</f>
        <v>768269</v>
      </c>
      <c r="EN5" s="1866">
        <v>377462</v>
      </c>
      <c r="EO5" s="1866">
        <v>406397</v>
      </c>
      <c r="EP5" s="1866">
        <f t="shared" ref="EP5:EP32" si="46">+EO5+EN5</f>
        <v>783859</v>
      </c>
      <c r="EQ5" s="1866">
        <v>382027</v>
      </c>
      <c r="ER5" s="1866">
        <v>410773</v>
      </c>
      <c r="ES5" s="1866">
        <f t="shared" ref="ES5:ES32" si="47">+ER5+EQ5</f>
        <v>792800</v>
      </c>
      <c r="ET5" s="1863">
        <v>379560</v>
      </c>
      <c r="EU5" s="1863">
        <v>420402</v>
      </c>
      <c r="EV5" s="1863">
        <f t="shared" ref="EV5:EV32" si="48">+EU5+ET5</f>
        <v>799962</v>
      </c>
      <c r="EW5" s="1863">
        <v>380751</v>
      </c>
      <c r="EX5" s="1863">
        <v>413589</v>
      </c>
      <c r="EY5" s="1863">
        <f t="shared" ref="EY5:EY32" si="49">+EX5+EW5</f>
        <v>794340</v>
      </c>
      <c r="EZ5" s="1863">
        <v>379806</v>
      </c>
      <c r="FA5" s="1863">
        <v>416746</v>
      </c>
      <c r="FB5" s="1863">
        <f t="shared" ref="FB5:FB32" si="50">+FA5+EZ5</f>
        <v>796552</v>
      </c>
      <c r="FC5" s="1865">
        <v>384092</v>
      </c>
      <c r="FD5" s="1866">
        <v>420443</v>
      </c>
      <c r="FE5" s="1866">
        <f t="shared" ref="FE5:FE32" si="51">+FD5+FC5</f>
        <v>804535</v>
      </c>
      <c r="FF5" s="1829">
        <v>382276</v>
      </c>
      <c r="FG5" s="1829">
        <v>423681</v>
      </c>
      <c r="FH5" s="1830">
        <f t="shared" ref="FH5:FH32" si="52">+FG5+FF5</f>
        <v>805957</v>
      </c>
      <c r="FI5" s="1863">
        <v>385826</v>
      </c>
      <c r="FJ5" s="1863">
        <v>429888</v>
      </c>
      <c r="FK5" s="1863">
        <f t="shared" ref="FK5:FK32" si="53">+FJ5+FI5</f>
        <v>815714</v>
      </c>
      <c r="FL5" s="1831">
        <v>393637</v>
      </c>
      <c r="FM5" s="1832">
        <v>439571</v>
      </c>
      <c r="FN5" s="1832">
        <f t="shared" ref="FN5:FN32" si="54">+FM5+FL5</f>
        <v>833208</v>
      </c>
      <c r="FO5" s="1863">
        <v>390714</v>
      </c>
      <c r="FP5" s="1863">
        <v>439008</v>
      </c>
      <c r="FQ5" s="1863">
        <f t="shared" ref="FQ5:FQ32" si="55">+FP5+FO5</f>
        <v>829722</v>
      </c>
      <c r="FR5" s="1835">
        <v>396140</v>
      </c>
      <c r="FS5" s="1866">
        <v>448072</v>
      </c>
      <c r="FT5" s="1866">
        <f t="shared" ref="FT5:FT32" si="56">+FS5+FR5</f>
        <v>844212</v>
      </c>
      <c r="FU5" s="1866">
        <v>397943</v>
      </c>
      <c r="FV5" s="1866">
        <v>451211</v>
      </c>
      <c r="FW5" s="1866">
        <f t="shared" ref="FW5:FW32" si="57">+FV5+FU5</f>
        <v>849154</v>
      </c>
      <c r="FX5" s="1866">
        <v>396337</v>
      </c>
      <c r="FY5" s="1866">
        <v>454085</v>
      </c>
      <c r="FZ5" s="1866">
        <f t="shared" ref="FZ5:FZ32" si="58">+FY5+FX5</f>
        <v>850422</v>
      </c>
      <c r="GA5" s="1866">
        <v>406026</v>
      </c>
      <c r="GB5" s="1866">
        <v>460987</v>
      </c>
      <c r="GC5" s="1866">
        <f t="shared" ref="GC5:GC32" si="59">+GB5+GA5</f>
        <v>867013</v>
      </c>
      <c r="GD5" s="1863">
        <v>410132</v>
      </c>
      <c r="GE5" s="1863">
        <v>461752</v>
      </c>
      <c r="GF5" s="1863">
        <f t="shared" ref="GF5:GF32" si="60">+GE5+GD5</f>
        <v>871884</v>
      </c>
      <c r="GG5" s="1863">
        <v>403955</v>
      </c>
      <c r="GH5" s="1863">
        <v>457445</v>
      </c>
      <c r="GI5" s="1863">
        <f t="shared" ref="GI5:GI32" si="61">+GH5+GG5</f>
        <v>861400</v>
      </c>
      <c r="GJ5" s="1863">
        <v>408744</v>
      </c>
      <c r="GK5" s="1863">
        <v>460743</v>
      </c>
      <c r="GL5" s="1863">
        <f t="shared" ref="GL5:GL32" si="62">+GK5+GJ5</f>
        <v>869487</v>
      </c>
      <c r="GM5" s="1865">
        <v>414181</v>
      </c>
      <c r="GN5" s="1866">
        <v>469225</v>
      </c>
      <c r="GO5" s="1866">
        <f t="shared" ref="GO5:GO32" si="63">+GN5+GM5</f>
        <v>883406</v>
      </c>
      <c r="GP5" s="1829">
        <v>415183</v>
      </c>
      <c r="GQ5" s="1829">
        <v>477749</v>
      </c>
      <c r="GR5" s="1830">
        <f t="shared" ref="GR5:GR32" si="64">+GQ5+GP5</f>
        <v>892932</v>
      </c>
      <c r="GS5" s="1863">
        <v>420676</v>
      </c>
      <c r="GT5" s="1863">
        <v>476486</v>
      </c>
      <c r="GU5" s="1863">
        <f t="shared" ref="GU5:GU32" si="65">+GT5+GS5</f>
        <v>897162</v>
      </c>
      <c r="GV5" s="1831">
        <v>422303</v>
      </c>
      <c r="GW5" s="1832">
        <v>482802</v>
      </c>
      <c r="GX5" s="1832">
        <f t="shared" ref="GX5:GX32" si="66">+GW5+GV5</f>
        <v>905105</v>
      </c>
      <c r="GY5" s="1863">
        <v>425775</v>
      </c>
      <c r="GZ5" s="1863">
        <v>492443</v>
      </c>
      <c r="HA5" s="1863">
        <f t="shared" ref="HA5:HA32" si="67">+GZ5+GY5</f>
        <v>918218</v>
      </c>
      <c r="HB5" s="1835">
        <v>433256</v>
      </c>
      <c r="HC5" s="1866">
        <v>508356</v>
      </c>
      <c r="HD5" s="1866">
        <f t="shared" ref="HD5:HD32" si="68">+HC5+HB5</f>
        <v>941612</v>
      </c>
      <c r="HE5" s="1866">
        <v>440576</v>
      </c>
      <c r="HF5" s="1866">
        <v>505745</v>
      </c>
      <c r="HG5" s="1866">
        <f t="shared" ref="HG5:HG32" si="69">+HF5+HE5</f>
        <v>946321</v>
      </c>
      <c r="HH5" s="1866">
        <v>440064</v>
      </c>
      <c r="HI5" s="1866">
        <v>519393</v>
      </c>
      <c r="HJ5" s="1866">
        <f t="shared" ref="HJ5:HJ32" si="70">+HI5+HH5</f>
        <v>959457</v>
      </c>
      <c r="HK5" s="1866">
        <v>446720</v>
      </c>
      <c r="HL5" s="1866">
        <v>518833</v>
      </c>
      <c r="HM5" s="1866">
        <f t="shared" ref="HM5:HM32" si="71">+HL5+HK5</f>
        <v>965553</v>
      </c>
      <c r="HN5" s="1863">
        <v>445321</v>
      </c>
      <c r="HO5" s="1863">
        <v>517711</v>
      </c>
      <c r="HP5" s="1863">
        <f t="shared" ref="HP5:HP32" si="72">+HO5+HN5</f>
        <v>963032</v>
      </c>
      <c r="HQ5" s="1863">
        <v>455166</v>
      </c>
      <c r="HR5" s="1863">
        <v>527310</v>
      </c>
      <c r="HS5" s="1863">
        <f t="shared" ref="HS5:HS32" si="73">+HR5+HQ5</f>
        <v>982476</v>
      </c>
      <c r="HT5" s="1863">
        <v>455933</v>
      </c>
      <c r="HU5" s="1863">
        <v>535137</v>
      </c>
      <c r="HV5" s="1863">
        <f t="shared" ref="HV5:HV32" si="74">+HU5+HT5</f>
        <v>991070</v>
      </c>
      <c r="HW5" s="1867">
        <v>452702</v>
      </c>
      <c r="HX5" s="1868">
        <v>531545</v>
      </c>
      <c r="HY5" s="1866">
        <f t="shared" ref="HY5:HY32" si="75">+HX5+HW5</f>
        <v>984247</v>
      </c>
      <c r="HZ5" s="1829">
        <v>451243</v>
      </c>
      <c r="IA5" s="1829">
        <v>532507</v>
      </c>
      <c r="IB5" s="1830">
        <f t="shared" ref="IB5:IB32" si="76">+IA5+HZ5</f>
        <v>983750</v>
      </c>
      <c r="IC5" s="1863">
        <v>458056</v>
      </c>
      <c r="ID5" s="1863">
        <v>549230</v>
      </c>
      <c r="IE5" s="1863">
        <f t="shared" ref="IE5:IE32" si="77">+ID5+IC5</f>
        <v>1007286</v>
      </c>
      <c r="IF5" s="1831">
        <v>458944</v>
      </c>
      <c r="IG5" s="1832">
        <v>544546</v>
      </c>
      <c r="IH5" s="1832">
        <f t="shared" ref="IH5:IH32" si="78">+IG5+IF5</f>
        <v>1003490</v>
      </c>
      <c r="II5" s="1812">
        <v>479396</v>
      </c>
      <c r="IJ5" s="1812">
        <v>556109</v>
      </c>
      <c r="IK5" s="1812">
        <f t="shared" ref="IK5:IK32" si="79">+IJ5+II5</f>
        <v>1035505</v>
      </c>
      <c r="IL5" s="1812">
        <v>1077343</v>
      </c>
    </row>
    <row r="6" spans="1:246">
      <c r="A6" s="1932" t="s">
        <v>124</v>
      </c>
      <c r="B6" s="1863">
        <v>57190</v>
      </c>
      <c r="C6" s="1863">
        <v>15768</v>
      </c>
      <c r="D6" s="1863">
        <f t="shared" si="0"/>
        <v>72958</v>
      </c>
      <c r="E6" s="1864">
        <v>96296</v>
      </c>
      <c r="F6" s="1864">
        <v>18518</v>
      </c>
      <c r="G6" s="1864">
        <f t="shared" si="1"/>
        <v>114814</v>
      </c>
      <c r="H6" s="1864">
        <v>76762</v>
      </c>
      <c r="I6" s="1864">
        <v>20167</v>
      </c>
      <c r="J6" s="1864">
        <f t="shared" si="2"/>
        <v>96929</v>
      </c>
      <c r="K6" s="1825">
        <v>83466</v>
      </c>
      <c r="L6" s="1825">
        <v>23865</v>
      </c>
      <c r="M6" s="1825">
        <f t="shared" si="3"/>
        <v>107331</v>
      </c>
      <c r="N6" s="1826">
        <v>74821</v>
      </c>
      <c r="O6" s="1826">
        <v>23089</v>
      </c>
      <c r="P6" s="1827">
        <f t="shared" si="4"/>
        <v>97910</v>
      </c>
      <c r="Q6" s="1863">
        <v>68526</v>
      </c>
      <c r="R6" s="1863">
        <v>25932</v>
      </c>
      <c r="S6" s="1863">
        <f t="shared" si="5"/>
        <v>94458</v>
      </c>
      <c r="T6" s="1863">
        <v>70121</v>
      </c>
      <c r="U6" s="1863">
        <v>26405</v>
      </c>
      <c r="V6" s="1863">
        <f t="shared" si="6"/>
        <v>96526</v>
      </c>
      <c r="W6" s="1825">
        <v>70574</v>
      </c>
      <c r="X6" s="1825">
        <v>26922</v>
      </c>
      <c r="Y6" s="1825">
        <f t="shared" si="7"/>
        <v>97496</v>
      </c>
      <c r="Z6" s="1825">
        <v>71730</v>
      </c>
      <c r="AA6" s="1825">
        <v>29463</v>
      </c>
      <c r="AB6" s="1825">
        <f t="shared" si="8"/>
        <v>101193</v>
      </c>
      <c r="AC6" s="1828">
        <v>84741</v>
      </c>
      <c r="AD6" s="1828">
        <v>34964</v>
      </c>
      <c r="AE6" s="1828">
        <f t="shared" si="9"/>
        <v>119705</v>
      </c>
      <c r="AF6" s="1829">
        <v>75815</v>
      </c>
      <c r="AG6" s="1829">
        <v>32215</v>
      </c>
      <c r="AH6" s="1830">
        <f t="shared" si="10"/>
        <v>108030</v>
      </c>
      <c r="AI6" s="1829">
        <v>76782</v>
      </c>
      <c r="AJ6" s="1829">
        <v>33202</v>
      </c>
      <c r="AK6" s="1830">
        <f t="shared" si="11"/>
        <v>109984</v>
      </c>
      <c r="AL6" s="1863">
        <v>80281</v>
      </c>
      <c r="AM6" s="1863">
        <v>35724</v>
      </c>
      <c r="AN6" s="1863">
        <f t="shared" si="12"/>
        <v>116005</v>
      </c>
      <c r="AO6" s="1829">
        <v>80268</v>
      </c>
      <c r="AP6" s="1829">
        <v>37398</v>
      </c>
      <c r="AQ6" s="1830">
        <f t="shared" si="13"/>
        <v>117666</v>
      </c>
      <c r="AR6" s="1829">
        <v>84746</v>
      </c>
      <c r="AS6" s="1829">
        <v>41833</v>
      </c>
      <c r="AT6" s="1830">
        <f t="shared" si="14"/>
        <v>126579</v>
      </c>
      <c r="AU6" s="1829">
        <v>88892</v>
      </c>
      <c r="AV6" s="1829">
        <v>46801</v>
      </c>
      <c r="AW6" s="1830">
        <f t="shared" si="15"/>
        <v>135693</v>
      </c>
      <c r="AX6" s="1829">
        <v>93327</v>
      </c>
      <c r="AY6" s="1829">
        <v>51486</v>
      </c>
      <c r="AZ6" s="1830">
        <f t="shared" si="16"/>
        <v>144813</v>
      </c>
      <c r="BA6" s="1863">
        <v>93807</v>
      </c>
      <c r="BB6" s="1863">
        <v>53839</v>
      </c>
      <c r="BC6" s="1863">
        <f t="shared" si="17"/>
        <v>147646</v>
      </c>
      <c r="BD6" s="1838">
        <v>95067</v>
      </c>
      <c r="BE6" s="1839">
        <v>56572</v>
      </c>
      <c r="BF6" s="1832">
        <f t="shared" si="18"/>
        <v>151639</v>
      </c>
      <c r="BG6" s="1863">
        <v>93439</v>
      </c>
      <c r="BH6" s="1863">
        <v>60146</v>
      </c>
      <c r="BI6" s="1863">
        <f t="shared" si="19"/>
        <v>153585</v>
      </c>
      <c r="BJ6" s="1865">
        <v>94232</v>
      </c>
      <c r="BK6" s="1866">
        <v>63616</v>
      </c>
      <c r="BL6" s="1866">
        <f t="shared" si="20"/>
        <v>157848</v>
      </c>
      <c r="BM6" s="1866">
        <v>99019</v>
      </c>
      <c r="BN6" s="1866">
        <v>69256</v>
      </c>
      <c r="BO6" s="1866">
        <f t="shared" si="21"/>
        <v>168275</v>
      </c>
      <c r="BP6" s="1866">
        <v>100512</v>
      </c>
      <c r="BQ6" s="1866">
        <v>72497</v>
      </c>
      <c r="BR6" s="1866">
        <f t="shared" si="22"/>
        <v>173009</v>
      </c>
      <c r="BS6" s="1866">
        <v>109287</v>
      </c>
      <c r="BT6" s="1866">
        <v>78905</v>
      </c>
      <c r="BU6" s="1866">
        <f t="shared" si="23"/>
        <v>188192</v>
      </c>
      <c r="BV6" s="1863">
        <v>114980</v>
      </c>
      <c r="BW6" s="1863">
        <v>84663</v>
      </c>
      <c r="BX6" s="1863">
        <f t="shared" si="24"/>
        <v>199643</v>
      </c>
      <c r="BY6" s="1863">
        <v>109410</v>
      </c>
      <c r="BZ6" s="1863">
        <v>78908</v>
      </c>
      <c r="CA6" s="1863">
        <v>120303</v>
      </c>
      <c r="CB6" s="1863">
        <v>91128</v>
      </c>
      <c r="CC6" s="1863">
        <f t="shared" si="25"/>
        <v>211431</v>
      </c>
      <c r="CD6" s="1863">
        <v>127829</v>
      </c>
      <c r="CE6" s="1863">
        <v>99266</v>
      </c>
      <c r="CF6" s="1863">
        <f t="shared" si="26"/>
        <v>227095</v>
      </c>
      <c r="CG6" s="1865">
        <v>131895</v>
      </c>
      <c r="CH6" s="1866">
        <v>106214</v>
      </c>
      <c r="CI6" s="1866">
        <f t="shared" si="27"/>
        <v>238109</v>
      </c>
      <c r="CJ6" s="1863">
        <v>131316</v>
      </c>
      <c r="CK6" s="1863">
        <v>105824</v>
      </c>
      <c r="CL6" s="1829">
        <v>135410</v>
      </c>
      <c r="CM6" s="1829">
        <v>113681</v>
      </c>
      <c r="CN6" s="1830">
        <f t="shared" si="28"/>
        <v>249091</v>
      </c>
      <c r="CO6" s="1863">
        <v>142921</v>
      </c>
      <c r="CP6" s="1863">
        <v>119635</v>
      </c>
      <c r="CQ6" s="1863">
        <f t="shared" si="29"/>
        <v>262556</v>
      </c>
      <c r="CR6" s="1838">
        <v>143982</v>
      </c>
      <c r="CS6" s="1839">
        <v>125157</v>
      </c>
      <c r="CT6" s="1832">
        <f t="shared" si="30"/>
        <v>269139</v>
      </c>
      <c r="CU6" s="1863">
        <v>146086</v>
      </c>
      <c r="CV6" s="1863">
        <v>128561</v>
      </c>
      <c r="CW6" s="1863">
        <f t="shared" si="31"/>
        <v>274647</v>
      </c>
      <c r="CX6" s="1865">
        <v>147445</v>
      </c>
      <c r="CY6" s="1866">
        <v>133565</v>
      </c>
      <c r="CZ6" s="1866">
        <f t="shared" si="32"/>
        <v>281010</v>
      </c>
      <c r="DA6" s="1866">
        <v>146419</v>
      </c>
      <c r="DB6" s="1866">
        <v>136414</v>
      </c>
      <c r="DC6" s="1866">
        <f t="shared" si="33"/>
        <v>282833</v>
      </c>
      <c r="DD6" s="1866">
        <v>157175</v>
      </c>
      <c r="DE6" s="1866">
        <v>144019</v>
      </c>
      <c r="DF6" s="1866">
        <f t="shared" si="34"/>
        <v>301194</v>
      </c>
      <c r="DG6" s="1866">
        <v>155264</v>
      </c>
      <c r="DH6" s="1866">
        <v>148015</v>
      </c>
      <c r="DI6" s="1866">
        <f t="shared" si="35"/>
        <v>303279</v>
      </c>
      <c r="DJ6" s="1863">
        <v>157630</v>
      </c>
      <c r="DK6" s="1863">
        <v>152589</v>
      </c>
      <c r="DL6" s="1863">
        <f t="shared" si="36"/>
        <v>310219</v>
      </c>
      <c r="DM6" s="1863">
        <v>161273</v>
      </c>
      <c r="DN6" s="1863">
        <v>157421</v>
      </c>
      <c r="DO6" s="1863">
        <f t="shared" si="37"/>
        <v>318694</v>
      </c>
      <c r="DP6" s="1863">
        <v>163455</v>
      </c>
      <c r="DQ6" s="1863">
        <v>163325</v>
      </c>
      <c r="DR6" s="1863">
        <f t="shared" si="38"/>
        <v>326780</v>
      </c>
      <c r="DS6" s="1865">
        <v>167405</v>
      </c>
      <c r="DT6" s="1866">
        <v>167611</v>
      </c>
      <c r="DU6" s="1866">
        <f t="shared" si="39"/>
        <v>335016</v>
      </c>
      <c r="DV6" s="1829">
        <v>170904</v>
      </c>
      <c r="DW6" s="1829">
        <v>172974</v>
      </c>
      <c r="DX6" s="1830">
        <f t="shared" si="40"/>
        <v>343878</v>
      </c>
      <c r="DY6" s="1863">
        <v>173323</v>
      </c>
      <c r="DZ6" s="1863">
        <v>176989</v>
      </c>
      <c r="EA6" s="1863">
        <f t="shared" si="41"/>
        <v>350312</v>
      </c>
      <c r="EB6" s="1838">
        <v>180268</v>
      </c>
      <c r="EC6" s="1839">
        <v>190276</v>
      </c>
      <c r="ED6" s="1832">
        <f t="shared" si="42"/>
        <v>370544</v>
      </c>
      <c r="EE6" s="1863">
        <v>181421</v>
      </c>
      <c r="EF6" s="1863">
        <v>187792</v>
      </c>
      <c r="EG6" s="1863">
        <f t="shared" si="43"/>
        <v>369213</v>
      </c>
      <c r="EH6" s="1865">
        <v>179750</v>
      </c>
      <c r="EI6" s="1866">
        <v>187582</v>
      </c>
      <c r="EJ6" s="1866">
        <f t="shared" si="44"/>
        <v>367332</v>
      </c>
      <c r="EK6" s="1866">
        <v>190431</v>
      </c>
      <c r="EL6" s="1866">
        <v>199807</v>
      </c>
      <c r="EM6" s="1866">
        <f t="shared" si="45"/>
        <v>390238</v>
      </c>
      <c r="EN6" s="1866">
        <v>190221</v>
      </c>
      <c r="EO6" s="1866">
        <v>200558</v>
      </c>
      <c r="EP6" s="1866">
        <f t="shared" si="46"/>
        <v>390779</v>
      </c>
      <c r="EQ6" s="1866">
        <v>191480</v>
      </c>
      <c r="ER6" s="1866">
        <v>205409</v>
      </c>
      <c r="ES6" s="1866">
        <f t="shared" si="47"/>
        <v>396889</v>
      </c>
      <c r="ET6" s="1863">
        <v>193313</v>
      </c>
      <c r="EU6" s="1863">
        <v>209008</v>
      </c>
      <c r="EV6" s="1863">
        <f t="shared" si="48"/>
        <v>402321</v>
      </c>
      <c r="EW6" s="1863">
        <v>198140</v>
      </c>
      <c r="EX6" s="1863">
        <v>212743</v>
      </c>
      <c r="EY6" s="1863">
        <f t="shared" si="49"/>
        <v>410883</v>
      </c>
      <c r="EZ6" s="1863">
        <v>194288</v>
      </c>
      <c r="FA6" s="1863">
        <v>216375</v>
      </c>
      <c r="FB6" s="1863">
        <f t="shared" si="50"/>
        <v>410663</v>
      </c>
      <c r="FC6" s="1865">
        <v>194649</v>
      </c>
      <c r="FD6" s="1866">
        <v>209939</v>
      </c>
      <c r="FE6" s="1866">
        <f t="shared" si="51"/>
        <v>404588</v>
      </c>
      <c r="FF6" s="1829">
        <v>195685</v>
      </c>
      <c r="FG6" s="1829">
        <v>211480</v>
      </c>
      <c r="FH6" s="1830">
        <f t="shared" si="52"/>
        <v>407165</v>
      </c>
      <c r="FI6" s="1863">
        <v>198126</v>
      </c>
      <c r="FJ6" s="1863">
        <v>213782</v>
      </c>
      <c r="FK6" s="1863">
        <f t="shared" si="53"/>
        <v>411908</v>
      </c>
      <c r="FL6" s="1838">
        <v>199786</v>
      </c>
      <c r="FM6" s="1839">
        <v>216627</v>
      </c>
      <c r="FN6" s="1832">
        <f t="shared" si="54"/>
        <v>416413</v>
      </c>
      <c r="FO6" s="1863">
        <v>199621</v>
      </c>
      <c r="FP6" s="1863">
        <v>215413</v>
      </c>
      <c r="FQ6" s="1863">
        <f t="shared" si="55"/>
        <v>415034</v>
      </c>
      <c r="FR6" s="1835">
        <v>200601</v>
      </c>
      <c r="FS6" s="1866">
        <v>217474</v>
      </c>
      <c r="FT6" s="1866">
        <f t="shared" si="56"/>
        <v>418075</v>
      </c>
      <c r="FU6" s="1866">
        <v>203294</v>
      </c>
      <c r="FV6" s="1866">
        <v>219450</v>
      </c>
      <c r="FW6" s="1866">
        <f t="shared" si="57"/>
        <v>422744</v>
      </c>
      <c r="FX6" s="1866">
        <v>199907</v>
      </c>
      <c r="FY6" s="1866">
        <v>218498</v>
      </c>
      <c r="FZ6" s="1866">
        <f t="shared" si="58"/>
        <v>418405</v>
      </c>
      <c r="GA6" s="1866">
        <v>201638</v>
      </c>
      <c r="GB6" s="1866">
        <v>220038</v>
      </c>
      <c r="GC6" s="1866">
        <f t="shared" si="59"/>
        <v>421676</v>
      </c>
      <c r="GD6" s="1863">
        <v>205908</v>
      </c>
      <c r="GE6" s="1863">
        <v>223974</v>
      </c>
      <c r="GF6" s="1863">
        <f t="shared" si="60"/>
        <v>429882</v>
      </c>
      <c r="GG6" s="1863">
        <v>202804</v>
      </c>
      <c r="GH6" s="1863">
        <v>219385</v>
      </c>
      <c r="GI6" s="1863">
        <f t="shared" si="61"/>
        <v>422189</v>
      </c>
      <c r="GJ6" s="1863">
        <v>205189</v>
      </c>
      <c r="GK6" s="1863">
        <v>220467</v>
      </c>
      <c r="GL6" s="1863">
        <f t="shared" si="62"/>
        <v>425656</v>
      </c>
      <c r="GM6" s="1865">
        <v>204590</v>
      </c>
      <c r="GN6" s="1866">
        <v>220020</v>
      </c>
      <c r="GO6" s="1866">
        <f t="shared" si="63"/>
        <v>424610</v>
      </c>
      <c r="GP6" s="1829">
        <v>207498</v>
      </c>
      <c r="GQ6" s="1829">
        <v>221504</v>
      </c>
      <c r="GR6" s="1830">
        <f t="shared" si="64"/>
        <v>429002</v>
      </c>
      <c r="GS6" s="1863">
        <v>206143</v>
      </c>
      <c r="GT6" s="1863">
        <v>219992</v>
      </c>
      <c r="GU6" s="1863">
        <f t="shared" si="65"/>
        <v>426135</v>
      </c>
      <c r="GV6" s="1838">
        <v>208692</v>
      </c>
      <c r="GW6" s="1839">
        <v>222835</v>
      </c>
      <c r="GX6" s="1832">
        <f t="shared" si="66"/>
        <v>431527</v>
      </c>
      <c r="GY6" s="1863">
        <v>211490</v>
      </c>
      <c r="GZ6" s="1863">
        <v>228892</v>
      </c>
      <c r="HA6" s="1863">
        <f t="shared" si="67"/>
        <v>440382</v>
      </c>
      <c r="HB6" s="1835">
        <v>210986</v>
      </c>
      <c r="HC6" s="1866">
        <v>227793</v>
      </c>
      <c r="HD6" s="1866">
        <f t="shared" si="68"/>
        <v>438779</v>
      </c>
      <c r="HE6" s="1866">
        <v>210326</v>
      </c>
      <c r="HF6" s="1866">
        <v>224707</v>
      </c>
      <c r="HG6" s="1866">
        <f t="shared" si="69"/>
        <v>435033</v>
      </c>
      <c r="HH6" s="1866">
        <v>208559</v>
      </c>
      <c r="HI6" s="1866">
        <v>226587</v>
      </c>
      <c r="HJ6" s="1866">
        <f t="shared" si="70"/>
        <v>435146</v>
      </c>
      <c r="HK6" s="1866">
        <v>210453</v>
      </c>
      <c r="HL6" s="1866">
        <v>226027</v>
      </c>
      <c r="HM6" s="1866">
        <f t="shared" si="71"/>
        <v>436480</v>
      </c>
      <c r="HN6" s="1863">
        <v>209680</v>
      </c>
      <c r="HO6" s="1863">
        <v>225867</v>
      </c>
      <c r="HP6" s="1863">
        <f t="shared" si="72"/>
        <v>435547</v>
      </c>
      <c r="HQ6" s="1863">
        <v>207898</v>
      </c>
      <c r="HR6" s="1863">
        <v>225039</v>
      </c>
      <c r="HS6" s="1863">
        <f t="shared" si="73"/>
        <v>432937</v>
      </c>
      <c r="HT6" s="1863">
        <v>211946</v>
      </c>
      <c r="HU6" s="1863">
        <v>227822</v>
      </c>
      <c r="HV6" s="1863">
        <f t="shared" si="74"/>
        <v>439768</v>
      </c>
      <c r="HW6" s="1867">
        <v>190292</v>
      </c>
      <c r="HX6" s="1868">
        <v>236952</v>
      </c>
      <c r="HY6" s="1866">
        <f t="shared" si="75"/>
        <v>427244</v>
      </c>
      <c r="HZ6" s="1830">
        <v>189346</v>
      </c>
      <c r="IA6" s="1830">
        <v>253816</v>
      </c>
      <c r="IB6" s="1830">
        <f t="shared" si="76"/>
        <v>443162</v>
      </c>
      <c r="IC6" s="1863">
        <v>191854</v>
      </c>
      <c r="ID6" s="1863">
        <v>268313</v>
      </c>
      <c r="IE6" s="1863">
        <f t="shared" si="77"/>
        <v>460167</v>
      </c>
      <c r="IF6" s="1831">
        <v>193640</v>
      </c>
      <c r="IG6" s="1832">
        <v>242951</v>
      </c>
      <c r="IH6" s="1832">
        <f t="shared" si="78"/>
        <v>436591</v>
      </c>
      <c r="II6" s="1812">
        <v>194406</v>
      </c>
      <c r="IJ6" s="1812">
        <v>261537</v>
      </c>
      <c r="IK6" s="1812">
        <f t="shared" si="79"/>
        <v>455943</v>
      </c>
      <c r="IL6" s="1812">
        <v>466017</v>
      </c>
    </row>
    <row r="7" spans="1:246">
      <c r="A7" s="1932" t="s">
        <v>1602</v>
      </c>
      <c r="B7" s="1863">
        <v>77622</v>
      </c>
      <c r="C7" s="1863">
        <v>70992</v>
      </c>
      <c r="D7" s="1863">
        <f t="shared" si="0"/>
        <v>148614</v>
      </c>
      <c r="E7" s="1864">
        <v>79729</v>
      </c>
      <c r="F7" s="1864">
        <v>71068</v>
      </c>
      <c r="G7" s="1864">
        <f t="shared" si="1"/>
        <v>150797</v>
      </c>
      <c r="H7" s="1864">
        <v>81514</v>
      </c>
      <c r="I7" s="1864">
        <v>73845</v>
      </c>
      <c r="J7" s="1864">
        <f t="shared" si="2"/>
        <v>155359</v>
      </c>
      <c r="K7" s="1825">
        <v>84534</v>
      </c>
      <c r="L7" s="1825">
        <v>76353</v>
      </c>
      <c r="M7" s="1825">
        <f t="shared" si="3"/>
        <v>160887</v>
      </c>
      <c r="N7" s="1827">
        <v>86617</v>
      </c>
      <c r="O7" s="1827">
        <v>78539</v>
      </c>
      <c r="P7" s="1827">
        <f t="shared" si="4"/>
        <v>165156</v>
      </c>
      <c r="Q7" s="1863">
        <v>84387</v>
      </c>
      <c r="R7" s="1863">
        <v>77975</v>
      </c>
      <c r="S7" s="1863">
        <f t="shared" si="5"/>
        <v>162362</v>
      </c>
      <c r="T7" s="1863">
        <v>86592</v>
      </c>
      <c r="U7" s="1863">
        <v>79416</v>
      </c>
      <c r="V7" s="1863">
        <f t="shared" si="6"/>
        <v>166008</v>
      </c>
      <c r="W7" s="1825">
        <v>88338</v>
      </c>
      <c r="X7" s="1825">
        <v>80584</v>
      </c>
      <c r="Y7" s="1825">
        <f t="shared" si="7"/>
        <v>168922</v>
      </c>
      <c r="Z7" s="1825">
        <v>87428</v>
      </c>
      <c r="AA7" s="1825">
        <v>81181</v>
      </c>
      <c r="AB7" s="1825">
        <f t="shared" si="8"/>
        <v>168609</v>
      </c>
      <c r="AC7" s="1828">
        <v>88887</v>
      </c>
      <c r="AD7" s="1828">
        <v>82886</v>
      </c>
      <c r="AE7" s="1828">
        <f t="shared" si="9"/>
        <v>171773</v>
      </c>
      <c r="AF7" s="1830">
        <v>89014</v>
      </c>
      <c r="AG7" s="1830">
        <v>84396</v>
      </c>
      <c r="AH7" s="1830">
        <f t="shared" si="10"/>
        <v>173410</v>
      </c>
      <c r="AI7" s="1830">
        <v>89329</v>
      </c>
      <c r="AJ7" s="1830">
        <v>80383</v>
      </c>
      <c r="AK7" s="1830">
        <f t="shared" si="11"/>
        <v>169712</v>
      </c>
      <c r="AL7" s="1863">
        <v>90446</v>
      </c>
      <c r="AM7" s="1863">
        <v>82688</v>
      </c>
      <c r="AN7" s="1863">
        <f t="shared" si="12"/>
        <v>173134</v>
      </c>
      <c r="AO7" s="1830">
        <v>92895</v>
      </c>
      <c r="AP7" s="1830">
        <v>84287</v>
      </c>
      <c r="AQ7" s="1830">
        <f t="shared" si="13"/>
        <v>177182</v>
      </c>
      <c r="AR7" s="1830">
        <v>96746</v>
      </c>
      <c r="AS7" s="1830">
        <v>86943</v>
      </c>
      <c r="AT7" s="1830">
        <f t="shared" si="14"/>
        <v>183689</v>
      </c>
      <c r="AU7" s="1830">
        <v>98991</v>
      </c>
      <c r="AV7" s="1830">
        <v>91158</v>
      </c>
      <c r="AW7" s="1830">
        <f t="shared" si="15"/>
        <v>190149</v>
      </c>
      <c r="AX7" s="1830">
        <v>101109</v>
      </c>
      <c r="AY7" s="1830">
        <v>94922</v>
      </c>
      <c r="AZ7" s="1830">
        <f t="shared" si="16"/>
        <v>196031</v>
      </c>
      <c r="BA7" s="1863">
        <v>103057</v>
      </c>
      <c r="BB7" s="1863">
        <v>98137</v>
      </c>
      <c r="BC7" s="1863">
        <f t="shared" si="17"/>
        <v>201194</v>
      </c>
      <c r="BD7" s="1831">
        <v>102887</v>
      </c>
      <c r="BE7" s="1832">
        <v>100052</v>
      </c>
      <c r="BF7" s="1832">
        <f t="shared" si="18"/>
        <v>202939</v>
      </c>
      <c r="BG7" s="1863">
        <v>104532</v>
      </c>
      <c r="BH7" s="1863">
        <v>102932</v>
      </c>
      <c r="BI7" s="1863">
        <f t="shared" si="19"/>
        <v>207464</v>
      </c>
      <c r="BJ7" s="1865">
        <v>105497</v>
      </c>
      <c r="BK7" s="1866">
        <v>104286</v>
      </c>
      <c r="BL7" s="1866">
        <f t="shared" si="20"/>
        <v>209783</v>
      </c>
      <c r="BM7" s="1866">
        <v>108046</v>
      </c>
      <c r="BN7" s="1866">
        <v>107964</v>
      </c>
      <c r="BO7" s="1866">
        <f t="shared" si="21"/>
        <v>216010</v>
      </c>
      <c r="BP7" s="1866">
        <v>108119</v>
      </c>
      <c r="BQ7" s="1866">
        <v>109170</v>
      </c>
      <c r="BR7" s="1866">
        <f t="shared" si="22"/>
        <v>217289</v>
      </c>
      <c r="BS7" s="1866">
        <v>110820</v>
      </c>
      <c r="BT7" s="1866">
        <v>112578</v>
      </c>
      <c r="BU7" s="1866">
        <f t="shared" si="23"/>
        <v>223398</v>
      </c>
      <c r="BV7" s="1863">
        <v>114793</v>
      </c>
      <c r="BW7" s="1863">
        <v>116710</v>
      </c>
      <c r="BX7" s="1863">
        <f t="shared" si="24"/>
        <v>231503</v>
      </c>
      <c r="BY7" s="1863">
        <v>111464</v>
      </c>
      <c r="BZ7" s="1863">
        <v>113263</v>
      </c>
      <c r="CA7" s="1863">
        <v>115844</v>
      </c>
      <c r="CB7" s="1863">
        <v>119257</v>
      </c>
      <c r="CC7" s="1863">
        <f t="shared" si="25"/>
        <v>235101</v>
      </c>
      <c r="CD7" s="1863">
        <v>113451</v>
      </c>
      <c r="CE7" s="1863">
        <v>118420</v>
      </c>
      <c r="CF7" s="1863">
        <f t="shared" si="26"/>
        <v>231871</v>
      </c>
      <c r="CG7" s="1865">
        <v>119044</v>
      </c>
      <c r="CH7" s="1866">
        <v>123337</v>
      </c>
      <c r="CI7" s="1866">
        <f t="shared" si="27"/>
        <v>242381</v>
      </c>
      <c r="CJ7" s="1863">
        <v>118643</v>
      </c>
      <c r="CK7" s="1863">
        <v>123185</v>
      </c>
      <c r="CL7" s="1830">
        <v>120882</v>
      </c>
      <c r="CM7" s="1830">
        <v>126086</v>
      </c>
      <c r="CN7" s="1830">
        <f t="shared" si="28"/>
        <v>246968</v>
      </c>
      <c r="CO7" s="1863">
        <v>127287</v>
      </c>
      <c r="CP7" s="1863">
        <v>130808</v>
      </c>
      <c r="CQ7" s="1863">
        <f t="shared" si="29"/>
        <v>258095</v>
      </c>
      <c r="CR7" s="1831">
        <v>126321</v>
      </c>
      <c r="CS7" s="1832">
        <v>131712</v>
      </c>
      <c r="CT7" s="1832">
        <f t="shared" si="30"/>
        <v>258033</v>
      </c>
      <c r="CU7" s="1863">
        <v>130159</v>
      </c>
      <c r="CV7" s="1863">
        <v>136763</v>
      </c>
      <c r="CW7" s="1863">
        <f t="shared" si="31"/>
        <v>266922</v>
      </c>
      <c r="CX7" s="1865">
        <v>129637</v>
      </c>
      <c r="CY7" s="1866">
        <v>136945</v>
      </c>
      <c r="CZ7" s="1866">
        <f t="shared" si="32"/>
        <v>266582</v>
      </c>
      <c r="DA7" s="1866">
        <v>130792</v>
      </c>
      <c r="DB7" s="1866">
        <v>138822</v>
      </c>
      <c r="DC7" s="1866">
        <f t="shared" si="33"/>
        <v>269614</v>
      </c>
      <c r="DD7" s="1866">
        <v>134117</v>
      </c>
      <c r="DE7" s="1866">
        <v>141664</v>
      </c>
      <c r="DF7" s="1866">
        <f t="shared" si="34"/>
        <v>275781</v>
      </c>
      <c r="DG7" s="1866">
        <v>134912</v>
      </c>
      <c r="DH7" s="1866">
        <v>144224</v>
      </c>
      <c r="DI7" s="1866">
        <f t="shared" si="35"/>
        <v>279136</v>
      </c>
      <c r="DJ7" s="1863">
        <v>137034</v>
      </c>
      <c r="DK7" s="1863">
        <v>147675</v>
      </c>
      <c r="DL7" s="1863">
        <f t="shared" si="36"/>
        <v>284709</v>
      </c>
      <c r="DM7" s="1863">
        <v>139133</v>
      </c>
      <c r="DN7" s="1863">
        <v>150163</v>
      </c>
      <c r="DO7" s="1863">
        <f t="shared" si="37"/>
        <v>289296</v>
      </c>
      <c r="DP7" s="1863">
        <v>141136</v>
      </c>
      <c r="DQ7" s="1863">
        <v>153552</v>
      </c>
      <c r="DR7" s="1863">
        <f t="shared" si="38"/>
        <v>294688</v>
      </c>
      <c r="DS7" s="1865">
        <v>143190</v>
      </c>
      <c r="DT7" s="1866">
        <v>155949</v>
      </c>
      <c r="DU7" s="1866">
        <f t="shared" si="39"/>
        <v>299139</v>
      </c>
      <c r="DV7" s="1830">
        <v>142396</v>
      </c>
      <c r="DW7" s="1830">
        <v>155890</v>
      </c>
      <c r="DX7" s="1830">
        <f t="shared" si="40"/>
        <v>298286</v>
      </c>
      <c r="DY7" s="1863">
        <v>143102</v>
      </c>
      <c r="DZ7" s="1863">
        <v>156684</v>
      </c>
      <c r="EA7" s="1863">
        <f t="shared" si="41"/>
        <v>299786</v>
      </c>
      <c r="EB7" s="1831">
        <v>147004</v>
      </c>
      <c r="EC7" s="1832">
        <v>160987</v>
      </c>
      <c r="ED7" s="1832">
        <f t="shared" si="42"/>
        <v>307991</v>
      </c>
      <c r="EE7" s="1863">
        <v>148486</v>
      </c>
      <c r="EF7" s="1863">
        <v>166072</v>
      </c>
      <c r="EG7" s="1863">
        <f t="shared" si="43"/>
        <v>314558</v>
      </c>
      <c r="EH7" s="1865">
        <v>147012</v>
      </c>
      <c r="EI7" s="1866">
        <v>164216</v>
      </c>
      <c r="EJ7" s="1866">
        <f t="shared" si="44"/>
        <v>311228</v>
      </c>
      <c r="EK7" s="1866">
        <v>149762</v>
      </c>
      <c r="EL7" s="1866">
        <v>168280</v>
      </c>
      <c r="EM7" s="1866">
        <f t="shared" si="45"/>
        <v>318042</v>
      </c>
      <c r="EN7" s="1866">
        <v>150456</v>
      </c>
      <c r="EO7" s="1866">
        <v>169106</v>
      </c>
      <c r="EP7" s="1866">
        <f t="shared" si="46"/>
        <v>319562</v>
      </c>
      <c r="EQ7" s="1866">
        <v>151758</v>
      </c>
      <c r="ER7" s="1866">
        <v>172622</v>
      </c>
      <c r="ES7" s="1866">
        <f t="shared" si="47"/>
        <v>324380</v>
      </c>
      <c r="ET7" s="1863">
        <v>151755</v>
      </c>
      <c r="EU7" s="1863">
        <v>173923</v>
      </c>
      <c r="EV7" s="1863">
        <f t="shared" si="48"/>
        <v>325678</v>
      </c>
      <c r="EW7" s="1863">
        <v>152076</v>
      </c>
      <c r="EX7" s="1863">
        <v>173442</v>
      </c>
      <c r="EY7" s="1863">
        <f t="shared" si="49"/>
        <v>325518</v>
      </c>
      <c r="EZ7" s="1863">
        <v>152131</v>
      </c>
      <c r="FA7" s="1863">
        <v>174897</v>
      </c>
      <c r="FB7" s="1863">
        <f t="shared" si="50"/>
        <v>327028</v>
      </c>
      <c r="FC7" s="1865">
        <v>153793</v>
      </c>
      <c r="FD7" s="1866">
        <v>177740</v>
      </c>
      <c r="FE7" s="1866">
        <f t="shared" si="51"/>
        <v>331533</v>
      </c>
      <c r="FF7" s="1830">
        <v>154821</v>
      </c>
      <c r="FG7" s="1830">
        <v>179856</v>
      </c>
      <c r="FH7" s="1830">
        <f t="shared" si="52"/>
        <v>334677</v>
      </c>
      <c r="FI7" s="1863">
        <v>156240</v>
      </c>
      <c r="FJ7" s="1863">
        <v>182355</v>
      </c>
      <c r="FK7" s="1863">
        <f t="shared" si="53"/>
        <v>338595</v>
      </c>
      <c r="FL7" s="1831">
        <v>157706</v>
      </c>
      <c r="FM7" s="1832">
        <v>185585</v>
      </c>
      <c r="FN7" s="1832">
        <f t="shared" si="54"/>
        <v>343291</v>
      </c>
      <c r="FO7" s="1863">
        <v>159789</v>
      </c>
      <c r="FP7" s="1863">
        <v>188142</v>
      </c>
      <c r="FQ7" s="1863">
        <f t="shared" si="55"/>
        <v>347931</v>
      </c>
      <c r="FR7" s="1835">
        <v>160872</v>
      </c>
      <c r="FS7" s="1866">
        <v>190213</v>
      </c>
      <c r="FT7" s="1866">
        <f t="shared" si="56"/>
        <v>351085</v>
      </c>
      <c r="FU7" s="1866">
        <v>162239</v>
      </c>
      <c r="FV7" s="1866">
        <v>192653</v>
      </c>
      <c r="FW7" s="1866">
        <f t="shared" si="57"/>
        <v>354892</v>
      </c>
      <c r="FX7" s="1866">
        <v>161587</v>
      </c>
      <c r="FY7" s="1866">
        <v>193664</v>
      </c>
      <c r="FZ7" s="1866">
        <f t="shared" si="58"/>
        <v>355251</v>
      </c>
      <c r="GA7" s="1866">
        <v>166828</v>
      </c>
      <c r="GB7" s="1866">
        <v>199134</v>
      </c>
      <c r="GC7" s="1866">
        <f t="shared" si="59"/>
        <v>365962</v>
      </c>
      <c r="GD7" s="1863">
        <v>170008</v>
      </c>
      <c r="GE7" s="1863">
        <v>204651</v>
      </c>
      <c r="GF7" s="1863">
        <f t="shared" si="60"/>
        <v>374659</v>
      </c>
      <c r="GG7" s="1863">
        <v>169225</v>
      </c>
      <c r="GH7" s="1863">
        <v>205465</v>
      </c>
      <c r="GI7" s="1863">
        <f t="shared" si="61"/>
        <v>374690</v>
      </c>
      <c r="GJ7" s="1863">
        <v>171385</v>
      </c>
      <c r="GK7" s="1863">
        <v>207768</v>
      </c>
      <c r="GL7" s="1863">
        <f t="shared" si="62"/>
        <v>379153</v>
      </c>
      <c r="GM7" s="1865">
        <v>174246</v>
      </c>
      <c r="GN7" s="1866">
        <v>211503</v>
      </c>
      <c r="GO7" s="1866">
        <f t="shared" si="63"/>
        <v>385749</v>
      </c>
      <c r="GP7" s="1830">
        <v>174455</v>
      </c>
      <c r="GQ7" s="1830">
        <v>212658</v>
      </c>
      <c r="GR7" s="1830">
        <f t="shared" si="64"/>
        <v>387113</v>
      </c>
      <c r="GS7" s="1863">
        <v>177441</v>
      </c>
      <c r="GT7" s="1863">
        <v>216085</v>
      </c>
      <c r="GU7" s="1863">
        <f t="shared" si="65"/>
        <v>393526</v>
      </c>
      <c r="GV7" s="1831">
        <v>178725</v>
      </c>
      <c r="GW7" s="1832">
        <v>218399</v>
      </c>
      <c r="GX7" s="1832">
        <f t="shared" si="66"/>
        <v>397124</v>
      </c>
      <c r="GY7" s="1863">
        <v>186442</v>
      </c>
      <c r="GZ7" s="1863">
        <v>221126</v>
      </c>
      <c r="HA7" s="1863">
        <f t="shared" si="67"/>
        <v>407568</v>
      </c>
      <c r="HB7" s="1835">
        <v>181135</v>
      </c>
      <c r="HC7" s="1866">
        <v>223467</v>
      </c>
      <c r="HD7" s="1866">
        <f t="shared" si="68"/>
        <v>404602</v>
      </c>
      <c r="HE7" s="1866">
        <v>182649</v>
      </c>
      <c r="HF7" s="1866">
        <v>225078</v>
      </c>
      <c r="HG7" s="1866">
        <f t="shared" si="69"/>
        <v>407727</v>
      </c>
      <c r="HH7" s="1866">
        <v>184327</v>
      </c>
      <c r="HI7" s="1866">
        <v>229474</v>
      </c>
      <c r="HJ7" s="1866">
        <f t="shared" si="70"/>
        <v>413801</v>
      </c>
      <c r="HK7" s="1866">
        <v>185775</v>
      </c>
      <c r="HL7" s="1866">
        <v>229789</v>
      </c>
      <c r="HM7" s="1866">
        <f t="shared" si="71"/>
        <v>415564</v>
      </c>
      <c r="HN7" s="1863">
        <v>185505</v>
      </c>
      <c r="HO7" s="1863">
        <v>230543</v>
      </c>
      <c r="HP7" s="1863">
        <f t="shared" si="72"/>
        <v>416048</v>
      </c>
      <c r="HQ7" s="1863">
        <v>184085</v>
      </c>
      <c r="HR7" s="1863">
        <v>230478</v>
      </c>
      <c r="HS7" s="1863">
        <f t="shared" si="73"/>
        <v>414563</v>
      </c>
      <c r="HT7" s="1863">
        <v>190221</v>
      </c>
      <c r="HU7" s="1863">
        <v>243548</v>
      </c>
      <c r="HV7" s="1863">
        <f t="shared" si="74"/>
        <v>433769</v>
      </c>
      <c r="HW7" s="1867">
        <v>210929</v>
      </c>
      <c r="HX7" s="1868">
        <v>225669</v>
      </c>
      <c r="HY7" s="1866">
        <f t="shared" si="75"/>
        <v>436598</v>
      </c>
      <c r="HZ7" s="1829">
        <v>208495</v>
      </c>
      <c r="IA7" s="1829">
        <v>224590</v>
      </c>
      <c r="IB7" s="1830">
        <f t="shared" si="76"/>
        <v>433085</v>
      </c>
      <c r="IC7" s="1863">
        <v>207372</v>
      </c>
      <c r="ID7" s="1863">
        <v>223257</v>
      </c>
      <c r="IE7" s="1863">
        <f t="shared" si="77"/>
        <v>430629</v>
      </c>
      <c r="IF7" s="1838">
        <v>208524</v>
      </c>
      <c r="IG7" s="1839">
        <v>224881</v>
      </c>
      <c r="IH7" s="1832">
        <f t="shared" si="78"/>
        <v>433405</v>
      </c>
      <c r="II7" s="1812">
        <v>213288</v>
      </c>
      <c r="IJ7" s="1812">
        <v>229216</v>
      </c>
      <c r="IK7" s="1812">
        <f t="shared" si="79"/>
        <v>442504</v>
      </c>
      <c r="IL7" s="1812">
        <v>473666</v>
      </c>
    </row>
    <row r="8" spans="1:246">
      <c r="A8" s="1932" t="s">
        <v>1839</v>
      </c>
      <c r="B8" s="1863">
        <v>78836</v>
      </c>
      <c r="C8" s="1863">
        <v>70409</v>
      </c>
      <c r="D8" s="1863">
        <f t="shared" si="0"/>
        <v>149245</v>
      </c>
      <c r="E8" s="1864">
        <v>80233</v>
      </c>
      <c r="F8" s="1864">
        <v>70065</v>
      </c>
      <c r="G8" s="1864">
        <f t="shared" si="1"/>
        <v>150298</v>
      </c>
      <c r="H8" s="1864">
        <v>81099</v>
      </c>
      <c r="I8" s="1864">
        <v>71162</v>
      </c>
      <c r="J8" s="1864">
        <f t="shared" si="2"/>
        <v>152261</v>
      </c>
      <c r="K8" s="1825">
        <v>82797</v>
      </c>
      <c r="L8" s="1825">
        <v>71730</v>
      </c>
      <c r="M8" s="1825">
        <f t="shared" si="3"/>
        <v>154527</v>
      </c>
      <c r="N8" s="1826">
        <v>86852</v>
      </c>
      <c r="O8" s="1826">
        <v>73189</v>
      </c>
      <c r="P8" s="1827">
        <f t="shared" si="4"/>
        <v>160041</v>
      </c>
      <c r="Q8" s="1863">
        <v>87378</v>
      </c>
      <c r="R8" s="1863">
        <v>74826</v>
      </c>
      <c r="S8" s="1863">
        <f t="shared" si="5"/>
        <v>162204</v>
      </c>
      <c r="T8" s="1863">
        <v>90029</v>
      </c>
      <c r="U8" s="1863">
        <v>76375</v>
      </c>
      <c r="V8" s="1863">
        <f t="shared" si="6"/>
        <v>166404</v>
      </c>
      <c r="W8" s="1825">
        <v>92099</v>
      </c>
      <c r="X8" s="1825">
        <v>77149</v>
      </c>
      <c r="Y8" s="1825">
        <f t="shared" si="7"/>
        <v>169248</v>
      </c>
      <c r="Z8" s="1825">
        <v>91397</v>
      </c>
      <c r="AA8" s="1825">
        <v>78229</v>
      </c>
      <c r="AB8" s="1825">
        <f t="shared" si="8"/>
        <v>169626</v>
      </c>
      <c r="AC8" s="1828">
        <v>91863</v>
      </c>
      <c r="AD8" s="1828">
        <v>79159</v>
      </c>
      <c r="AE8" s="1828">
        <f t="shared" si="9"/>
        <v>171022</v>
      </c>
      <c r="AF8" s="1830">
        <v>91599</v>
      </c>
      <c r="AG8" s="1830">
        <v>80418</v>
      </c>
      <c r="AH8" s="1830">
        <f t="shared" si="10"/>
        <v>172017</v>
      </c>
      <c r="AI8" s="1830">
        <v>92999</v>
      </c>
      <c r="AJ8" s="1830">
        <v>75628</v>
      </c>
      <c r="AK8" s="1830">
        <f t="shared" si="11"/>
        <v>168627</v>
      </c>
      <c r="AL8" s="1863">
        <v>94060</v>
      </c>
      <c r="AM8" s="1863">
        <v>76849</v>
      </c>
      <c r="AN8" s="1863">
        <f t="shared" si="12"/>
        <v>170909</v>
      </c>
      <c r="AO8" s="1830">
        <v>97266</v>
      </c>
      <c r="AP8" s="1830">
        <v>79384</v>
      </c>
      <c r="AQ8" s="1830">
        <f t="shared" si="13"/>
        <v>176650</v>
      </c>
      <c r="AR8" s="1830">
        <v>100613</v>
      </c>
      <c r="AS8" s="1830">
        <v>82099</v>
      </c>
      <c r="AT8" s="1830">
        <f t="shared" si="14"/>
        <v>182712</v>
      </c>
      <c r="AU8" s="1830">
        <v>102625</v>
      </c>
      <c r="AV8" s="1830">
        <v>87054</v>
      </c>
      <c r="AW8" s="1830">
        <f t="shared" si="15"/>
        <v>189679</v>
      </c>
      <c r="AX8" s="1830">
        <v>105233</v>
      </c>
      <c r="AY8" s="1830">
        <v>92825</v>
      </c>
      <c r="AZ8" s="1830">
        <f t="shared" si="16"/>
        <v>198058</v>
      </c>
      <c r="BA8" s="1863">
        <v>107468</v>
      </c>
      <c r="BB8" s="1863">
        <v>95498</v>
      </c>
      <c r="BC8" s="1863">
        <f t="shared" si="17"/>
        <v>202966</v>
      </c>
      <c r="BD8" s="1831">
        <v>106709</v>
      </c>
      <c r="BE8" s="1832">
        <v>96348</v>
      </c>
      <c r="BF8" s="1832">
        <f t="shared" si="18"/>
        <v>203057</v>
      </c>
      <c r="BG8" s="1863">
        <v>109849</v>
      </c>
      <c r="BH8" s="1863">
        <v>99971</v>
      </c>
      <c r="BI8" s="1863">
        <f t="shared" si="19"/>
        <v>209820</v>
      </c>
      <c r="BJ8" s="1865">
        <v>109857</v>
      </c>
      <c r="BK8" s="1866">
        <v>101032</v>
      </c>
      <c r="BL8" s="1866">
        <f t="shared" si="20"/>
        <v>210889</v>
      </c>
      <c r="BM8" s="1866">
        <v>111229</v>
      </c>
      <c r="BN8" s="1866">
        <v>106181</v>
      </c>
      <c r="BO8" s="1866">
        <f t="shared" si="21"/>
        <v>217410</v>
      </c>
      <c r="BP8" s="1866">
        <v>109464</v>
      </c>
      <c r="BQ8" s="1866">
        <v>106347</v>
      </c>
      <c r="BR8" s="1866">
        <f t="shared" si="22"/>
        <v>215811</v>
      </c>
      <c r="BS8" s="1866">
        <v>111873</v>
      </c>
      <c r="BT8" s="1866">
        <v>109222</v>
      </c>
      <c r="BU8" s="1866">
        <f t="shared" si="23"/>
        <v>221095</v>
      </c>
      <c r="BV8" s="1863">
        <v>112021</v>
      </c>
      <c r="BW8" s="1863">
        <v>110670</v>
      </c>
      <c r="BX8" s="1863">
        <f t="shared" si="24"/>
        <v>222691</v>
      </c>
      <c r="BY8" s="1863">
        <v>112075</v>
      </c>
      <c r="BZ8" s="1863">
        <v>109569</v>
      </c>
      <c r="CA8" s="1863">
        <v>110291</v>
      </c>
      <c r="CB8" s="1863">
        <v>110848</v>
      </c>
      <c r="CC8" s="1863">
        <f t="shared" si="25"/>
        <v>221139</v>
      </c>
      <c r="CD8" s="1863">
        <v>110480</v>
      </c>
      <c r="CE8" s="1863">
        <v>112585</v>
      </c>
      <c r="CF8" s="1863">
        <f t="shared" si="26"/>
        <v>223065</v>
      </c>
      <c r="CG8" s="1865">
        <v>110825</v>
      </c>
      <c r="CH8" s="1866">
        <v>114564</v>
      </c>
      <c r="CI8" s="1866">
        <f t="shared" si="27"/>
        <v>225389</v>
      </c>
      <c r="CJ8" s="1863">
        <v>110121</v>
      </c>
      <c r="CK8" s="1863">
        <v>114039</v>
      </c>
      <c r="CL8" s="1830">
        <v>111704</v>
      </c>
      <c r="CM8" s="1830">
        <v>115793</v>
      </c>
      <c r="CN8" s="1830">
        <f t="shared" si="28"/>
        <v>227497</v>
      </c>
      <c r="CO8" s="1863">
        <v>119561</v>
      </c>
      <c r="CP8" s="1863">
        <v>121812</v>
      </c>
      <c r="CQ8" s="1863">
        <f t="shared" si="29"/>
        <v>241373</v>
      </c>
      <c r="CR8" s="1831">
        <v>115508</v>
      </c>
      <c r="CS8" s="1832">
        <v>121429</v>
      </c>
      <c r="CT8" s="1832">
        <f t="shared" si="30"/>
        <v>236937</v>
      </c>
      <c r="CU8" s="1863">
        <v>115796</v>
      </c>
      <c r="CV8" s="1863">
        <v>122006</v>
      </c>
      <c r="CW8" s="1863">
        <f t="shared" si="31"/>
        <v>237802</v>
      </c>
      <c r="CX8" s="1865">
        <v>114915</v>
      </c>
      <c r="CY8" s="1866">
        <v>122776</v>
      </c>
      <c r="CZ8" s="1866">
        <f t="shared" si="32"/>
        <v>237691</v>
      </c>
      <c r="DA8" s="1866">
        <v>114398</v>
      </c>
      <c r="DB8" s="1866">
        <v>123503</v>
      </c>
      <c r="DC8" s="1866">
        <f t="shared" si="33"/>
        <v>237901</v>
      </c>
      <c r="DD8" s="1866">
        <v>114746</v>
      </c>
      <c r="DE8" s="1866">
        <v>123581</v>
      </c>
      <c r="DF8" s="1866">
        <f t="shared" si="34"/>
        <v>238327</v>
      </c>
      <c r="DG8" s="1866">
        <v>115847</v>
      </c>
      <c r="DH8" s="1866">
        <v>126638</v>
      </c>
      <c r="DI8" s="1866">
        <f t="shared" si="35"/>
        <v>242485</v>
      </c>
      <c r="DJ8" s="1863">
        <v>114141</v>
      </c>
      <c r="DK8" s="1863">
        <v>125974</v>
      </c>
      <c r="DL8" s="1863">
        <f t="shared" si="36"/>
        <v>240115</v>
      </c>
      <c r="DM8" s="1863">
        <v>115203</v>
      </c>
      <c r="DN8" s="1863">
        <v>127429</v>
      </c>
      <c r="DO8" s="1863">
        <f t="shared" si="37"/>
        <v>242632</v>
      </c>
      <c r="DP8" s="1863">
        <v>115558</v>
      </c>
      <c r="DQ8" s="1863">
        <v>128854</v>
      </c>
      <c r="DR8" s="1863">
        <f t="shared" si="38"/>
        <v>244412</v>
      </c>
      <c r="DS8" s="1865">
        <v>116142</v>
      </c>
      <c r="DT8" s="1866">
        <v>131757</v>
      </c>
      <c r="DU8" s="1866">
        <f t="shared" si="39"/>
        <v>247899</v>
      </c>
      <c r="DV8" s="1830">
        <v>115969</v>
      </c>
      <c r="DW8" s="1830">
        <v>128933</v>
      </c>
      <c r="DX8" s="1830">
        <f t="shared" si="40"/>
        <v>244902</v>
      </c>
      <c r="DY8" s="1863">
        <v>116334</v>
      </c>
      <c r="DZ8" s="1863">
        <v>129882</v>
      </c>
      <c r="EA8" s="1863">
        <f t="shared" si="41"/>
        <v>246216</v>
      </c>
      <c r="EB8" s="1831">
        <v>120546</v>
      </c>
      <c r="EC8" s="1832">
        <v>133893</v>
      </c>
      <c r="ED8" s="1832">
        <f t="shared" si="42"/>
        <v>254439</v>
      </c>
      <c r="EE8" s="1863">
        <v>118001</v>
      </c>
      <c r="EF8" s="1863">
        <v>132878</v>
      </c>
      <c r="EG8" s="1863">
        <f t="shared" si="43"/>
        <v>250879</v>
      </c>
      <c r="EH8" s="1865">
        <v>116814</v>
      </c>
      <c r="EI8" s="1866">
        <v>132502</v>
      </c>
      <c r="EJ8" s="1866">
        <f t="shared" si="44"/>
        <v>249316</v>
      </c>
      <c r="EK8" s="1866">
        <v>117945</v>
      </c>
      <c r="EL8" s="1866">
        <v>134561</v>
      </c>
      <c r="EM8" s="1866">
        <f t="shared" si="45"/>
        <v>252506</v>
      </c>
      <c r="EN8" s="1866">
        <v>118085</v>
      </c>
      <c r="EO8" s="1866">
        <v>136047</v>
      </c>
      <c r="EP8" s="1866">
        <f t="shared" si="46"/>
        <v>254132</v>
      </c>
      <c r="EQ8" s="1866">
        <v>118898</v>
      </c>
      <c r="ER8" s="1866">
        <v>137923</v>
      </c>
      <c r="ES8" s="1866">
        <f t="shared" si="47"/>
        <v>256821</v>
      </c>
      <c r="ET8" s="1863">
        <v>119155</v>
      </c>
      <c r="EU8" s="1863">
        <v>139673</v>
      </c>
      <c r="EV8" s="1863">
        <f t="shared" si="48"/>
        <v>258828</v>
      </c>
      <c r="EW8" s="1863">
        <v>118559</v>
      </c>
      <c r="EX8" s="1863">
        <v>138986</v>
      </c>
      <c r="EY8" s="1863">
        <f t="shared" si="49"/>
        <v>257545</v>
      </c>
      <c r="EZ8" s="1863">
        <v>118985</v>
      </c>
      <c r="FA8" s="1863">
        <v>140529</v>
      </c>
      <c r="FB8" s="1863">
        <f t="shared" si="50"/>
        <v>259514</v>
      </c>
      <c r="FC8" s="1865">
        <v>119156</v>
      </c>
      <c r="FD8" s="1866">
        <v>139876</v>
      </c>
      <c r="FE8" s="1866">
        <f t="shared" si="51"/>
        <v>259032</v>
      </c>
      <c r="FF8" s="1830">
        <v>117721</v>
      </c>
      <c r="FG8" s="1830">
        <v>138341</v>
      </c>
      <c r="FH8" s="1830">
        <f t="shared" si="52"/>
        <v>256062</v>
      </c>
      <c r="FI8" s="1863">
        <v>119897</v>
      </c>
      <c r="FJ8" s="1863">
        <v>141457</v>
      </c>
      <c r="FK8" s="1863">
        <f t="shared" si="53"/>
        <v>261354</v>
      </c>
      <c r="FL8" s="1831">
        <v>120201</v>
      </c>
      <c r="FM8" s="1832">
        <v>141936</v>
      </c>
      <c r="FN8" s="1832">
        <f t="shared" si="54"/>
        <v>262137</v>
      </c>
      <c r="FO8" s="1863">
        <v>118810</v>
      </c>
      <c r="FP8" s="1863">
        <v>140979</v>
      </c>
      <c r="FQ8" s="1863">
        <f t="shared" si="55"/>
        <v>259789</v>
      </c>
      <c r="FR8" s="1835">
        <v>118622</v>
      </c>
      <c r="FS8" s="1866">
        <v>141283</v>
      </c>
      <c r="FT8" s="1866">
        <f t="shared" si="56"/>
        <v>259905</v>
      </c>
      <c r="FU8" s="1866">
        <v>119367</v>
      </c>
      <c r="FV8" s="1866">
        <v>142737</v>
      </c>
      <c r="FW8" s="1866">
        <f t="shared" si="57"/>
        <v>262104</v>
      </c>
      <c r="FX8" s="1866">
        <v>116623</v>
      </c>
      <c r="FY8" s="1866">
        <v>140682</v>
      </c>
      <c r="FZ8" s="1866">
        <f t="shared" si="58"/>
        <v>257305</v>
      </c>
      <c r="GA8" s="1866">
        <v>120210</v>
      </c>
      <c r="GB8" s="1866">
        <v>144319</v>
      </c>
      <c r="GC8" s="1866">
        <f t="shared" si="59"/>
        <v>264529</v>
      </c>
      <c r="GD8" s="1863">
        <v>119681</v>
      </c>
      <c r="GE8" s="1863">
        <v>144314</v>
      </c>
      <c r="GF8" s="1863">
        <f t="shared" si="60"/>
        <v>263995</v>
      </c>
      <c r="GG8" s="1863">
        <v>150195</v>
      </c>
      <c r="GH8" s="1863">
        <v>180076</v>
      </c>
      <c r="GI8" s="1863">
        <f t="shared" si="61"/>
        <v>330271</v>
      </c>
      <c r="GJ8" s="1863">
        <v>150364</v>
      </c>
      <c r="GK8" s="1863">
        <v>180489</v>
      </c>
      <c r="GL8" s="1863">
        <f t="shared" si="62"/>
        <v>330853</v>
      </c>
      <c r="GM8" s="1865">
        <v>172491</v>
      </c>
      <c r="GN8" s="1866">
        <v>203781</v>
      </c>
      <c r="GO8" s="1866">
        <f t="shared" si="63"/>
        <v>376272</v>
      </c>
      <c r="GP8" s="1830">
        <v>170913</v>
      </c>
      <c r="GQ8" s="1830">
        <v>201410</v>
      </c>
      <c r="GR8" s="1830">
        <f t="shared" si="64"/>
        <v>372323</v>
      </c>
      <c r="GS8" s="1863">
        <v>171981</v>
      </c>
      <c r="GT8" s="1863">
        <v>201515</v>
      </c>
      <c r="GU8" s="1863">
        <f t="shared" si="65"/>
        <v>373496</v>
      </c>
      <c r="GV8" s="1831">
        <v>171633</v>
      </c>
      <c r="GW8" s="1832">
        <v>201415</v>
      </c>
      <c r="GX8" s="1832">
        <f t="shared" si="66"/>
        <v>373048</v>
      </c>
      <c r="GY8" s="1863">
        <v>170694</v>
      </c>
      <c r="GZ8" s="1863">
        <v>200942</v>
      </c>
      <c r="HA8" s="1863">
        <f t="shared" si="67"/>
        <v>371636</v>
      </c>
      <c r="HB8" s="1835">
        <v>172306</v>
      </c>
      <c r="HC8" s="1866">
        <v>203655</v>
      </c>
      <c r="HD8" s="1866">
        <f t="shared" si="68"/>
        <v>375961</v>
      </c>
      <c r="HE8" s="1866">
        <v>173024</v>
      </c>
      <c r="HF8" s="1866">
        <v>204308</v>
      </c>
      <c r="HG8" s="1866">
        <f t="shared" si="69"/>
        <v>377332</v>
      </c>
      <c r="HH8" s="1866">
        <v>170901</v>
      </c>
      <c r="HI8" s="1866">
        <v>204656</v>
      </c>
      <c r="HJ8" s="1866">
        <f t="shared" si="70"/>
        <v>375557</v>
      </c>
      <c r="HK8" s="1866">
        <v>172680</v>
      </c>
      <c r="HL8" s="1866">
        <v>207845</v>
      </c>
      <c r="HM8" s="1866">
        <f t="shared" si="71"/>
        <v>380525</v>
      </c>
      <c r="HN8" s="1863">
        <v>170815</v>
      </c>
      <c r="HO8" s="1863">
        <v>206068</v>
      </c>
      <c r="HP8" s="1863">
        <f t="shared" si="72"/>
        <v>376883</v>
      </c>
      <c r="HQ8" s="1863">
        <v>168657</v>
      </c>
      <c r="HR8" s="1863">
        <v>204501</v>
      </c>
      <c r="HS8" s="1863">
        <f t="shared" si="73"/>
        <v>373158</v>
      </c>
      <c r="HT8" s="1863">
        <v>171825</v>
      </c>
      <c r="HU8" s="1863">
        <v>208576</v>
      </c>
      <c r="HV8" s="1863">
        <f t="shared" si="74"/>
        <v>380401</v>
      </c>
      <c r="HW8" s="1867">
        <v>171268</v>
      </c>
      <c r="HX8" s="1868">
        <v>207248</v>
      </c>
      <c r="HY8" s="1866">
        <f t="shared" si="75"/>
        <v>378516</v>
      </c>
      <c r="HZ8" s="1830">
        <v>170263</v>
      </c>
      <c r="IA8" s="1830">
        <v>206203</v>
      </c>
      <c r="IB8" s="1830">
        <f t="shared" si="76"/>
        <v>376466</v>
      </c>
      <c r="IC8" s="1863">
        <v>172137</v>
      </c>
      <c r="ID8" s="1863">
        <v>210057</v>
      </c>
      <c r="IE8" s="1863">
        <f t="shared" si="77"/>
        <v>382194</v>
      </c>
      <c r="IF8" s="1831">
        <v>172732</v>
      </c>
      <c r="IG8" s="1832">
        <v>210724</v>
      </c>
      <c r="IH8" s="1832">
        <f t="shared" si="78"/>
        <v>383456</v>
      </c>
      <c r="II8" s="1812">
        <v>172766</v>
      </c>
      <c r="IJ8" s="1812">
        <v>211109</v>
      </c>
      <c r="IK8" s="1812">
        <f t="shared" si="79"/>
        <v>383875</v>
      </c>
      <c r="IL8" s="1812">
        <v>409147</v>
      </c>
    </row>
    <row r="9" spans="1:246">
      <c r="A9" s="1932" t="s">
        <v>125</v>
      </c>
      <c r="B9" s="1863">
        <v>7003</v>
      </c>
      <c r="C9" s="1863">
        <v>10256</v>
      </c>
      <c r="D9" s="1863">
        <f t="shared" si="0"/>
        <v>17259</v>
      </c>
      <c r="E9" s="1864">
        <v>104092</v>
      </c>
      <c r="F9" s="1864">
        <v>142292</v>
      </c>
      <c r="G9" s="1864">
        <f t="shared" si="1"/>
        <v>246384</v>
      </c>
      <c r="H9" s="1864">
        <v>56788</v>
      </c>
      <c r="I9" s="1864">
        <v>74864</v>
      </c>
      <c r="J9" s="1864">
        <f t="shared" si="2"/>
        <v>131652</v>
      </c>
      <c r="K9" s="1825">
        <v>57174</v>
      </c>
      <c r="L9" s="1825">
        <v>73642</v>
      </c>
      <c r="M9" s="1825">
        <f t="shared" si="3"/>
        <v>130816</v>
      </c>
      <c r="N9" s="1827">
        <v>59644</v>
      </c>
      <c r="O9" s="1827">
        <v>73341</v>
      </c>
      <c r="P9" s="1827">
        <f t="shared" si="4"/>
        <v>132985</v>
      </c>
      <c r="Q9" s="1863">
        <v>65909</v>
      </c>
      <c r="R9" s="1863">
        <v>71494</v>
      </c>
      <c r="S9" s="1863">
        <f t="shared" si="5"/>
        <v>137403</v>
      </c>
      <c r="T9" s="1863">
        <v>66105</v>
      </c>
      <c r="U9" s="1863">
        <v>71531</v>
      </c>
      <c r="V9" s="1863">
        <f t="shared" si="6"/>
        <v>137636</v>
      </c>
      <c r="W9" s="1825">
        <v>66101</v>
      </c>
      <c r="X9" s="1825">
        <v>70704</v>
      </c>
      <c r="Y9" s="1825">
        <f t="shared" si="7"/>
        <v>136805</v>
      </c>
      <c r="Z9" s="1825">
        <v>66731</v>
      </c>
      <c r="AA9" s="1825">
        <v>72338</v>
      </c>
      <c r="AB9" s="1825">
        <f t="shared" si="8"/>
        <v>139069</v>
      </c>
      <c r="AC9" s="1828">
        <v>67010</v>
      </c>
      <c r="AD9" s="1828">
        <v>78024</v>
      </c>
      <c r="AE9" s="1828">
        <f t="shared" si="9"/>
        <v>145034</v>
      </c>
      <c r="AF9" s="1830">
        <v>66951</v>
      </c>
      <c r="AG9" s="1830">
        <v>78385</v>
      </c>
      <c r="AH9" s="1830">
        <f t="shared" si="10"/>
        <v>145336</v>
      </c>
      <c r="AI9" s="1830">
        <v>67094</v>
      </c>
      <c r="AJ9" s="1830">
        <v>82051</v>
      </c>
      <c r="AK9" s="1830">
        <f t="shared" si="11"/>
        <v>149145</v>
      </c>
      <c r="AL9" s="1863">
        <v>67174</v>
      </c>
      <c r="AM9" s="1863">
        <v>81475</v>
      </c>
      <c r="AN9" s="1863">
        <f t="shared" si="12"/>
        <v>148649</v>
      </c>
      <c r="AO9" s="1830">
        <v>67272</v>
      </c>
      <c r="AP9" s="1830">
        <v>80886</v>
      </c>
      <c r="AQ9" s="1830">
        <f t="shared" si="13"/>
        <v>148158</v>
      </c>
      <c r="AR9" s="1830">
        <v>67234</v>
      </c>
      <c r="AS9" s="1830">
        <v>81490</v>
      </c>
      <c r="AT9" s="1830">
        <f t="shared" si="14"/>
        <v>148724</v>
      </c>
      <c r="AU9" s="1830">
        <v>67590</v>
      </c>
      <c r="AV9" s="1830">
        <v>81057</v>
      </c>
      <c r="AW9" s="1830">
        <f t="shared" si="15"/>
        <v>148647</v>
      </c>
      <c r="AX9" s="1830">
        <v>67993</v>
      </c>
      <c r="AY9" s="1830">
        <v>80434</v>
      </c>
      <c r="AZ9" s="1830">
        <f t="shared" si="16"/>
        <v>148427</v>
      </c>
      <c r="BA9" s="1863">
        <v>67934</v>
      </c>
      <c r="BB9" s="1863">
        <v>80309</v>
      </c>
      <c r="BC9" s="1863">
        <f t="shared" si="17"/>
        <v>148243</v>
      </c>
      <c r="BD9" s="1831">
        <v>68784</v>
      </c>
      <c r="BE9" s="1832">
        <v>79948</v>
      </c>
      <c r="BF9" s="1832">
        <f t="shared" si="18"/>
        <v>148732</v>
      </c>
      <c r="BG9" s="1863">
        <v>69006</v>
      </c>
      <c r="BH9" s="1863">
        <v>79411</v>
      </c>
      <c r="BI9" s="1863">
        <f t="shared" si="19"/>
        <v>148417</v>
      </c>
      <c r="BJ9" s="1865">
        <v>69233</v>
      </c>
      <c r="BK9" s="1866">
        <v>78839</v>
      </c>
      <c r="BL9" s="1866">
        <f t="shared" si="20"/>
        <v>148072</v>
      </c>
      <c r="BM9" s="1866">
        <v>69515</v>
      </c>
      <c r="BN9" s="1866">
        <v>81212</v>
      </c>
      <c r="BO9" s="1866">
        <f t="shared" si="21"/>
        <v>150727</v>
      </c>
      <c r="BP9" s="1866">
        <v>69629</v>
      </c>
      <c r="BQ9" s="1866">
        <v>82107</v>
      </c>
      <c r="BR9" s="1866">
        <f t="shared" si="22"/>
        <v>151736</v>
      </c>
      <c r="BS9" s="1866">
        <v>69904</v>
      </c>
      <c r="BT9" s="1866">
        <v>83153</v>
      </c>
      <c r="BU9" s="1866">
        <f t="shared" si="23"/>
        <v>153057</v>
      </c>
      <c r="BV9" s="1863">
        <v>70053</v>
      </c>
      <c r="BW9" s="1863">
        <v>83630</v>
      </c>
      <c r="BX9" s="1863">
        <f t="shared" si="24"/>
        <v>153683</v>
      </c>
      <c r="BY9" s="1863">
        <v>69878</v>
      </c>
      <c r="BZ9" s="1863">
        <v>83137</v>
      </c>
      <c r="CA9" s="1863">
        <v>70938</v>
      </c>
      <c r="CB9" s="1863">
        <v>87375</v>
      </c>
      <c r="CC9" s="1863">
        <f t="shared" si="25"/>
        <v>158313</v>
      </c>
      <c r="CD9" s="1863">
        <v>70772</v>
      </c>
      <c r="CE9" s="1863">
        <v>87598</v>
      </c>
      <c r="CF9" s="1863">
        <f t="shared" si="26"/>
        <v>158370</v>
      </c>
      <c r="CG9" s="1865">
        <v>70283</v>
      </c>
      <c r="CH9" s="1866">
        <v>86841</v>
      </c>
      <c r="CI9" s="1866">
        <f t="shared" si="27"/>
        <v>157124</v>
      </c>
      <c r="CJ9" s="1863">
        <v>70277</v>
      </c>
      <c r="CK9" s="1863">
        <v>86841</v>
      </c>
      <c r="CL9" s="1830">
        <v>69520</v>
      </c>
      <c r="CM9" s="1830">
        <v>85756</v>
      </c>
      <c r="CN9" s="1830">
        <f t="shared" si="28"/>
        <v>155276</v>
      </c>
      <c r="CO9" s="1863">
        <v>69385</v>
      </c>
      <c r="CP9" s="1863">
        <v>85373</v>
      </c>
      <c r="CQ9" s="1863">
        <f t="shared" si="29"/>
        <v>154758</v>
      </c>
      <c r="CR9" s="1831">
        <v>69464</v>
      </c>
      <c r="CS9" s="1832">
        <v>84845</v>
      </c>
      <c r="CT9" s="1832">
        <f t="shared" si="30"/>
        <v>154309</v>
      </c>
      <c r="CU9" s="1863">
        <v>68706</v>
      </c>
      <c r="CV9" s="1863">
        <v>84084</v>
      </c>
      <c r="CW9" s="1863">
        <f t="shared" si="31"/>
        <v>152790</v>
      </c>
      <c r="CX9" s="1865">
        <v>67493</v>
      </c>
      <c r="CY9" s="1866">
        <v>82590</v>
      </c>
      <c r="CZ9" s="1866">
        <f t="shared" si="32"/>
        <v>150083</v>
      </c>
      <c r="DA9" s="1866">
        <v>67141</v>
      </c>
      <c r="DB9" s="1866">
        <v>82206</v>
      </c>
      <c r="DC9" s="1866">
        <f t="shared" si="33"/>
        <v>149347</v>
      </c>
      <c r="DD9" s="1866">
        <v>66683</v>
      </c>
      <c r="DE9" s="1866">
        <v>81453</v>
      </c>
      <c r="DF9" s="1866">
        <f t="shared" si="34"/>
        <v>148136</v>
      </c>
      <c r="DG9" s="1866">
        <v>65945</v>
      </c>
      <c r="DH9" s="1866">
        <v>81029</v>
      </c>
      <c r="DI9" s="1866">
        <f t="shared" si="35"/>
        <v>146974</v>
      </c>
      <c r="DJ9" s="1863">
        <v>66277</v>
      </c>
      <c r="DK9" s="1863">
        <v>80828</v>
      </c>
      <c r="DL9" s="1863">
        <f t="shared" si="36"/>
        <v>147105</v>
      </c>
      <c r="DM9" s="1863">
        <v>64483</v>
      </c>
      <c r="DN9" s="1863">
        <v>79510</v>
      </c>
      <c r="DO9" s="1863">
        <f t="shared" si="37"/>
        <v>143993</v>
      </c>
      <c r="DP9" s="1863">
        <v>64690</v>
      </c>
      <c r="DQ9" s="1863">
        <v>79235</v>
      </c>
      <c r="DR9" s="1863">
        <f t="shared" si="38"/>
        <v>143925</v>
      </c>
      <c r="DS9" s="1865">
        <v>64673</v>
      </c>
      <c r="DT9" s="1866">
        <v>78845</v>
      </c>
      <c r="DU9" s="1866">
        <f t="shared" si="39"/>
        <v>143518</v>
      </c>
      <c r="DV9" s="1830">
        <v>64031</v>
      </c>
      <c r="DW9" s="1830">
        <v>77663</v>
      </c>
      <c r="DX9" s="1830">
        <f t="shared" si="40"/>
        <v>141694</v>
      </c>
      <c r="DY9" s="1863">
        <v>63482</v>
      </c>
      <c r="DZ9" s="1863">
        <v>76796</v>
      </c>
      <c r="EA9" s="1863">
        <f t="shared" si="41"/>
        <v>140278</v>
      </c>
      <c r="EB9" s="1831">
        <v>62549</v>
      </c>
      <c r="EC9" s="1832">
        <v>78265</v>
      </c>
      <c r="ED9" s="1832">
        <f t="shared" si="42"/>
        <v>140814</v>
      </c>
      <c r="EE9" s="1863">
        <v>61516</v>
      </c>
      <c r="EF9" s="1863">
        <v>74197</v>
      </c>
      <c r="EG9" s="1863">
        <f t="shared" si="43"/>
        <v>135713</v>
      </c>
      <c r="EH9" s="1865">
        <v>60576</v>
      </c>
      <c r="EI9" s="1866">
        <v>73197</v>
      </c>
      <c r="EJ9" s="1866">
        <f t="shared" si="44"/>
        <v>133773</v>
      </c>
      <c r="EK9" s="1866">
        <v>60064</v>
      </c>
      <c r="EL9" s="1866">
        <v>72387</v>
      </c>
      <c r="EM9" s="1866">
        <f t="shared" si="45"/>
        <v>132451</v>
      </c>
      <c r="EN9" s="1866">
        <v>59237</v>
      </c>
      <c r="EO9" s="1866">
        <v>71586</v>
      </c>
      <c r="EP9" s="1866">
        <f t="shared" si="46"/>
        <v>130823</v>
      </c>
      <c r="EQ9" s="1866">
        <v>58055</v>
      </c>
      <c r="ER9" s="1866">
        <v>69992</v>
      </c>
      <c r="ES9" s="1866">
        <f t="shared" si="47"/>
        <v>128047</v>
      </c>
      <c r="ET9" s="1863">
        <v>57279</v>
      </c>
      <c r="EU9" s="1863">
        <v>69135</v>
      </c>
      <c r="EV9" s="1863">
        <f t="shared" si="48"/>
        <v>126414</v>
      </c>
      <c r="EW9" s="1863">
        <v>54528</v>
      </c>
      <c r="EX9" s="1863">
        <v>66425</v>
      </c>
      <c r="EY9" s="1863">
        <f t="shared" si="49"/>
        <v>120953</v>
      </c>
      <c r="EZ9" s="1863">
        <v>54013</v>
      </c>
      <c r="FA9" s="1863">
        <v>65777</v>
      </c>
      <c r="FB9" s="1863">
        <f t="shared" si="50"/>
        <v>119790</v>
      </c>
      <c r="FC9" s="1865">
        <v>53631</v>
      </c>
      <c r="FD9" s="1866">
        <v>65256</v>
      </c>
      <c r="FE9" s="1866">
        <f t="shared" si="51"/>
        <v>118887</v>
      </c>
      <c r="FF9" s="1830">
        <v>53303</v>
      </c>
      <c r="FG9" s="1830">
        <v>64953</v>
      </c>
      <c r="FH9" s="1830">
        <f t="shared" si="52"/>
        <v>118256</v>
      </c>
      <c r="FI9" s="1863">
        <v>53141</v>
      </c>
      <c r="FJ9" s="1863">
        <v>64856</v>
      </c>
      <c r="FK9" s="1863">
        <f t="shared" si="53"/>
        <v>117997</v>
      </c>
      <c r="FL9" s="1831">
        <v>52933</v>
      </c>
      <c r="FM9" s="1832">
        <v>64605</v>
      </c>
      <c r="FN9" s="1832">
        <f t="shared" si="54"/>
        <v>117538</v>
      </c>
      <c r="FO9" s="1863">
        <v>52586</v>
      </c>
      <c r="FP9" s="1863">
        <v>64270</v>
      </c>
      <c r="FQ9" s="1863">
        <f t="shared" si="55"/>
        <v>116856</v>
      </c>
      <c r="FR9" s="1835">
        <v>52404</v>
      </c>
      <c r="FS9" s="1866">
        <v>64194</v>
      </c>
      <c r="FT9" s="1866">
        <f t="shared" si="56"/>
        <v>116598</v>
      </c>
      <c r="FU9" s="1866">
        <v>52220</v>
      </c>
      <c r="FV9" s="1866">
        <v>66970</v>
      </c>
      <c r="FW9" s="1866">
        <f t="shared" si="57"/>
        <v>119190</v>
      </c>
      <c r="FX9" s="1866">
        <v>51965</v>
      </c>
      <c r="FY9" s="1866">
        <v>64226</v>
      </c>
      <c r="FZ9" s="1866">
        <f t="shared" si="58"/>
        <v>116191</v>
      </c>
      <c r="GA9" s="1866">
        <v>52150</v>
      </c>
      <c r="GB9" s="1866">
        <v>64195</v>
      </c>
      <c r="GC9" s="1866">
        <f t="shared" si="59"/>
        <v>116345</v>
      </c>
      <c r="GD9" s="1863">
        <v>51656</v>
      </c>
      <c r="GE9" s="1863">
        <v>63856</v>
      </c>
      <c r="GF9" s="1863">
        <f t="shared" si="60"/>
        <v>115512</v>
      </c>
      <c r="GG9" s="1863">
        <v>50999</v>
      </c>
      <c r="GH9" s="1863">
        <v>63172</v>
      </c>
      <c r="GI9" s="1863">
        <f t="shared" si="61"/>
        <v>114171</v>
      </c>
      <c r="GJ9" s="1863">
        <v>50983</v>
      </c>
      <c r="GK9" s="1863">
        <v>62749</v>
      </c>
      <c r="GL9" s="1863">
        <f t="shared" si="62"/>
        <v>113732</v>
      </c>
      <c r="GM9" s="1865">
        <v>50939</v>
      </c>
      <c r="GN9" s="1866">
        <v>62697</v>
      </c>
      <c r="GO9" s="1866">
        <f t="shared" si="63"/>
        <v>113636</v>
      </c>
      <c r="GP9" s="1830">
        <v>50872</v>
      </c>
      <c r="GQ9" s="1830">
        <v>62279</v>
      </c>
      <c r="GR9" s="1830">
        <f t="shared" si="64"/>
        <v>113151</v>
      </c>
      <c r="GS9" s="1863">
        <v>50784</v>
      </c>
      <c r="GT9" s="1863">
        <v>62125</v>
      </c>
      <c r="GU9" s="1863">
        <f t="shared" si="65"/>
        <v>112909</v>
      </c>
      <c r="GV9" s="1831">
        <v>50849</v>
      </c>
      <c r="GW9" s="1832">
        <v>61969</v>
      </c>
      <c r="GX9" s="1832">
        <f t="shared" si="66"/>
        <v>112818</v>
      </c>
      <c r="GY9" s="1863">
        <v>50746</v>
      </c>
      <c r="GZ9" s="1863">
        <v>61928</v>
      </c>
      <c r="HA9" s="1863">
        <f t="shared" si="67"/>
        <v>112674</v>
      </c>
      <c r="HB9" s="1835">
        <v>50736</v>
      </c>
      <c r="HC9" s="1866">
        <v>61881</v>
      </c>
      <c r="HD9" s="1866">
        <f t="shared" si="68"/>
        <v>112617</v>
      </c>
      <c r="HE9" s="1866">
        <v>50691</v>
      </c>
      <c r="HF9" s="1866">
        <v>61723</v>
      </c>
      <c r="HG9" s="1866">
        <f t="shared" si="69"/>
        <v>112414</v>
      </c>
      <c r="HH9" s="1866">
        <v>50506</v>
      </c>
      <c r="HI9" s="1866">
        <v>61398</v>
      </c>
      <c r="HJ9" s="1866">
        <f t="shared" si="70"/>
        <v>111904</v>
      </c>
      <c r="HK9" s="1866">
        <v>50330</v>
      </c>
      <c r="HL9" s="1866">
        <v>61979</v>
      </c>
      <c r="HM9" s="1866">
        <f t="shared" si="71"/>
        <v>112309</v>
      </c>
      <c r="HN9" s="1863">
        <v>50141</v>
      </c>
      <c r="HO9" s="1863">
        <v>62124</v>
      </c>
      <c r="HP9" s="1863">
        <f t="shared" si="72"/>
        <v>112265</v>
      </c>
      <c r="HQ9" s="1863">
        <v>49319</v>
      </c>
      <c r="HR9" s="1863">
        <v>62335</v>
      </c>
      <c r="HS9" s="1863">
        <f t="shared" si="73"/>
        <v>111654</v>
      </c>
      <c r="HT9" s="1863">
        <v>49568</v>
      </c>
      <c r="HU9" s="1863">
        <v>61776</v>
      </c>
      <c r="HV9" s="1863">
        <f t="shared" si="74"/>
        <v>111344</v>
      </c>
      <c r="HW9" s="1867">
        <v>49561</v>
      </c>
      <c r="HX9" s="1868">
        <v>61649</v>
      </c>
      <c r="HY9" s="1866">
        <f t="shared" si="75"/>
        <v>111210</v>
      </c>
      <c r="HZ9" s="1830">
        <v>49506</v>
      </c>
      <c r="IA9" s="1830">
        <v>61406</v>
      </c>
      <c r="IB9" s="1830">
        <f t="shared" si="76"/>
        <v>110912</v>
      </c>
      <c r="IC9" s="1863">
        <v>49506</v>
      </c>
      <c r="ID9" s="1863">
        <v>61318</v>
      </c>
      <c r="IE9" s="1863">
        <f t="shared" si="77"/>
        <v>110824</v>
      </c>
      <c r="IF9" s="1831">
        <v>49560</v>
      </c>
      <c r="IG9" s="1832">
        <v>61132</v>
      </c>
      <c r="IH9" s="1832">
        <f t="shared" si="78"/>
        <v>110692</v>
      </c>
      <c r="II9" s="1812">
        <v>49743</v>
      </c>
      <c r="IJ9" s="1812">
        <v>61209</v>
      </c>
      <c r="IK9" s="1812">
        <f t="shared" si="79"/>
        <v>110952</v>
      </c>
      <c r="IL9" s="1812">
        <v>111800</v>
      </c>
    </row>
    <row r="10" spans="1:246">
      <c r="A10" s="1932" t="s">
        <v>1840</v>
      </c>
      <c r="B10" s="1863">
        <v>210073</v>
      </c>
      <c r="C10" s="1863">
        <v>977</v>
      </c>
      <c r="D10" s="1863">
        <f t="shared" si="0"/>
        <v>211050</v>
      </c>
      <c r="E10" s="1864">
        <v>217832</v>
      </c>
      <c r="F10" s="1864">
        <v>3269</v>
      </c>
      <c r="G10" s="1864">
        <f t="shared" si="1"/>
        <v>221101</v>
      </c>
      <c r="H10" s="1864">
        <v>221974</v>
      </c>
      <c r="I10" s="1864">
        <v>10500</v>
      </c>
      <c r="J10" s="1864">
        <f t="shared" si="2"/>
        <v>232474</v>
      </c>
      <c r="K10" s="1825">
        <v>227252</v>
      </c>
      <c r="L10" s="1825">
        <v>19234</v>
      </c>
      <c r="M10" s="1825">
        <f t="shared" si="3"/>
        <v>246486</v>
      </c>
      <c r="N10" s="1827">
        <v>219342</v>
      </c>
      <c r="O10" s="1827">
        <v>21895</v>
      </c>
      <c r="P10" s="1827">
        <f t="shared" si="4"/>
        <v>241237</v>
      </c>
      <c r="Q10" s="1863">
        <v>211239</v>
      </c>
      <c r="R10" s="1863">
        <v>27739</v>
      </c>
      <c r="S10" s="1863">
        <f t="shared" si="5"/>
        <v>238978</v>
      </c>
      <c r="T10" s="1863">
        <v>224087</v>
      </c>
      <c r="U10" s="1863">
        <v>28245</v>
      </c>
      <c r="V10" s="1863">
        <f t="shared" si="6"/>
        <v>252332</v>
      </c>
      <c r="W10" s="1825">
        <v>229705</v>
      </c>
      <c r="X10" s="1825">
        <v>31903</v>
      </c>
      <c r="Y10" s="1825">
        <f t="shared" si="7"/>
        <v>261608</v>
      </c>
      <c r="Z10" s="1825">
        <v>227545</v>
      </c>
      <c r="AA10" s="1825">
        <v>37190</v>
      </c>
      <c r="AB10" s="1825">
        <f t="shared" si="8"/>
        <v>264735</v>
      </c>
      <c r="AC10" s="1828">
        <v>236863</v>
      </c>
      <c r="AD10" s="1828">
        <v>42387</v>
      </c>
      <c r="AE10" s="1828">
        <f t="shared" si="9"/>
        <v>279250</v>
      </c>
      <c r="AF10" s="1829">
        <v>230542</v>
      </c>
      <c r="AG10" s="1829">
        <v>48966</v>
      </c>
      <c r="AH10" s="1830">
        <f t="shared" si="10"/>
        <v>279508</v>
      </c>
      <c r="AI10" s="1829">
        <v>233386</v>
      </c>
      <c r="AJ10" s="1829">
        <v>55787</v>
      </c>
      <c r="AK10" s="1830">
        <f t="shared" si="11"/>
        <v>289173</v>
      </c>
      <c r="AL10" s="1863">
        <v>237426</v>
      </c>
      <c r="AM10" s="1863">
        <v>60136</v>
      </c>
      <c r="AN10" s="1863">
        <f t="shared" si="12"/>
        <v>297562</v>
      </c>
      <c r="AO10" s="1829">
        <v>234526</v>
      </c>
      <c r="AP10" s="1829">
        <v>62477</v>
      </c>
      <c r="AQ10" s="1830">
        <f t="shared" si="13"/>
        <v>297003</v>
      </c>
      <c r="AR10" s="1829">
        <v>203802</v>
      </c>
      <c r="AS10" s="1829">
        <v>56155</v>
      </c>
      <c r="AT10" s="1830">
        <f t="shared" si="14"/>
        <v>259957</v>
      </c>
      <c r="AU10" s="1829">
        <v>192178</v>
      </c>
      <c r="AV10" s="1829">
        <v>57337</v>
      </c>
      <c r="AW10" s="1830">
        <f t="shared" si="15"/>
        <v>249515</v>
      </c>
      <c r="AX10" s="1829">
        <v>188956</v>
      </c>
      <c r="AY10" s="1829">
        <v>60080</v>
      </c>
      <c r="AZ10" s="1830">
        <f t="shared" si="16"/>
        <v>249036</v>
      </c>
      <c r="BA10" s="1863">
        <v>191135</v>
      </c>
      <c r="BB10" s="1863">
        <v>62736</v>
      </c>
      <c r="BC10" s="1863">
        <f t="shared" si="17"/>
        <v>253871</v>
      </c>
      <c r="BD10" s="1838">
        <v>187833</v>
      </c>
      <c r="BE10" s="1839">
        <v>65129</v>
      </c>
      <c r="BF10" s="1832">
        <f t="shared" si="18"/>
        <v>252962</v>
      </c>
      <c r="BG10" s="1863">
        <v>183236</v>
      </c>
      <c r="BH10" s="1863">
        <v>66331</v>
      </c>
      <c r="BI10" s="1863">
        <f t="shared" si="19"/>
        <v>249567</v>
      </c>
      <c r="BJ10" s="1865">
        <v>173605</v>
      </c>
      <c r="BK10" s="1866">
        <v>66118</v>
      </c>
      <c r="BL10" s="1866">
        <f t="shared" si="20"/>
        <v>239723</v>
      </c>
      <c r="BM10" s="1866">
        <v>171325</v>
      </c>
      <c r="BN10" s="1866">
        <v>67733</v>
      </c>
      <c r="BO10" s="1866">
        <f t="shared" si="21"/>
        <v>239058</v>
      </c>
      <c r="BP10" s="1866">
        <v>164653</v>
      </c>
      <c r="BQ10" s="1866">
        <v>67382</v>
      </c>
      <c r="BR10" s="1866">
        <f t="shared" si="22"/>
        <v>232035</v>
      </c>
      <c r="BS10" s="1866">
        <v>166348</v>
      </c>
      <c r="BT10" s="1866">
        <v>69439</v>
      </c>
      <c r="BU10" s="1866">
        <f t="shared" si="23"/>
        <v>235787</v>
      </c>
      <c r="BV10" s="1863">
        <v>162115</v>
      </c>
      <c r="BW10" s="1863">
        <v>69610</v>
      </c>
      <c r="BX10" s="1863">
        <f t="shared" si="24"/>
        <v>231725</v>
      </c>
      <c r="BY10" s="1863">
        <v>167316</v>
      </c>
      <c r="BZ10" s="1863">
        <v>69963</v>
      </c>
      <c r="CA10" s="1863">
        <v>153718</v>
      </c>
      <c r="CB10" s="1863">
        <v>69210</v>
      </c>
      <c r="CC10" s="1863">
        <f t="shared" si="25"/>
        <v>222928</v>
      </c>
      <c r="CD10" s="1863">
        <v>148193</v>
      </c>
      <c r="CE10" s="1863">
        <v>69079</v>
      </c>
      <c r="CF10" s="1863">
        <f t="shared" si="26"/>
        <v>217272</v>
      </c>
      <c r="CG10" s="1865">
        <v>142571</v>
      </c>
      <c r="CH10" s="1866">
        <v>68031</v>
      </c>
      <c r="CI10" s="1866">
        <f t="shared" si="27"/>
        <v>210602</v>
      </c>
      <c r="CJ10" s="1863">
        <v>141326</v>
      </c>
      <c r="CK10" s="1863">
        <v>67563</v>
      </c>
      <c r="CL10" s="1829">
        <v>138575</v>
      </c>
      <c r="CM10" s="1829">
        <v>67396</v>
      </c>
      <c r="CN10" s="1830">
        <f t="shared" si="28"/>
        <v>205971</v>
      </c>
      <c r="CO10" s="1863">
        <v>156702</v>
      </c>
      <c r="CP10" s="1863">
        <v>73668</v>
      </c>
      <c r="CQ10" s="1863">
        <f t="shared" si="29"/>
        <v>230370</v>
      </c>
      <c r="CR10" s="1838">
        <v>142711</v>
      </c>
      <c r="CS10" s="1839">
        <v>71062</v>
      </c>
      <c r="CT10" s="1832">
        <f t="shared" si="30"/>
        <v>213773</v>
      </c>
      <c r="CU10" s="1863">
        <v>141320</v>
      </c>
      <c r="CV10" s="1863">
        <v>70510</v>
      </c>
      <c r="CW10" s="1863">
        <f t="shared" si="31"/>
        <v>211830</v>
      </c>
      <c r="CX10" s="1865">
        <v>137159</v>
      </c>
      <c r="CY10" s="1866">
        <v>69610</v>
      </c>
      <c r="CZ10" s="1866">
        <f t="shared" si="32"/>
        <v>206769</v>
      </c>
      <c r="DA10" s="1866">
        <v>132058</v>
      </c>
      <c r="DB10" s="1866">
        <v>68888</v>
      </c>
      <c r="DC10" s="1866">
        <f t="shared" si="33"/>
        <v>200946</v>
      </c>
      <c r="DD10" s="1866">
        <v>133025</v>
      </c>
      <c r="DE10" s="1866">
        <v>69282</v>
      </c>
      <c r="DF10" s="1866">
        <f t="shared" si="34"/>
        <v>202307</v>
      </c>
      <c r="DG10" s="1866">
        <v>130277</v>
      </c>
      <c r="DH10" s="1866">
        <v>69867</v>
      </c>
      <c r="DI10" s="1866">
        <f t="shared" si="35"/>
        <v>200144</v>
      </c>
      <c r="DJ10" s="1863">
        <v>127333</v>
      </c>
      <c r="DK10" s="1863">
        <v>70275</v>
      </c>
      <c r="DL10" s="1863">
        <f t="shared" si="36"/>
        <v>197608</v>
      </c>
      <c r="DM10" s="1863">
        <v>122519</v>
      </c>
      <c r="DN10" s="1863">
        <v>67632</v>
      </c>
      <c r="DO10" s="1863">
        <f t="shared" si="37"/>
        <v>190151</v>
      </c>
      <c r="DP10" s="1863">
        <v>123032</v>
      </c>
      <c r="DQ10" s="1863">
        <v>68369</v>
      </c>
      <c r="DR10" s="1863">
        <f t="shared" si="38"/>
        <v>191401</v>
      </c>
      <c r="DS10" s="1865">
        <v>119566</v>
      </c>
      <c r="DT10" s="1866">
        <v>67512</v>
      </c>
      <c r="DU10" s="1866">
        <f t="shared" si="39"/>
        <v>187078</v>
      </c>
      <c r="DV10" s="1829">
        <v>113261</v>
      </c>
      <c r="DW10" s="1829">
        <v>63344</v>
      </c>
      <c r="DX10" s="1830">
        <f t="shared" si="40"/>
        <v>176605</v>
      </c>
      <c r="DY10" s="1863">
        <v>112864</v>
      </c>
      <c r="DZ10" s="1863">
        <v>63521</v>
      </c>
      <c r="EA10" s="1863">
        <f t="shared" si="41"/>
        <v>176385</v>
      </c>
      <c r="EB10" s="1838">
        <v>118320</v>
      </c>
      <c r="EC10" s="1839">
        <v>64557</v>
      </c>
      <c r="ED10" s="1832">
        <f t="shared" si="42"/>
        <v>182877</v>
      </c>
      <c r="EE10" s="1863">
        <v>110962</v>
      </c>
      <c r="EF10" s="1863">
        <v>62056</v>
      </c>
      <c r="EG10" s="1863">
        <f t="shared" si="43"/>
        <v>173018</v>
      </c>
      <c r="EH10" s="1865">
        <v>102132</v>
      </c>
      <c r="EI10" s="1866">
        <v>57504</v>
      </c>
      <c r="EJ10" s="1866">
        <f t="shared" si="44"/>
        <v>159636</v>
      </c>
      <c r="EK10" s="1866">
        <v>103605</v>
      </c>
      <c r="EL10" s="1866">
        <v>58818</v>
      </c>
      <c r="EM10" s="1866">
        <f t="shared" si="45"/>
        <v>162423</v>
      </c>
      <c r="EN10" s="1866">
        <v>101545</v>
      </c>
      <c r="EO10" s="1866">
        <v>57534</v>
      </c>
      <c r="EP10" s="1866">
        <f t="shared" si="46"/>
        <v>159079</v>
      </c>
      <c r="EQ10" s="1866">
        <v>99003</v>
      </c>
      <c r="ER10" s="1866">
        <v>56529</v>
      </c>
      <c r="ES10" s="1866">
        <f t="shared" si="47"/>
        <v>155532</v>
      </c>
      <c r="ET10" s="1863">
        <v>92228</v>
      </c>
      <c r="EU10" s="1863">
        <v>52830</v>
      </c>
      <c r="EV10" s="1863">
        <f t="shared" si="48"/>
        <v>145058</v>
      </c>
      <c r="EW10" s="1863">
        <v>95596</v>
      </c>
      <c r="EX10" s="1863">
        <v>55955</v>
      </c>
      <c r="EY10" s="1863">
        <f t="shared" si="49"/>
        <v>151551</v>
      </c>
      <c r="EZ10" s="1863">
        <v>90618</v>
      </c>
      <c r="FA10" s="1863">
        <v>53253</v>
      </c>
      <c r="FB10" s="1863">
        <f t="shared" si="50"/>
        <v>143871</v>
      </c>
      <c r="FC10" s="1865">
        <v>86465</v>
      </c>
      <c r="FD10" s="1866">
        <v>50551</v>
      </c>
      <c r="FE10" s="1866">
        <f t="shared" si="51"/>
        <v>137016</v>
      </c>
      <c r="FF10" s="1829">
        <v>87719</v>
      </c>
      <c r="FG10" s="1829">
        <v>51993</v>
      </c>
      <c r="FH10" s="1830">
        <f t="shared" si="52"/>
        <v>139712</v>
      </c>
      <c r="FI10" s="1863">
        <v>85512</v>
      </c>
      <c r="FJ10" s="1863">
        <v>50209</v>
      </c>
      <c r="FK10" s="1863">
        <f t="shared" si="53"/>
        <v>135721</v>
      </c>
      <c r="FL10" s="1838">
        <v>83870</v>
      </c>
      <c r="FM10" s="1839">
        <v>48998</v>
      </c>
      <c r="FN10" s="1832">
        <f t="shared" si="54"/>
        <v>132868</v>
      </c>
      <c r="FO10" s="1863">
        <v>83300</v>
      </c>
      <c r="FP10" s="1863">
        <v>49106</v>
      </c>
      <c r="FQ10" s="1863">
        <f t="shared" si="55"/>
        <v>132406</v>
      </c>
      <c r="FR10" s="1835">
        <v>81205</v>
      </c>
      <c r="FS10" s="1866">
        <v>48442</v>
      </c>
      <c r="FT10" s="1866">
        <f t="shared" si="56"/>
        <v>129647</v>
      </c>
      <c r="FU10" s="1866">
        <v>79964</v>
      </c>
      <c r="FV10" s="1866">
        <v>47914</v>
      </c>
      <c r="FW10" s="1866">
        <f t="shared" si="57"/>
        <v>127878</v>
      </c>
      <c r="FX10" s="1866">
        <v>77888</v>
      </c>
      <c r="FY10" s="1866">
        <v>46893</v>
      </c>
      <c r="FZ10" s="1866">
        <f t="shared" si="58"/>
        <v>124781</v>
      </c>
      <c r="GA10" s="1866">
        <v>78031</v>
      </c>
      <c r="GB10" s="1866">
        <v>46653</v>
      </c>
      <c r="GC10" s="1866">
        <f t="shared" si="59"/>
        <v>124684</v>
      </c>
      <c r="GD10" s="1863">
        <v>75459</v>
      </c>
      <c r="GE10" s="1863">
        <v>45689</v>
      </c>
      <c r="GF10" s="1863">
        <f t="shared" si="60"/>
        <v>121148</v>
      </c>
      <c r="GG10" s="1863">
        <v>73063</v>
      </c>
      <c r="GH10" s="1863">
        <v>44314</v>
      </c>
      <c r="GI10" s="1863">
        <f t="shared" si="61"/>
        <v>117377</v>
      </c>
      <c r="GJ10" s="1863">
        <v>73673</v>
      </c>
      <c r="GK10" s="1863">
        <v>44612</v>
      </c>
      <c r="GL10" s="1863">
        <f t="shared" si="62"/>
        <v>118285</v>
      </c>
      <c r="GM10" s="1865">
        <v>70409</v>
      </c>
      <c r="GN10" s="1866">
        <v>42575</v>
      </c>
      <c r="GO10" s="1866">
        <f t="shared" si="63"/>
        <v>112984</v>
      </c>
      <c r="GP10" s="1829">
        <v>71624</v>
      </c>
      <c r="GQ10" s="1829">
        <v>43419</v>
      </c>
      <c r="GR10" s="1830">
        <f t="shared" si="64"/>
        <v>115043</v>
      </c>
      <c r="GS10" s="1863">
        <v>71169</v>
      </c>
      <c r="GT10" s="1863">
        <v>43402</v>
      </c>
      <c r="GU10" s="1863">
        <f t="shared" si="65"/>
        <v>114571</v>
      </c>
      <c r="GV10" s="1838">
        <v>72149</v>
      </c>
      <c r="GW10" s="1839">
        <v>44072</v>
      </c>
      <c r="GX10" s="1832">
        <f t="shared" si="66"/>
        <v>116221</v>
      </c>
      <c r="GY10" s="1863">
        <v>68703</v>
      </c>
      <c r="GZ10" s="1863">
        <v>42177</v>
      </c>
      <c r="HA10" s="1863">
        <f t="shared" si="67"/>
        <v>110880</v>
      </c>
      <c r="HB10" s="1835">
        <v>69810</v>
      </c>
      <c r="HC10" s="1866">
        <v>42881</v>
      </c>
      <c r="HD10" s="1866">
        <f t="shared" si="68"/>
        <v>112691</v>
      </c>
      <c r="HE10" s="1866">
        <v>69558</v>
      </c>
      <c r="HF10" s="1866">
        <v>42946</v>
      </c>
      <c r="HG10" s="1866">
        <f t="shared" si="69"/>
        <v>112504</v>
      </c>
      <c r="HH10" s="1866">
        <v>68162</v>
      </c>
      <c r="HI10" s="1866">
        <v>42676</v>
      </c>
      <c r="HJ10" s="1866">
        <f t="shared" si="70"/>
        <v>110838</v>
      </c>
      <c r="HK10" s="1866">
        <v>67962</v>
      </c>
      <c r="HL10" s="1866">
        <v>42853</v>
      </c>
      <c r="HM10" s="1866">
        <f t="shared" si="71"/>
        <v>110815</v>
      </c>
      <c r="HN10" s="1863">
        <v>66024</v>
      </c>
      <c r="HO10" s="1863">
        <v>42076</v>
      </c>
      <c r="HP10" s="1863">
        <f t="shared" si="72"/>
        <v>108100</v>
      </c>
      <c r="HQ10" s="1863">
        <v>63679</v>
      </c>
      <c r="HR10" s="1863">
        <v>40815</v>
      </c>
      <c r="HS10" s="1863">
        <f t="shared" si="73"/>
        <v>104494</v>
      </c>
      <c r="HT10" s="1863">
        <v>64762</v>
      </c>
      <c r="HU10" s="1863">
        <v>41357</v>
      </c>
      <c r="HV10" s="1863">
        <f t="shared" si="74"/>
        <v>106119</v>
      </c>
      <c r="HW10" s="1867">
        <v>64165</v>
      </c>
      <c r="HX10" s="1868">
        <v>40518</v>
      </c>
      <c r="HY10" s="1866">
        <f t="shared" si="75"/>
        <v>104683</v>
      </c>
      <c r="HZ10" s="1829">
        <v>61320</v>
      </c>
      <c r="IA10" s="1829">
        <v>39087</v>
      </c>
      <c r="IB10" s="1830">
        <f t="shared" si="76"/>
        <v>100407</v>
      </c>
      <c r="IC10" s="1863">
        <v>58723</v>
      </c>
      <c r="ID10" s="1863">
        <v>36992</v>
      </c>
      <c r="IE10" s="1863">
        <f t="shared" si="77"/>
        <v>95715</v>
      </c>
      <c r="IF10" s="1838">
        <v>63143</v>
      </c>
      <c r="IG10" s="1839">
        <v>40158</v>
      </c>
      <c r="IH10" s="1832">
        <f t="shared" si="78"/>
        <v>103301</v>
      </c>
      <c r="II10" s="1812">
        <v>60706</v>
      </c>
      <c r="IJ10" s="1812">
        <v>38879</v>
      </c>
      <c r="IK10" s="1812">
        <f t="shared" si="79"/>
        <v>99585</v>
      </c>
      <c r="IL10" s="1812">
        <v>100005</v>
      </c>
    </row>
    <row r="11" spans="1:246">
      <c r="A11" s="1932" t="s">
        <v>1841</v>
      </c>
      <c r="B11" s="1863">
        <v>6951</v>
      </c>
      <c r="C11" s="1863">
        <v>943</v>
      </c>
      <c r="D11" s="1863">
        <f t="shared" si="0"/>
        <v>7894</v>
      </c>
      <c r="E11" s="1864">
        <v>8808</v>
      </c>
      <c r="F11" s="1864">
        <v>2193</v>
      </c>
      <c r="G11" s="1864">
        <f t="shared" si="1"/>
        <v>11001</v>
      </c>
      <c r="H11" s="1864">
        <v>8825</v>
      </c>
      <c r="I11" s="1864">
        <v>2398</v>
      </c>
      <c r="J11" s="1864">
        <f t="shared" si="2"/>
        <v>11223</v>
      </c>
      <c r="K11" s="1825">
        <v>8004</v>
      </c>
      <c r="L11" s="1825">
        <v>2857</v>
      </c>
      <c r="M11" s="1825">
        <f t="shared" si="3"/>
        <v>10861</v>
      </c>
      <c r="N11" s="1827">
        <v>8025</v>
      </c>
      <c r="O11" s="1827">
        <v>3074</v>
      </c>
      <c r="P11" s="1827">
        <f t="shared" si="4"/>
        <v>11099</v>
      </c>
      <c r="Q11" s="1863">
        <v>7975</v>
      </c>
      <c r="R11" s="1863">
        <v>3743</v>
      </c>
      <c r="S11" s="1863">
        <f t="shared" si="5"/>
        <v>11718</v>
      </c>
      <c r="T11" s="1863">
        <v>8469</v>
      </c>
      <c r="U11" s="1863">
        <v>3883</v>
      </c>
      <c r="V11" s="1863">
        <f t="shared" si="6"/>
        <v>12352</v>
      </c>
      <c r="W11" s="1825">
        <v>8831</v>
      </c>
      <c r="X11" s="1825">
        <v>4139</v>
      </c>
      <c r="Y11" s="1825">
        <f t="shared" si="7"/>
        <v>12970</v>
      </c>
      <c r="Z11" s="1825">
        <v>8775</v>
      </c>
      <c r="AA11" s="1825">
        <v>4235</v>
      </c>
      <c r="AB11" s="1825">
        <f t="shared" si="8"/>
        <v>13010</v>
      </c>
      <c r="AC11" s="1828">
        <v>9479</v>
      </c>
      <c r="AD11" s="1828">
        <v>4595</v>
      </c>
      <c r="AE11" s="1828">
        <f t="shared" si="9"/>
        <v>14074</v>
      </c>
      <c r="AF11" s="1829">
        <v>9095</v>
      </c>
      <c r="AG11" s="1829">
        <v>4601</v>
      </c>
      <c r="AH11" s="1830">
        <f t="shared" si="10"/>
        <v>13696</v>
      </c>
      <c r="AI11" s="1829">
        <v>9530</v>
      </c>
      <c r="AJ11" s="1829">
        <v>4516</v>
      </c>
      <c r="AK11" s="1830">
        <f t="shared" si="11"/>
        <v>14046</v>
      </c>
      <c r="AL11" s="1863">
        <v>9845</v>
      </c>
      <c r="AM11" s="1863">
        <v>4610</v>
      </c>
      <c r="AN11" s="1863">
        <f t="shared" si="12"/>
        <v>14455</v>
      </c>
      <c r="AO11" s="1829">
        <v>10002</v>
      </c>
      <c r="AP11" s="1829">
        <v>4666</v>
      </c>
      <c r="AQ11" s="1830">
        <f t="shared" si="13"/>
        <v>14668</v>
      </c>
      <c r="AR11" s="1829">
        <v>9901</v>
      </c>
      <c r="AS11" s="1829">
        <v>4598</v>
      </c>
      <c r="AT11" s="1830">
        <f t="shared" si="14"/>
        <v>14499</v>
      </c>
      <c r="AU11" s="1829">
        <v>9796</v>
      </c>
      <c r="AV11" s="1829">
        <v>4469</v>
      </c>
      <c r="AW11" s="1830">
        <f t="shared" si="15"/>
        <v>14265</v>
      </c>
      <c r="AX11" s="1829">
        <v>10040</v>
      </c>
      <c r="AY11" s="1829">
        <v>4792</v>
      </c>
      <c r="AZ11" s="1830">
        <f t="shared" si="16"/>
        <v>14832</v>
      </c>
      <c r="BA11" s="1863">
        <v>10230</v>
      </c>
      <c r="BB11" s="1863">
        <v>5040</v>
      </c>
      <c r="BC11" s="1863">
        <f t="shared" si="17"/>
        <v>15270</v>
      </c>
      <c r="BD11" s="1838">
        <v>10487</v>
      </c>
      <c r="BE11" s="1839">
        <v>5204</v>
      </c>
      <c r="BF11" s="1832">
        <f t="shared" si="18"/>
        <v>15691</v>
      </c>
      <c r="BG11" s="1863">
        <v>10801</v>
      </c>
      <c r="BH11" s="1863">
        <v>5379</v>
      </c>
      <c r="BI11" s="1863">
        <f t="shared" si="19"/>
        <v>16180</v>
      </c>
      <c r="BJ11" s="1865">
        <v>10962</v>
      </c>
      <c r="BK11" s="1866">
        <v>5497</v>
      </c>
      <c r="BL11" s="1866">
        <f t="shared" si="20"/>
        <v>16459</v>
      </c>
      <c r="BM11" s="1866">
        <v>11359</v>
      </c>
      <c r="BN11" s="1866">
        <v>5887</v>
      </c>
      <c r="BO11" s="1866">
        <f t="shared" si="21"/>
        <v>17246</v>
      </c>
      <c r="BP11" s="1866">
        <v>11421</v>
      </c>
      <c r="BQ11" s="1866">
        <v>6075</v>
      </c>
      <c r="BR11" s="1866">
        <f t="shared" si="22"/>
        <v>17496</v>
      </c>
      <c r="BS11" s="1866">
        <v>14061</v>
      </c>
      <c r="BT11" s="1866">
        <v>6760</v>
      </c>
      <c r="BU11" s="1866">
        <f t="shared" si="23"/>
        <v>20821</v>
      </c>
      <c r="BV11" s="1863">
        <v>13518</v>
      </c>
      <c r="BW11" s="1863">
        <v>7027</v>
      </c>
      <c r="BX11" s="1863">
        <f t="shared" si="24"/>
        <v>20545</v>
      </c>
      <c r="BY11" s="1863">
        <v>13984</v>
      </c>
      <c r="BZ11" s="1863">
        <v>6730</v>
      </c>
      <c r="CA11" s="1863">
        <v>14155</v>
      </c>
      <c r="CB11" s="1863">
        <v>7374</v>
      </c>
      <c r="CC11" s="1863">
        <f t="shared" si="25"/>
        <v>21529</v>
      </c>
      <c r="CD11" s="1863">
        <v>14860</v>
      </c>
      <c r="CE11" s="1863">
        <v>8037</v>
      </c>
      <c r="CF11" s="1863">
        <f t="shared" si="26"/>
        <v>22897</v>
      </c>
      <c r="CG11" s="1865">
        <v>14364</v>
      </c>
      <c r="CH11" s="1866">
        <v>8074</v>
      </c>
      <c r="CI11" s="1866">
        <f t="shared" si="27"/>
        <v>22438</v>
      </c>
      <c r="CJ11" s="1863">
        <v>14323</v>
      </c>
      <c r="CK11" s="1863">
        <v>8056</v>
      </c>
      <c r="CL11" s="1829">
        <v>14435</v>
      </c>
      <c r="CM11" s="1829">
        <v>8522</v>
      </c>
      <c r="CN11" s="1830">
        <f t="shared" si="28"/>
        <v>22957</v>
      </c>
      <c r="CO11" s="1863">
        <v>16817</v>
      </c>
      <c r="CP11" s="1863">
        <v>9228</v>
      </c>
      <c r="CQ11" s="1863">
        <f t="shared" si="29"/>
        <v>26045</v>
      </c>
      <c r="CR11" s="1838">
        <v>15713</v>
      </c>
      <c r="CS11" s="1839">
        <v>9582</v>
      </c>
      <c r="CT11" s="1832">
        <f t="shared" si="30"/>
        <v>25295</v>
      </c>
      <c r="CU11" s="1863">
        <v>15085</v>
      </c>
      <c r="CV11" s="1863">
        <v>9390</v>
      </c>
      <c r="CW11" s="1863">
        <f t="shared" si="31"/>
        <v>24475</v>
      </c>
      <c r="CX11" s="1865">
        <v>14867</v>
      </c>
      <c r="CY11" s="1866">
        <v>9431</v>
      </c>
      <c r="CZ11" s="1866">
        <f t="shared" si="32"/>
        <v>24298</v>
      </c>
      <c r="DA11" s="1866">
        <v>14430</v>
      </c>
      <c r="DB11" s="1866">
        <v>9122</v>
      </c>
      <c r="DC11" s="1866">
        <f t="shared" si="33"/>
        <v>23552</v>
      </c>
      <c r="DD11" s="1866">
        <v>14785</v>
      </c>
      <c r="DE11" s="1866">
        <v>9321</v>
      </c>
      <c r="DF11" s="1866">
        <f t="shared" si="34"/>
        <v>24106</v>
      </c>
      <c r="DG11" s="1866">
        <v>15038</v>
      </c>
      <c r="DH11" s="1866">
        <v>9929</v>
      </c>
      <c r="DI11" s="1866">
        <f t="shared" si="35"/>
        <v>24967</v>
      </c>
      <c r="DJ11" s="1863">
        <v>14499</v>
      </c>
      <c r="DK11" s="1863">
        <v>9421</v>
      </c>
      <c r="DL11" s="1863">
        <f t="shared" si="36"/>
        <v>23920</v>
      </c>
      <c r="DM11" s="1863">
        <v>14712</v>
      </c>
      <c r="DN11" s="1863">
        <v>9539</v>
      </c>
      <c r="DO11" s="1863">
        <f t="shared" si="37"/>
        <v>24251</v>
      </c>
      <c r="DP11" s="1863">
        <v>14798</v>
      </c>
      <c r="DQ11" s="1863">
        <v>10014</v>
      </c>
      <c r="DR11" s="1863">
        <f t="shared" si="38"/>
        <v>24812</v>
      </c>
      <c r="DS11" s="1865">
        <v>15799</v>
      </c>
      <c r="DT11" s="1866">
        <v>10402</v>
      </c>
      <c r="DU11" s="1866">
        <f t="shared" si="39"/>
        <v>26201</v>
      </c>
      <c r="DV11" s="1829">
        <v>16222</v>
      </c>
      <c r="DW11" s="1829">
        <v>10287</v>
      </c>
      <c r="DX11" s="1830">
        <f t="shared" si="40"/>
        <v>26509</v>
      </c>
      <c r="DY11" s="1863">
        <v>17778</v>
      </c>
      <c r="DZ11" s="1863">
        <v>10928</v>
      </c>
      <c r="EA11" s="1863">
        <f t="shared" si="41"/>
        <v>28706</v>
      </c>
      <c r="EB11" s="1838">
        <v>19634</v>
      </c>
      <c r="EC11" s="1839">
        <v>11010</v>
      </c>
      <c r="ED11" s="1832">
        <f t="shared" si="42"/>
        <v>30644</v>
      </c>
      <c r="EE11" s="1863">
        <v>20751</v>
      </c>
      <c r="EF11" s="1863">
        <v>11208</v>
      </c>
      <c r="EG11" s="1863">
        <f t="shared" si="43"/>
        <v>31959</v>
      </c>
      <c r="EH11" s="1865">
        <v>20881</v>
      </c>
      <c r="EI11" s="1866">
        <v>11027</v>
      </c>
      <c r="EJ11" s="1866">
        <f t="shared" si="44"/>
        <v>31908</v>
      </c>
      <c r="EK11" s="1866">
        <v>22743</v>
      </c>
      <c r="EL11" s="1866">
        <v>12233</v>
      </c>
      <c r="EM11" s="1866">
        <f t="shared" si="45"/>
        <v>34976</v>
      </c>
      <c r="EN11" s="1866">
        <v>24544</v>
      </c>
      <c r="EO11" s="1866">
        <v>12504</v>
      </c>
      <c r="EP11" s="1866">
        <f t="shared" si="46"/>
        <v>37048</v>
      </c>
      <c r="EQ11" s="1866">
        <v>26544</v>
      </c>
      <c r="ER11" s="1866">
        <v>12803</v>
      </c>
      <c r="ES11" s="1866">
        <f t="shared" si="47"/>
        <v>39347</v>
      </c>
      <c r="ET11" s="1863">
        <v>28879</v>
      </c>
      <c r="EU11" s="1863">
        <v>13292</v>
      </c>
      <c r="EV11" s="1863">
        <f t="shared" si="48"/>
        <v>42171</v>
      </c>
      <c r="EW11" s="1863">
        <v>30582</v>
      </c>
      <c r="EX11" s="1863">
        <v>13379</v>
      </c>
      <c r="EY11" s="1863">
        <f t="shared" si="49"/>
        <v>43961</v>
      </c>
      <c r="EZ11" s="1863">
        <v>31496</v>
      </c>
      <c r="FA11" s="1863">
        <v>14162</v>
      </c>
      <c r="FB11" s="1863">
        <f t="shared" si="50"/>
        <v>45658</v>
      </c>
      <c r="FC11" s="1865">
        <v>33368</v>
      </c>
      <c r="FD11" s="1866">
        <v>14524</v>
      </c>
      <c r="FE11" s="1866">
        <f t="shared" si="51"/>
        <v>47892</v>
      </c>
      <c r="FF11" s="1829">
        <v>33830</v>
      </c>
      <c r="FG11" s="1829">
        <v>14916</v>
      </c>
      <c r="FH11" s="1830">
        <f t="shared" si="52"/>
        <v>48746</v>
      </c>
      <c r="FI11" s="1863">
        <v>33901</v>
      </c>
      <c r="FJ11" s="1863">
        <v>15477</v>
      </c>
      <c r="FK11" s="1863">
        <f t="shared" si="53"/>
        <v>49378</v>
      </c>
      <c r="FL11" s="1838">
        <v>36546</v>
      </c>
      <c r="FM11" s="1839">
        <v>16454</v>
      </c>
      <c r="FN11" s="1832">
        <f t="shared" si="54"/>
        <v>53000</v>
      </c>
      <c r="FO11" s="1863">
        <v>36328</v>
      </c>
      <c r="FP11" s="1863">
        <v>16822</v>
      </c>
      <c r="FQ11" s="1863">
        <f t="shared" si="55"/>
        <v>53150</v>
      </c>
      <c r="FR11" s="1835">
        <v>36917</v>
      </c>
      <c r="FS11" s="1866">
        <v>17235</v>
      </c>
      <c r="FT11" s="1866">
        <f t="shared" si="56"/>
        <v>54152</v>
      </c>
      <c r="FU11" s="1866">
        <v>38383</v>
      </c>
      <c r="FV11" s="1866">
        <v>17964</v>
      </c>
      <c r="FW11" s="1866">
        <f t="shared" si="57"/>
        <v>56347</v>
      </c>
      <c r="FX11" s="1866">
        <v>38627</v>
      </c>
      <c r="FY11" s="1866">
        <v>20729</v>
      </c>
      <c r="FZ11" s="1866">
        <f t="shared" si="58"/>
        <v>59356</v>
      </c>
      <c r="GA11" s="1866">
        <v>40888</v>
      </c>
      <c r="GB11" s="1866">
        <v>19473</v>
      </c>
      <c r="GC11" s="1866">
        <f t="shared" si="59"/>
        <v>60361</v>
      </c>
      <c r="GD11" s="1863">
        <v>39072</v>
      </c>
      <c r="GE11" s="1863">
        <v>19250</v>
      </c>
      <c r="GF11" s="1863">
        <f t="shared" si="60"/>
        <v>58322</v>
      </c>
      <c r="GG11" s="1863">
        <v>37699</v>
      </c>
      <c r="GH11" s="1863">
        <v>19035</v>
      </c>
      <c r="GI11" s="1863">
        <f t="shared" si="61"/>
        <v>56734</v>
      </c>
      <c r="GJ11" s="1863">
        <v>37820</v>
      </c>
      <c r="GK11" s="1863">
        <v>19640</v>
      </c>
      <c r="GL11" s="1863">
        <f t="shared" si="62"/>
        <v>57460</v>
      </c>
      <c r="GM11" s="1865">
        <v>38403</v>
      </c>
      <c r="GN11" s="1866">
        <v>20416</v>
      </c>
      <c r="GO11" s="1866">
        <f t="shared" si="63"/>
        <v>58819</v>
      </c>
      <c r="GP11" s="1829">
        <v>38058</v>
      </c>
      <c r="GQ11" s="1829">
        <v>20176</v>
      </c>
      <c r="GR11" s="1830">
        <f t="shared" si="64"/>
        <v>58234</v>
      </c>
      <c r="GS11" s="1863">
        <v>38478</v>
      </c>
      <c r="GT11" s="1863">
        <v>20746</v>
      </c>
      <c r="GU11" s="1863">
        <f t="shared" si="65"/>
        <v>59224</v>
      </c>
      <c r="GV11" s="1838">
        <v>38535</v>
      </c>
      <c r="GW11" s="1839">
        <v>20941</v>
      </c>
      <c r="GX11" s="1832">
        <f t="shared" si="66"/>
        <v>59476</v>
      </c>
      <c r="GY11" s="1863">
        <v>38615</v>
      </c>
      <c r="GZ11" s="1863">
        <v>20696</v>
      </c>
      <c r="HA11" s="1863">
        <f t="shared" si="67"/>
        <v>59311</v>
      </c>
      <c r="HB11" s="1835">
        <v>40114</v>
      </c>
      <c r="HC11" s="1866">
        <v>22512</v>
      </c>
      <c r="HD11" s="1866">
        <f t="shared" si="68"/>
        <v>62626</v>
      </c>
      <c r="HE11" s="1866">
        <v>40663</v>
      </c>
      <c r="HF11" s="1866">
        <v>22754</v>
      </c>
      <c r="HG11" s="1866">
        <f t="shared" si="69"/>
        <v>63417</v>
      </c>
      <c r="HH11" s="1866">
        <v>41897</v>
      </c>
      <c r="HI11" s="1866">
        <v>23163</v>
      </c>
      <c r="HJ11" s="1866">
        <f t="shared" si="70"/>
        <v>65060</v>
      </c>
      <c r="HK11" s="1866">
        <v>42951</v>
      </c>
      <c r="HL11" s="1866">
        <v>24305</v>
      </c>
      <c r="HM11" s="1866">
        <f t="shared" si="71"/>
        <v>67256</v>
      </c>
      <c r="HN11" s="1863">
        <v>43778</v>
      </c>
      <c r="HO11" s="1863">
        <v>24318</v>
      </c>
      <c r="HP11" s="1863">
        <f t="shared" si="72"/>
        <v>68096</v>
      </c>
      <c r="HQ11" s="1863">
        <v>43796</v>
      </c>
      <c r="HR11" s="1863">
        <v>25158</v>
      </c>
      <c r="HS11" s="1863">
        <f t="shared" si="73"/>
        <v>68954</v>
      </c>
      <c r="HT11" s="1863">
        <v>46194</v>
      </c>
      <c r="HU11" s="1863">
        <v>26226</v>
      </c>
      <c r="HV11" s="1863">
        <f t="shared" si="74"/>
        <v>72420</v>
      </c>
      <c r="HW11" s="1867">
        <v>47099</v>
      </c>
      <c r="HX11" s="1868">
        <v>27645</v>
      </c>
      <c r="HY11" s="1866">
        <f t="shared" si="75"/>
        <v>74744</v>
      </c>
      <c r="HZ11" s="1829">
        <v>48455</v>
      </c>
      <c r="IA11" s="1829">
        <v>27795</v>
      </c>
      <c r="IB11" s="1830">
        <f t="shared" si="76"/>
        <v>76250</v>
      </c>
      <c r="IC11" s="1863">
        <v>49825</v>
      </c>
      <c r="ID11" s="1863">
        <v>29626</v>
      </c>
      <c r="IE11" s="1863">
        <f t="shared" si="77"/>
        <v>79451</v>
      </c>
      <c r="IF11" s="1838">
        <v>51037</v>
      </c>
      <c r="IG11" s="1839">
        <v>29982</v>
      </c>
      <c r="IH11" s="1832">
        <f t="shared" si="78"/>
        <v>81019</v>
      </c>
      <c r="II11" s="1812">
        <v>53123</v>
      </c>
      <c r="IJ11" s="1812">
        <v>31599</v>
      </c>
      <c r="IK11" s="1812">
        <f t="shared" si="79"/>
        <v>84722</v>
      </c>
      <c r="IL11" s="1812">
        <v>91131</v>
      </c>
    </row>
    <row r="12" spans="1:246">
      <c r="A12" s="1932" t="s">
        <v>1596</v>
      </c>
      <c r="B12" s="1863">
        <v>14707</v>
      </c>
      <c r="C12" s="1863">
        <v>8557</v>
      </c>
      <c r="D12" s="1863">
        <f t="shared" si="0"/>
        <v>23264</v>
      </c>
      <c r="E12" s="1864">
        <v>15061</v>
      </c>
      <c r="F12" s="1864">
        <v>8991</v>
      </c>
      <c r="G12" s="1864">
        <f t="shared" si="1"/>
        <v>24052</v>
      </c>
      <c r="H12" s="1864">
        <v>15002</v>
      </c>
      <c r="I12" s="1864">
        <v>8968</v>
      </c>
      <c r="J12" s="1864">
        <f t="shared" si="2"/>
        <v>23970</v>
      </c>
      <c r="K12" s="1825">
        <v>15146</v>
      </c>
      <c r="L12" s="1825">
        <v>8887</v>
      </c>
      <c r="M12" s="1825">
        <f t="shared" si="3"/>
        <v>24033</v>
      </c>
      <c r="N12" s="1826">
        <v>15259</v>
      </c>
      <c r="O12" s="1826">
        <v>8937</v>
      </c>
      <c r="P12" s="1827">
        <f t="shared" si="4"/>
        <v>24196</v>
      </c>
      <c r="Q12" s="1863">
        <v>14342</v>
      </c>
      <c r="R12" s="1863">
        <v>8780</v>
      </c>
      <c r="S12" s="1863">
        <f t="shared" si="5"/>
        <v>23122</v>
      </c>
      <c r="T12" s="1863">
        <v>14732</v>
      </c>
      <c r="U12" s="1863">
        <v>8888</v>
      </c>
      <c r="V12" s="1863">
        <f t="shared" si="6"/>
        <v>23620</v>
      </c>
      <c r="W12" s="1825">
        <v>14515</v>
      </c>
      <c r="X12" s="1825">
        <v>9744</v>
      </c>
      <c r="Y12" s="1825">
        <f t="shared" si="7"/>
        <v>24259</v>
      </c>
      <c r="Z12" s="1825">
        <v>14506</v>
      </c>
      <c r="AA12" s="1825">
        <v>9714</v>
      </c>
      <c r="AB12" s="1825">
        <f t="shared" si="8"/>
        <v>24220</v>
      </c>
      <c r="AC12" s="1828">
        <v>15155</v>
      </c>
      <c r="AD12" s="1828">
        <v>9878</v>
      </c>
      <c r="AE12" s="1828">
        <f t="shared" si="9"/>
        <v>25033</v>
      </c>
      <c r="AF12" s="1829">
        <v>14693</v>
      </c>
      <c r="AG12" s="1829">
        <v>9653</v>
      </c>
      <c r="AH12" s="1830">
        <f t="shared" si="10"/>
        <v>24346</v>
      </c>
      <c r="AI12" s="1829">
        <v>14331</v>
      </c>
      <c r="AJ12" s="1829">
        <v>9479</v>
      </c>
      <c r="AK12" s="1830">
        <f t="shared" si="11"/>
        <v>23810</v>
      </c>
      <c r="AL12" s="1863">
        <v>14680</v>
      </c>
      <c r="AM12" s="1863">
        <v>10927</v>
      </c>
      <c r="AN12" s="1863">
        <f t="shared" si="12"/>
        <v>25607</v>
      </c>
      <c r="AO12" s="1829">
        <v>14533</v>
      </c>
      <c r="AP12" s="1829">
        <v>11084</v>
      </c>
      <c r="AQ12" s="1830">
        <f t="shared" si="13"/>
        <v>25617</v>
      </c>
      <c r="AR12" s="1829">
        <v>14541</v>
      </c>
      <c r="AS12" s="1829">
        <v>11171</v>
      </c>
      <c r="AT12" s="1830">
        <f t="shared" si="14"/>
        <v>25712</v>
      </c>
      <c r="AU12" s="1829">
        <v>14472</v>
      </c>
      <c r="AV12" s="1829">
        <v>11225</v>
      </c>
      <c r="AW12" s="1830">
        <f t="shared" si="15"/>
        <v>25697</v>
      </c>
      <c r="AX12" s="1829">
        <v>14703</v>
      </c>
      <c r="AY12" s="1829">
        <v>11625</v>
      </c>
      <c r="AZ12" s="1830">
        <f t="shared" si="16"/>
        <v>26328</v>
      </c>
      <c r="BA12" s="1863">
        <v>14888</v>
      </c>
      <c r="BB12" s="1863">
        <v>12247</v>
      </c>
      <c r="BC12" s="1863">
        <f t="shared" si="17"/>
        <v>27135</v>
      </c>
      <c r="BD12" s="1831">
        <v>14825</v>
      </c>
      <c r="BE12" s="1832">
        <v>12905</v>
      </c>
      <c r="BF12" s="1832">
        <f t="shared" si="18"/>
        <v>27730</v>
      </c>
      <c r="BG12" s="1863">
        <v>15049</v>
      </c>
      <c r="BH12" s="1863">
        <v>13639</v>
      </c>
      <c r="BI12" s="1863">
        <f t="shared" si="19"/>
        <v>28688</v>
      </c>
      <c r="BJ12" s="1865">
        <v>15144</v>
      </c>
      <c r="BK12" s="1866">
        <v>13984</v>
      </c>
      <c r="BL12" s="1866">
        <f t="shared" si="20"/>
        <v>29128</v>
      </c>
      <c r="BM12" s="1866">
        <v>15473</v>
      </c>
      <c r="BN12" s="1866">
        <v>14681</v>
      </c>
      <c r="BO12" s="1866">
        <f t="shared" si="21"/>
        <v>30154</v>
      </c>
      <c r="BP12" s="1866">
        <v>15566</v>
      </c>
      <c r="BQ12" s="1866">
        <v>15331</v>
      </c>
      <c r="BR12" s="1866">
        <f t="shared" si="22"/>
        <v>30897</v>
      </c>
      <c r="BS12" s="1866">
        <v>15816</v>
      </c>
      <c r="BT12" s="1866">
        <v>16051</v>
      </c>
      <c r="BU12" s="1866">
        <f t="shared" si="23"/>
        <v>31867</v>
      </c>
      <c r="BV12" s="1863">
        <v>15800</v>
      </c>
      <c r="BW12" s="1863">
        <v>16347</v>
      </c>
      <c r="BX12" s="1863">
        <f t="shared" si="24"/>
        <v>32147</v>
      </c>
      <c r="BY12" s="1863">
        <v>15852</v>
      </c>
      <c r="BZ12" s="1863">
        <v>16089</v>
      </c>
      <c r="CA12" s="1863">
        <v>15868</v>
      </c>
      <c r="CB12" s="1863">
        <v>16692</v>
      </c>
      <c r="CC12" s="1863">
        <f t="shared" si="25"/>
        <v>32560</v>
      </c>
      <c r="CD12" s="1863">
        <v>15885</v>
      </c>
      <c r="CE12" s="1863">
        <v>17088</v>
      </c>
      <c r="CF12" s="1863">
        <f t="shared" si="26"/>
        <v>32973</v>
      </c>
      <c r="CG12" s="1865">
        <v>16153</v>
      </c>
      <c r="CH12" s="1866">
        <v>17536</v>
      </c>
      <c r="CI12" s="1866">
        <f t="shared" si="27"/>
        <v>33689</v>
      </c>
      <c r="CJ12" s="1863">
        <v>16105</v>
      </c>
      <c r="CK12" s="1863">
        <v>17506</v>
      </c>
      <c r="CL12" s="1829">
        <v>16259</v>
      </c>
      <c r="CM12" s="1829">
        <v>17820</v>
      </c>
      <c r="CN12" s="1830">
        <f t="shared" si="28"/>
        <v>34079</v>
      </c>
      <c r="CO12" s="1863">
        <v>16800</v>
      </c>
      <c r="CP12" s="1863">
        <v>17976</v>
      </c>
      <c r="CQ12" s="1863">
        <f t="shared" si="29"/>
        <v>34776</v>
      </c>
      <c r="CR12" s="1831">
        <v>16764</v>
      </c>
      <c r="CS12" s="1832">
        <v>18460</v>
      </c>
      <c r="CT12" s="1832">
        <f t="shared" si="30"/>
        <v>35224</v>
      </c>
      <c r="CU12" s="1863">
        <v>17116</v>
      </c>
      <c r="CV12" s="1863">
        <v>18718</v>
      </c>
      <c r="CW12" s="1863">
        <f t="shared" si="31"/>
        <v>35834</v>
      </c>
      <c r="CX12" s="1865">
        <v>17390</v>
      </c>
      <c r="CY12" s="1866">
        <v>19068</v>
      </c>
      <c r="CZ12" s="1866">
        <f t="shared" si="32"/>
        <v>36458</v>
      </c>
      <c r="DA12" s="1866">
        <v>17547</v>
      </c>
      <c r="DB12" s="1866">
        <v>19335</v>
      </c>
      <c r="DC12" s="1866">
        <f t="shared" si="33"/>
        <v>36882</v>
      </c>
      <c r="DD12" s="1866">
        <v>17822</v>
      </c>
      <c r="DE12" s="1866">
        <v>19357</v>
      </c>
      <c r="DF12" s="1866">
        <f t="shared" si="34"/>
        <v>37179</v>
      </c>
      <c r="DG12" s="1866">
        <v>17826</v>
      </c>
      <c r="DH12" s="1866">
        <v>19533</v>
      </c>
      <c r="DI12" s="1866">
        <f t="shared" si="35"/>
        <v>37359</v>
      </c>
      <c r="DJ12" s="1863">
        <v>18098</v>
      </c>
      <c r="DK12" s="1863">
        <v>20053</v>
      </c>
      <c r="DL12" s="1863">
        <f t="shared" si="36"/>
        <v>38151</v>
      </c>
      <c r="DM12" s="1863">
        <v>18030</v>
      </c>
      <c r="DN12" s="1863">
        <v>20087</v>
      </c>
      <c r="DO12" s="1863">
        <f t="shared" si="37"/>
        <v>38117</v>
      </c>
      <c r="DP12" s="1863">
        <v>18307</v>
      </c>
      <c r="DQ12" s="1863">
        <v>20649</v>
      </c>
      <c r="DR12" s="1863">
        <f t="shared" si="38"/>
        <v>38956</v>
      </c>
      <c r="DS12" s="1865">
        <v>18518</v>
      </c>
      <c r="DT12" s="1866">
        <v>20811</v>
      </c>
      <c r="DU12" s="1866">
        <f t="shared" si="39"/>
        <v>39329</v>
      </c>
      <c r="DV12" s="1829">
        <v>18654</v>
      </c>
      <c r="DW12" s="1829">
        <v>21007</v>
      </c>
      <c r="DX12" s="1830">
        <f t="shared" si="40"/>
        <v>39661</v>
      </c>
      <c r="DY12" s="1863">
        <v>19077</v>
      </c>
      <c r="DZ12" s="1863">
        <v>21334</v>
      </c>
      <c r="EA12" s="1863">
        <f t="shared" si="41"/>
        <v>40411</v>
      </c>
      <c r="EB12" s="1831">
        <v>19378</v>
      </c>
      <c r="EC12" s="1832">
        <v>21626</v>
      </c>
      <c r="ED12" s="1832">
        <f t="shared" si="42"/>
        <v>41004</v>
      </c>
      <c r="EE12" s="1863">
        <v>19462</v>
      </c>
      <c r="EF12" s="1863">
        <v>21616</v>
      </c>
      <c r="EG12" s="1863">
        <f t="shared" si="43"/>
        <v>41078</v>
      </c>
      <c r="EH12" s="1865">
        <v>19204</v>
      </c>
      <c r="EI12" s="1866">
        <v>23153</v>
      </c>
      <c r="EJ12" s="1866">
        <f t="shared" si="44"/>
        <v>42357</v>
      </c>
      <c r="EK12" s="1866">
        <v>19687</v>
      </c>
      <c r="EL12" s="1866">
        <v>21964</v>
      </c>
      <c r="EM12" s="1866">
        <f t="shared" si="45"/>
        <v>41651</v>
      </c>
      <c r="EN12" s="1866">
        <v>20023</v>
      </c>
      <c r="EO12" s="1866">
        <v>22081</v>
      </c>
      <c r="EP12" s="1866">
        <f t="shared" si="46"/>
        <v>42104</v>
      </c>
      <c r="EQ12" s="1866">
        <v>20230</v>
      </c>
      <c r="ER12" s="1866">
        <v>22439</v>
      </c>
      <c r="ES12" s="1866">
        <f t="shared" si="47"/>
        <v>42669</v>
      </c>
      <c r="ET12" s="1863">
        <v>20046</v>
      </c>
      <c r="EU12" s="1863">
        <v>22553</v>
      </c>
      <c r="EV12" s="1863">
        <f t="shared" si="48"/>
        <v>42599</v>
      </c>
      <c r="EW12" s="1863">
        <v>19885</v>
      </c>
      <c r="EX12" s="1863">
        <v>21869</v>
      </c>
      <c r="EY12" s="1863">
        <f t="shared" si="49"/>
        <v>41754</v>
      </c>
      <c r="EZ12" s="1863">
        <v>20174</v>
      </c>
      <c r="FA12" s="1863">
        <v>22282</v>
      </c>
      <c r="FB12" s="1863">
        <f t="shared" si="50"/>
        <v>42456</v>
      </c>
      <c r="FC12" s="1865">
        <v>20657</v>
      </c>
      <c r="FD12" s="1866">
        <v>22282</v>
      </c>
      <c r="FE12" s="1866">
        <f t="shared" si="51"/>
        <v>42939</v>
      </c>
      <c r="FF12" s="1829">
        <v>20721</v>
      </c>
      <c r="FG12" s="1829">
        <v>22536</v>
      </c>
      <c r="FH12" s="1830">
        <f t="shared" si="52"/>
        <v>43257</v>
      </c>
      <c r="FI12" s="1863">
        <v>20824</v>
      </c>
      <c r="FJ12" s="1863">
        <v>22659</v>
      </c>
      <c r="FK12" s="1863">
        <f t="shared" si="53"/>
        <v>43483</v>
      </c>
      <c r="FL12" s="1831">
        <v>21322</v>
      </c>
      <c r="FM12" s="1832">
        <v>22645</v>
      </c>
      <c r="FN12" s="1832">
        <f t="shared" si="54"/>
        <v>43967</v>
      </c>
      <c r="FO12" s="1863">
        <v>21421</v>
      </c>
      <c r="FP12" s="1863">
        <v>22983</v>
      </c>
      <c r="FQ12" s="1863">
        <f t="shared" si="55"/>
        <v>44404</v>
      </c>
      <c r="FR12" s="1835">
        <v>22064</v>
      </c>
      <c r="FS12" s="1866">
        <v>23213</v>
      </c>
      <c r="FT12" s="1866">
        <f t="shared" si="56"/>
        <v>45277</v>
      </c>
      <c r="FU12" s="1866">
        <v>22247</v>
      </c>
      <c r="FV12" s="1866">
        <v>23621</v>
      </c>
      <c r="FW12" s="1866">
        <f t="shared" si="57"/>
        <v>45868</v>
      </c>
      <c r="FX12" s="1866">
        <v>21742</v>
      </c>
      <c r="FY12" s="1866">
        <v>23421</v>
      </c>
      <c r="FZ12" s="1866">
        <f t="shared" si="58"/>
        <v>45163</v>
      </c>
      <c r="GA12" s="1866">
        <v>22297</v>
      </c>
      <c r="GB12" s="1866">
        <v>24064</v>
      </c>
      <c r="GC12" s="1866">
        <f t="shared" si="59"/>
        <v>46361</v>
      </c>
      <c r="GD12" s="1863">
        <v>21953</v>
      </c>
      <c r="GE12" s="1863">
        <v>23772</v>
      </c>
      <c r="GF12" s="1863">
        <f t="shared" si="60"/>
        <v>45725</v>
      </c>
      <c r="GG12" s="1863">
        <v>21599</v>
      </c>
      <c r="GH12" s="1863">
        <v>23812</v>
      </c>
      <c r="GI12" s="1863">
        <f t="shared" si="61"/>
        <v>45411</v>
      </c>
      <c r="GJ12" s="1863">
        <v>21605</v>
      </c>
      <c r="GK12" s="1863">
        <v>23888</v>
      </c>
      <c r="GL12" s="1863">
        <f t="shared" si="62"/>
        <v>45493</v>
      </c>
      <c r="GM12" s="1865">
        <v>21396</v>
      </c>
      <c r="GN12" s="1866">
        <v>24010</v>
      </c>
      <c r="GO12" s="1866">
        <f t="shared" si="63"/>
        <v>45406</v>
      </c>
      <c r="GP12" s="1829">
        <v>21694</v>
      </c>
      <c r="GQ12" s="1829">
        <v>24091</v>
      </c>
      <c r="GR12" s="1830">
        <f t="shared" si="64"/>
        <v>45785</v>
      </c>
      <c r="GS12" s="1863">
        <v>21878</v>
      </c>
      <c r="GT12" s="1863">
        <v>24211</v>
      </c>
      <c r="GU12" s="1863">
        <f t="shared" si="65"/>
        <v>46089</v>
      </c>
      <c r="GV12" s="1831">
        <v>22268</v>
      </c>
      <c r="GW12" s="1832">
        <v>24763</v>
      </c>
      <c r="GX12" s="1832">
        <f t="shared" si="66"/>
        <v>47031</v>
      </c>
      <c r="GY12" s="1863">
        <v>22337</v>
      </c>
      <c r="GZ12" s="1863">
        <v>24846</v>
      </c>
      <c r="HA12" s="1863">
        <f t="shared" si="67"/>
        <v>47183</v>
      </c>
      <c r="HB12" s="1835">
        <v>22600</v>
      </c>
      <c r="HC12" s="1866">
        <v>25114</v>
      </c>
      <c r="HD12" s="1866">
        <f t="shared" si="68"/>
        <v>47714</v>
      </c>
      <c r="HE12" s="1866">
        <v>22638</v>
      </c>
      <c r="HF12" s="1866">
        <v>25268</v>
      </c>
      <c r="HG12" s="1866">
        <f t="shared" si="69"/>
        <v>47906</v>
      </c>
      <c r="HH12" s="1866">
        <v>22668</v>
      </c>
      <c r="HI12" s="1866">
        <v>25120</v>
      </c>
      <c r="HJ12" s="1866">
        <f t="shared" si="70"/>
        <v>47788</v>
      </c>
      <c r="HK12" s="1866">
        <v>22680</v>
      </c>
      <c r="HL12" s="1866">
        <v>25301</v>
      </c>
      <c r="HM12" s="1866">
        <f t="shared" si="71"/>
        <v>47981</v>
      </c>
      <c r="HN12" s="1863">
        <v>22523</v>
      </c>
      <c r="HO12" s="1863">
        <v>25150</v>
      </c>
      <c r="HP12" s="1863">
        <f t="shared" si="72"/>
        <v>47673</v>
      </c>
      <c r="HQ12" s="1863">
        <v>22021</v>
      </c>
      <c r="HR12" s="1863">
        <v>25347</v>
      </c>
      <c r="HS12" s="1863">
        <f t="shared" si="73"/>
        <v>47368</v>
      </c>
      <c r="HT12" s="1863">
        <v>22318</v>
      </c>
      <c r="HU12" s="1863">
        <v>25578</v>
      </c>
      <c r="HV12" s="1863">
        <f t="shared" si="74"/>
        <v>47896</v>
      </c>
      <c r="HW12" s="1867">
        <v>22127</v>
      </c>
      <c r="HX12" s="1868">
        <v>25708</v>
      </c>
      <c r="HY12" s="1866">
        <f t="shared" si="75"/>
        <v>47835</v>
      </c>
      <c r="HZ12" s="1829">
        <v>22541</v>
      </c>
      <c r="IA12" s="1829">
        <v>25766</v>
      </c>
      <c r="IB12" s="1830">
        <f t="shared" si="76"/>
        <v>48307</v>
      </c>
      <c r="IC12" s="1863">
        <v>22664</v>
      </c>
      <c r="ID12" s="1863">
        <v>25888</v>
      </c>
      <c r="IE12" s="1863">
        <f t="shared" si="77"/>
        <v>48552</v>
      </c>
      <c r="IF12" s="1831">
        <v>22840</v>
      </c>
      <c r="IG12" s="1832">
        <v>26216</v>
      </c>
      <c r="IH12" s="1832">
        <f t="shared" si="78"/>
        <v>49056</v>
      </c>
      <c r="II12" s="1812">
        <v>23008</v>
      </c>
      <c r="IJ12" s="1812">
        <v>26300</v>
      </c>
      <c r="IK12" s="1812">
        <f t="shared" si="79"/>
        <v>49308</v>
      </c>
      <c r="IL12" s="1812">
        <v>51038</v>
      </c>
    </row>
    <row r="13" spans="1:246">
      <c r="A13" s="1932" t="s">
        <v>1589</v>
      </c>
      <c r="B13" s="1863">
        <v>7860</v>
      </c>
      <c r="C13" s="1863">
        <v>6832</v>
      </c>
      <c r="D13" s="1863">
        <f t="shared" si="0"/>
        <v>14692</v>
      </c>
      <c r="E13" s="1864">
        <v>8288</v>
      </c>
      <c r="F13" s="1864">
        <v>6500</v>
      </c>
      <c r="G13" s="1864">
        <f t="shared" si="1"/>
        <v>14788</v>
      </c>
      <c r="H13" s="1864">
        <v>8544</v>
      </c>
      <c r="I13" s="1864">
        <v>7314</v>
      </c>
      <c r="J13" s="1864">
        <f t="shared" si="2"/>
        <v>15858</v>
      </c>
      <c r="K13" s="1825">
        <v>9171</v>
      </c>
      <c r="L13" s="1825">
        <v>7848</v>
      </c>
      <c r="M13" s="1825">
        <f t="shared" si="3"/>
        <v>17019</v>
      </c>
      <c r="N13" s="1827">
        <v>9363</v>
      </c>
      <c r="O13" s="1827">
        <v>7876</v>
      </c>
      <c r="P13" s="1827">
        <f t="shared" si="4"/>
        <v>17239</v>
      </c>
      <c r="Q13" s="1863">
        <v>9408</v>
      </c>
      <c r="R13" s="1863">
        <v>8214</v>
      </c>
      <c r="S13" s="1863">
        <f t="shared" si="5"/>
        <v>17622</v>
      </c>
      <c r="T13" s="1863">
        <v>9800</v>
      </c>
      <c r="U13" s="1863">
        <v>8448</v>
      </c>
      <c r="V13" s="1863">
        <f t="shared" si="6"/>
        <v>18248</v>
      </c>
      <c r="W13" s="1825">
        <v>9828</v>
      </c>
      <c r="X13" s="1825">
        <v>8435</v>
      </c>
      <c r="Y13" s="1825">
        <f t="shared" si="7"/>
        <v>18263</v>
      </c>
      <c r="Z13" s="1825">
        <v>9906</v>
      </c>
      <c r="AA13" s="1825">
        <v>8603</v>
      </c>
      <c r="AB13" s="1825">
        <f t="shared" si="8"/>
        <v>18509</v>
      </c>
      <c r="AC13" s="1828">
        <v>10480</v>
      </c>
      <c r="AD13" s="1828">
        <v>9140</v>
      </c>
      <c r="AE13" s="1828">
        <f t="shared" si="9"/>
        <v>19620</v>
      </c>
      <c r="AF13" s="1829">
        <v>10044</v>
      </c>
      <c r="AG13" s="1829">
        <v>8819</v>
      </c>
      <c r="AH13" s="1830">
        <f t="shared" si="10"/>
        <v>18863</v>
      </c>
      <c r="AI13" s="1829">
        <v>10456</v>
      </c>
      <c r="AJ13" s="1829">
        <v>8981</v>
      </c>
      <c r="AK13" s="1830">
        <f t="shared" si="11"/>
        <v>19437</v>
      </c>
      <c r="AL13" s="1863">
        <v>11029</v>
      </c>
      <c r="AM13" s="1863">
        <v>9137</v>
      </c>
      <c r="AN13" s="1863">
        <f t="shared" si="12"/>
        <v>20166</v>
      </c>
      <c r="AO13" s="1829">
        <v>11305</v>
      </c>
      <c r="AP13" s="1829">
        <v>8883</v>
      </c>
      <c r="AQ13" s="1830">
        <f t="shared" si="13"/>
        <v>20188</v>
      </c>
      <c r="AR13" s="1829">
        <v>10652</v>
      </c>
      <c r="AS13" s="1829">
        <v>7824</v>
      </c>
      <c r="AT13" s="1830">
        <f t="shared" si="14"/>
        <v>18476</v>
      </c>
      <c r="AU13" s="1829">
        <v>10510</v>
      </c>
      <c r="AV13" s="1829">
        <v>7532</v>
      </c>
      <c r="AW13" s="1830">
        <f t="shared" si="15"/>
        <v>18042</v>
      </c>
      <c r="AX13" s="1829">
        <v>10338</v>
      </c>
      <c r="AY13" s="1829">
        <v>7229</v>
      </c>
      <c r="AZ13" s="1830">
        <f t="shared" si="16"/>
        <v>17567</v>
      </c>
      <c r="BA13" s="1863">
        <v>10394</v>
      </c>
      <c r="BB13" s="1863">
        <v>7375</v>
      </c>
      <c r="BC13" s="1863">
        <f t="shared" si="17"/>
        <v>17769</v>
      </c>
      <c r="BD13" s="1838">
        <v>10808</v>
      </c>
      <c r="BE13" s="1839">
        <v>7605</v>
      </c>
      <c r="BF13" s="1832">
        <f t="shared" si="18"/>
        <v>18413</v>
      </c>
      <c r="BG13" s="1863">
        <v>10586</v>
      </c>
      <c r="BH13" s="1863">
        <v>7409</v>
      </c>
      <c r="BI13" s="1863">
        <f t="shared" si="19"/>
        <v>17995</v>
      </c>
      <c r="BJ13" s="1865">
        <v>10522</v>
      </c>
      <c r="BK13" s="1866">
        <v>7365</v>
      </c>
      <c r="BL13" s="1866">
        <f t="shared" si="20"/>
        <v>17887</v>
      </c>
      <c r="BM13" s="1866">
        <v>11003</v>
      </c>
      <c r="BN13" s="1866">
        <v>7549</v>
      </c>
      <c r="BO13" s="1866">
        <f t="shared" si="21"/>
        <v>18552</v>
      </c>
      <c r="BP13" s="1866">
        <v>10723</v>
      </c>
      <c r="BQ13" s="1866">
        <v>7394</v>
      </c>
      <c r="BR13" s="1866">
        <f t="shared" si="22"/>
        <v>18117</v>
      </c>
      <c r="BS13" s="1866">
        <v>11218</v>
      </c>
      <c r="BT13" s="1866">
        <v>7700</v>
      </c>
      <c r="BU13" s="1866">
        <f t="shared" si="23"/>
        <v>18918</v>
      </c>
      <c r="BV13" s="1863">
        <v>11209</v>
      </c>
      <c r="BW13" s="1863">
        <v>7726</v>
      </c>
      <c r="BX13" s="1863">
        <f t="shared" si="24"/>
        <v>18935</v>
      </c>
      <c r="BY13" s="1863">
        <v>11140</v>
      </c>
      <c r="BZ13" s="1863">
        <v>7635</v>
      </c>
      <c r="CA13" s="1863">
        <v>11263</v>
      </c>
      <c r="CB13" s="1863">
        <v>7827</v>
      </c>
      <c r="CC13" s="1863">
        <f t="shared" si="25"/>
        <v>19090</v>
      </c>
      <c r="CD13" s="1863">
        <v>11431</v>
      </c>
      <c r="CE13" s="1863">
        <v>7867</v>
      </c>
      <c r="CF13" s="1863">
        <f t="shared" si="26"/>
        <v>19298</v>
      </c>
      <c r="CG13" s="1865">
        <v>11484</v>
      </c>
      <c r="CH13" s="1866">
        <v>8231</v>
      </c>
      <c r="CI13" s="1866">
        <f t="shared" si="27"/>
        <v>19715</v>
      </c>
      <c r="CJ13" s="1863">
        <v>11421</v>
      </c>
      <c r="CK13" s="1863">
        <v>8187</v>
      </c>
      <c r="CL13" s="1829">
        <v>11772</v>
      </c>
      <c r="CM13" s="1829">
        <v>8513</v>
      </c>
      <c r="CN13" s="1830">
        <f t="shared" si="28"/>
        <v>20285</v>
      </c>
      <c r="CO13" s="1863">
        <v>13096</v>
      </c>
      <c r="CP13" s="1863">
        <v>9244</v>
      </c>
      <c r="CQ13" s="1863">
        <f t="shared" si="29"/>
        <v>22340</v>
      </c>
      <c r="CR13" s="1838">
        <v>12888</v>
      </c>
      <c r="CS13" s="1839">
        <v>9479</v>
      </c>
      <c r="CT13" s="1832">
        <f t="shared" si="30"/>
        <v>22367</v>
      </c>
      <c r="CU13" s="1863">
        <v>13083</v>
      </c>
      <c r="CV13" s="1863">
        <v>9639</v>
      </c>
      <c r="CW13" s="1863">
        <f t="shared" si="31"/>
        <v>22722</v>
      </c>
      <c r="CX13" s="1865">
        <v>13284</v>
      </c>
      <c r="CY13" s="1866">
        <v>9878</v>
      </c>
      <c r="CZ13" s="1866">
        <f t="shared" si="32"/>
        <v>23162</v>
      </c>
      <c r="DA13" s="1866">
        <v>13374</v>
      </c>
      <c r="DB13" s="1866">
        <v>10046</v>
      </c>
      <c r="DC13" s="1866">
        <f t="shared" si="33"/>
        <v>23420</v>
      </c>
      <c r="DD13" s="1866">
        <v>13974</v>
      </c>
      <c r="DE13" s="1866">
        <v>10566</v>
      </c>
      <c r="DF13" s="1866">
        <f t="shared" si="34"/>
        <v>24540</v>
      </c>
      <c r="DG13" s="1866">
        <v>14101</v>
      </c>
      <c r="DH13" s="1866">
        <v>10724</v>
      </c>
      <c r="DI13" s="1866">
        <f t="shared" si="35"/>
        <v>24825</v>
      </c>
      <c r="DJ13" s="1863">
        <v>14397</v>
      </c>
      <c r="DK13" s="1863">
        <v>11155</v>
      </c>
      <c r="DL13" s="1863">
        <f t="shared" si="36"/>
        <v>25552</v>
      </c>
      <c r="DM13" s="1863">
        <v>14579</v>
      </c>
      <c r="DN13" s="1863">
        <v>11467</v>
      </c>
      <c r="DO13" s="1863">
        <f t="shared" si="37"/>
        <v>26046</v>
      </c>
      <c r="DP13" s="1863">
        <v>15101</v>
      </c>
      <c r="DQ13" s="1863">
        <v>11863</v>
      </c>
      <c r="DR13" s="1863">
        <f t="shared" si="38"/>
        <v>26964</v>
      </c>
      <c r="DS13" s="1865">
        <v>15592</v>
      </c>
      <c r="DT13" s="1866">
        <v>12403</v>
      </c>
      <c r="DU13" s="1866">
        <f t="shared" si="39"/>
        <v>27995</v>
      </c>
      <c r="DV13" s="1829">
        <v>15333</v>
      </c>
      <c r="DW13" s="1829">
        <v>12126</v>
      </c>
      <c r="DX13" s="1830">
        <f t="shared" si="40"/>
        <v>27459</v>
      </c>
      <c r="DY13" s="1863">
        <v>15764</v>
      </c>
      <c r="DZ13" s="1863">
        <v>12749</v>
      </c>
      <c r="EA13" s="1863">
        <f t="shared" si="41"/>
        <v>28513</v>
      </c>
      <c r="EB13" s="1838">
        <v>16302</v>
      </c>
      <c r="EC13" s="1839">
        <v>13033</v>
      </c>
      <c r="ED13" s="1832">
        <f t="shared" si="42"/>
        <v>29335</v>
      </c>
      <c r="EE13" s="1863">
        <v>16405</v>
      </c>
      <c r="EF13" s="1863">
        <v>13433</v>
      </c>
      <c r="EG13" s="1863">
        <f t="shared" si="43"/>
        <v>29838</v>
      </c>
      <c r="EH13" s="1865">
        <v>16058</v>
      </c>
      <c r="EI13" s="1866">
        <v>13190</v>
      </c>
      <c r="EJ13" s="1866">
        <f t="shared" si="44"/>
        <v>29248</v>
      </c>
      <c r="EK13" s="1866">
        <v>16693</v>
      </c>
      <c r="EL13" s="1866">
        <v>13850</v>
      </c>
      <c r="EM13" s="1866">
        <f t="shared" si="45"/>
        <v>30543</v>
      </c>
      <c r="EN13" s="1866">
        <v>16837</v>
      </c>
      <c r="EO13" s="1866">
        <v>14083</v>
      </c>
      <c r="EP13" s="1866">
        <f t="shared" si="46"/>
        <v>30920</v>
      </c>
      <c r="EQ13" s="1866">
        <v>17158</v>
      </c>
      <c r="ER13" s="1866">
        <v>14541</v>
      </c>
      <c r="ES13" s="1866">
        <f t="shared" si="47"/>
        <v>31699</v>
      </c>
      <c r="ET13" s="1863">
        <v>17128</v>
      </c>
      <c r="EU13" s="1863">
        <v>14774</v>
      </c>
      <c r="EV13" s="1863">
        <f t="shared" si="48"/>
        <v>31902</v>
      </c>
      <c r="EW13" s="1863">
        <v>17920</v>
      </c>
      <c r="EX13" s="1863">
        <v>15281</v>
      </c>
      <c r="EY13" s="1863">
        <f t="shared" si="49"/>
        <v>33201</v>
      </c>
      <c r="EZ13" s="1863">
        <v>18385</v>
      </c>
      <c r="FA13" s="1863">
        <v>15857</v>
      </c>
      <c r="FB13" s="1863">
        <f t="shared" si="50"/>
        <v>34242</v>
      </c>
      <c r="FC13" s="1865">
        <v>18696</v>
      </c>
      <c r="FD13" s="1866">
        <v>16116</v>
      </c>
      <c r="FE13" s="1866">
        <f t="shared" si="51"/>
        <v>34812</v>
      </c>
      <c r="FF13" s="1829">
        <v>18189</v>
      </c>
      <c r="FG13" s="1829">
        <v>15918</v>
      </c>
      <c r="FH13" s="1830">
        <f t="shared" si="52"/>
        <v>34107</v>
      </c>
      <c r="FI13" s="1863">
        <v>18433</v>
      </c>
      <c r="FJ13" s="1863">
        <v>16232</v>
      </c>
      <c r="FK13" s="1863">
        <f t="shared" si="53"/>
        <v>34665</v>
      </c>
      <c r="FL13" s="1838">
        <v>18936</v>
      </c>
      <c r="FM13" s="1839">
        <v>17086</v>
      </c>
      <c r="FN13" s="1832">
        <f t="shared" si="54"/>
        <v>36022</v>
      </c>
      <c r="FO13" s="1863">
        <v>19150</v>
      </c>
      <c r="FP13" s="1863">
        <v>17226</v>
      </c>
      <c r="FQ13" s="1863">
        <f t="shared" si="55"/>
        <v>36376</v>
      </c>
      <c r="FR13" s="1835">
        <v>19553</v>
      </c>
      <c r="FS13" s="1866">
        <v>17816</v>
      </c>
      <c r="FT13" s="1866">
        <f t="shared" si="56"/>
        <v>37369</v>
      </c>
      <c r="FU13" s="1866">
        <v>19346</v>
      </c>
      <c r="FV13" s="1866">
        <v>17786</v>
      </c>
      <c r="FW13" s="1866">
        <f t="shared" si="57"/>
        <v>37132</v>
      </c>
      <c r="FX13" s="1866">
        <v>19323</v>
      </c>
      <c r="FY13" s="1866">
        <v>18117</v>
      </c>
      <c r="FZ13" s="1866">
        <f t="shared" si="58"/>
        <v>37440</v>
      </c>
      <c r="GA13" s="1866">
        <v>20427</v>
      </c>
      <c r="GB13" s="1866">
        <v>19212</v>
      </c>
      <c r="GC13" s="1866">
        <f t="shared" si="59"/>
        <v>39639</v>
      </c>
      <c r="GD13" s="1863">
        <v>20244</v>
      </c>
      <c r="GE13" s="1863">
        <v>19229</v>
      </c>
      <c r="GF13" s="1863">
        <f t="shared" si="60"/>
        <v>39473</v>
      </c>
      <c r="GG13" s="1863">
        <v>19867</v>
      </c>
      <c r="GH13" s="1863">
        <v>19083</v>
      </c>
      <c r="GI13" s="1863">
        <f t="shared" si="61"/>
        <v>38950</v>
      </c>
      <c r="GJ13" s="1863">
        <v>20049</v>
      </c>
      <c r="GK13" s="1863">
        <v>19320</v>
      </c>
      <c r="GL13" s="1863">
        <f t="shared" si="62"/>
        <v>39369</v>
      </c>
      <c r="GM13" s="1865">
        <v>20509</v>
      </c>
      <c r="GN13" s="1866">
        <v>19995</v>
      </c>
      <c r="GO13" s="1866">
        <f t="shared" si="63"/>
        <v>40504</v>
      </c>
      <c r="GP13" s="1829">
        <v>20887</v>
      </c>
      <c r="GQ13" s="1829">
        <v>20665</v>
      </c>
      <c r="GR13" s="1830">
        <f t="shared" si="64"/>
        <v>41552</v>
      </c>
      <c r="GS13" s="1863">
        <v>20880</v>
      </c>
      <c r="GT13" s="1863">
        <v>20746</v>
      </c>
      <c r="GU13" s="1863">
        <f t="shared" si="65"/>
        <v>41626</v>
      </c>
      <c r="GV13" s="1838">
        <v>21071</v>
      </c>
      <c r="GW13" s="1839">
        <v>20907</v>
      </c>
      <c r="GX13" s="1832">
        <f t="shared" si="66"/>
        <v>41978</v>
      </c>
      <c r="GY13" s="1863">
        <v>21412</v>
      </c>
      <c r="GZ13" s="1863">
        <v>21307</v>
      </c>
      <c r="HA13" s="1863">
        <f t="shared" si="67"/>
        <v>42719</v>
      </c>
      <c r="HB13" s="1835">
        <v>22092</v>
      </c>
      <c r="HC13" s="1866">
        <v>22020</v>
      </c>
      <c r="HD13" s="1866">
        <f t="shared" si="68"/>
        <v>44112</v>
      </c>
      <c r="HE13" s="1866">
        <v>22361</v>
      </c>
      <c r="HF13" s="1866">
        <v>22460</v>
      </c>
      <c r="HG13" s="1866">
        <f t="shared" si="69"/>
        <v>44821</v>
      </c>
      <c r="HH13" s="1866">
        <v>22425</v>
      </c>
      <c r="HI13" s="1866">
        <v>22477</v>
      </c>
      <c r="HJ13" s="1866">
        <f t="shared" si="70"/>
        <v>44902</v>
      </c>
      <c r="HK13" s="1866">
        <v>22593</v>
      </c>
      <c r="HL13" s="1866">
        <v>22716</v>
      </c>
      <c r="HM13" s="1866">
        <f t="shared" si="71"/>
        <v>45309</v>
      </c>
      <c r="HN13" s="1863">
        <v>22736</v>
      </c>
      <c r="HO13" s="1863">
        <v>22974</v>
      </c>
      <c r="HP13" s="1863">
        <f t="shared" si="72"/>
        <v>45710</v>
      </c>
      <c r="HQ13" s="1863">
        <v>22651</v>
      </c>
      <c r="HR13" s="1863">
        <v>23013</v>
      </c>
      <c r="HS13" s="1863">
        <f t="shared" si="73"/>
        <v>45664</v>
      </c>
      <c r="HT13" s="1863">
        <v>23536</v>
      </c>
      <c r="HU13" s="1863">
        <v>23904</v>
      </c>
      <c r="HV13" s="1863">
        <f t="shared" si="74"/>
        <v>47440</v>
      </c>
      <c r="HW13" s="1867">
        <v>23576</v>
      </c>
      <c r="HX13" s="1868">
        <v>24075</v>
      </c>
      <c r="HY13" s="1866">
        <f t="shared" si="75"/>
        <v>47651</v>
      </c>
      <c r="HZ13" s="1829">
        <v>23162</v>
      </c>
      <c r="IA13" s="1829">
        <v>23812</v>
      </c>
      <c r="IB13" s="1830">
        <f t="shared" si="76"/>
        <v>46974</v>
      </c>
      <c r="IC13" s="1863">
        <v>23661</v>
      </c>
      <c r="ID13" s="1863">
        <v>24405</v>
      </c>
      <c r="IE13" s="1863">
        <f t="shared" si="77"/>
        <v>48066</v>
      </c>
      <c r="IF13" s="1838">
        <v>23858</v>
      </c>
      <c r="IG13" s="1839">
        <v>24683</v>
      </c>
      <c r="IH13" s="1832">
        <f t="shared" si="78"/>
        <v>48541</v>
      </c>
      <c r="II13" s="1812">
        <v>24006</v>
      </c>
      <c r="IJ13" s="1812">
        <v>25057</v>
      </c>
      <c r="IK13" s="1812">
        <f t="shared" si="79"/>
        <v>49063</v>
      </c>
      <c r="IL13" s="1812">
        <v>50387</v>
      </c>
    </row>
    <row r="14" spans="1:246" hidden="1">
      <c r="A14" s="1933" t="s">
        <v>852</v>
      </c>
      <c r="B14" s="1863">
        <v>4516</v>
      </c>
      <c r="C14" s="1863">
        <v>770</v>
      </c>
      <c r="D14" s="1863">
        <f t="shared" si="0"/>
        <v>5286</v>
      </c>
      <c r="E14" s="1864">
        <v>4677</v>
      </c>
      <c r="F14" s="1864">
        <v>670</v>
      </c>
      <c r="G14" s="1864">
        <f t="shared" si="1"/>
        <v>5347</v>
      </c>
      <c r="H14" s="1864">
        <v>5208</v>
      </c>
      <c r="I14" s="1869">
        <v>826</v>
      </c>
      <c r="J14" s="1864">
        <f t="shared" si="2"/>
        <v>6034</v>
      </c>
      <c r="K14" s="1825">
        <v>5441</v>
      </c>
      <c r="L14" s="1825">
        <v>920</v>
      </c>
      <c r="M14" s="1825">
        <f t="shared" si="3"/>
        <v>6361</v>
      </c>
      <c r="N14" s="1826">
        <v>5233</v>
      </c>
      <c r="O14" s="1826">
        <v>974</v>
      </c>
      <c r="P14" s="1827">
        <f t="shared" si="4"/>
        <v>6207</v>
      </c>
      <c r="Q14" s="1863">
        <v>5167</v>
      </c>
      <c r="R14" s="1863">
        <v>1080</v>
      </c>
      <c r="S14" s="1863">
        <f t="shared" si="5"/>
        <v>6247</v>
      </c>
      <c r="T14" s="1863">
        <v>5868</v>
      </c>
      <c r="U14" s="1863">
        <v>1162</v>
      </c>
      <c r="V14" s="1863">
        <f t="shared" si="6"/>
        <v>7030</v>
      </c>
      <c r="W14" s="1825">
        <v>5602</v>
      </c>
      <c r="X14" s="1825">
        <v>1472</v>
      </c>
      <c r="Y14" s="1825">
        <f t="shared" si="7"/>
        <v>7074</v>
      </c>
      <c r="Z14" s="1825">
        <v>5491</v>
      </c>
      <c r="AA14" s="1825">
        <v>1776</v>
      </c>
      <c r="AB14" s="1825">
        <f t="shared" si="8"/>
        <v>7267</v>
      </c>
      <c r="AC14" s="1828">
        <v>5685</v>
      </c>
      <c r="AD14" s="1828">
        <v>1995</v>
      </c>
      <c r="AE14" s="1828">
        <f t="shared" si="9"/>
        <v>7680</v>
      </c>
      <c r="AF14" s="1830">
        <v>5356</v>
      </c>
      <c r="AG14" s="1830">
        <v>2007</v>
      </c>
      <c r="AH14" s="1830">
        <f t="shared" si="10"/>
        <v>7363</v>
      </c>
      <c r="AI14" s="1830">
        <v>6216</v>
      </c>
      <c r="AJ14" s="1830">
        <v>2305</v>
      </c>
      <c r="AK14" s="1830">
        <f t="shared" si="11"/>
        <v>8521</v>
      </c>
      <c r="AL14" s="1863">
        <v>6723</v>
      </c>
      <c r="AM14" s="1863">
        <v>2526</v>
      </c>
      <c r="AN14" s="1863">
        <f t="shared" si="12"/>
        <v>9249</v>
      </c>
      <c r="AO14" s="1830">
        <v>6523</v>
      </c>
      <c r="AP14" s="1830">
        <v>2811</v>
      </c>
      <c r="AQ14" s="1830">
        <f t="shared" si="13"/>
        <v>9334</v>
      </c>
      <c r="AR14" s="1830">
        <v>6180</v>
      </c>
      <c r="AS14" s="1830">
        <v>2844</v>
      </c>
      <c r="AT14" s="1830">
        <f t="shared" si="14"/>
        <v>9024</v>
      </c>
      <c r="AU14" s="1830">
        <v>5903</v>
      </c>
      <c r="AV14" s="1830">
        <v>3098</v>
      </c>
      <c r="AW14" s="1830">
        <f t="shared" si="15"/>
        <v>9001</v>
      </c>
      <c r="AX14" s="1830">
        <v>5941</v>
      </c>
      <c r="AY14" s="1830">
        <v>3168</v>
      </c>
      <c r="AZ14" s="1830">
        <f t="shared" si="16"/>
        <v>9109</v>
      </c>
      <c r="BA14" s="1863">
        <v>6072</v>
      </c>
      <c r="BB14" s="1863">
        <v>3213</v>
      </c>
      <c r="BC14" s="1863">
        <f t="shared" si="17"/>
        <v>9285</v>
      </c>
      <c r="BD14" s="1831">
        <v>6044</v>
      </c>
      <c r="BE14" s="1832">
        <v>3342</v>
      </c>
      <c r="BF14" s="1832">
        <f t="shared" si="18"/>
        <v>9386</v>
      </c>
      <c r="BG14" s="1863">
        <v>6089</v>
      </c>
      <c r="BH14" s="1863">
        <v>3390</v>
      </c>
      <c r="BI14" s="1863">
        <f t="shared" si="19"/>
        <v>9479</v>
      </c>
      <c r="BJ14" s="1865">
        <v>6068</v>
      </c>
      <c r="BK14" s="1866">
        <v>3357</v>
      </c>
      <c r="BL14" s="1866">
        <f t="shared" si="20"/>
        <v>9425</v>
      </c>
      <c r="BM14" s="1866">
        <v>6321</v>
      </c>
      <c r="BN14" s="1866">
        <v>3603</v>
      </c>
      <c r="BO14" s="1866">
        <f t="shared" si="21"/>
        <v>9924</v>
      </c>
      <c r="BP14" s="1866">
        <v>7979</v>
      </c>
      <c r="BQ14" s="1866">
        <v>4288</v>
      </c>
      <c r="BR14" s="1866">
        <f t="shared" si="22"/>
        <v>12267</v>
      </c>
      <c r="BS14" s="1866">
        <v>12858</v>
      </c>
      <c r="BT14" s="1866">
        <v>6030</v>
      </c>
      <c r="BU14" s="1866">
        <f t="shared" si="23"/>
        <v>18888</v>
      </c>
      <c r="BV14" s="1863">
        <v>12299</v>
      </c>
      <c r="BW14" s="1863">
        <v>6204</v>
      </c>
      <c r="BX14" s="1863">
        <f t="shared" si="24"/>
        <v>18503</v>
      </c>
      <c r="BY14" s="1863">
        <v>12925</v>
      </c>
      <c r="BZ14" s="1863">
        <v>6061</v>
      </c>
      <c r="CA14" s="1863">
        <v>10321</v>
      </c>
      <c r="CB14" s="1863">
        <v>4874</v>
      </c>
      <c r="CC14" s="1863">
        <f t="shared" si="25"/>
        <v>15195</v>
      </c>
      <c r="CD14" s="1863">
        <v>11254</v>
      </c>
      <c r="CE14" s="1863">
        <v>6100</v>
      </c>
      <c r="CF14" s="1863">
        <f t="shared" si="26"/>
        <v>17354</v>
      </c>
      <c r="CG14" s="1865">
        <v>9856</v>
      </c>
      <c r="CH14" s="1866">
        <v>5030</v>
      </c>
      <c r="CI14" s="1866">
        <f t="shared" si="27"/>
        <v>14886</v>
      </c>
      <c r="CJ14" s="1863">
        <v>9834</v>
      </c>
      <c r="CK14" s="1863">
        <v>5022</v>
      </c>
      <c r="CL14" s="1830">
        <v>9750</v>
      </c>
      <c r="CM14" s="1830">
        <v>5037</v>
      </c>
      <c r="CN14" s="1830">
        <f t="shared" si="28"/>
        <v>14787</v>
      </c>
      <c r="CO14" s="1863">
        <v>11443</v>
      </c>
      <c r="CP14" s="1863">
        <v>5678</v>
      </c>
      <c r="CQ14" s="1863">
        <f t="shared" si="29"/>
        <v>17121</v>
      </c>
      <c r="CR14" s="1831">
        <v>11122</v>
      </c>
      <c r="CS14" s="1832">
        <v>5788</v>
      </c>
      <c r="CT14" s="1832">
        <f t="shared" si="30"/>
        <v>16910</v>
      </c>
      <c r="CU14" s="1863">
        <v>11703</v>
      </c>
      <c r="CV14" s="1863">
        <v>5612</v>
      </c>
      <c r="CW14" s="1863">
        <f t="shared" si="31"/>
        <v>17315</v>
      </c>
      <c r="CX14" s="1865">
        <v>12511</v>
      </c>
      <c r="CY14" s="1866">
        <v>5545</v>
      </c>
      <c r="CZ14" s="1866">
        <f t="shared" si="32"/>
        <v>18056</v>
      </c>
      <c r="DA14" s="1866">
        <v>13022</v>
      </c>
      <c r="DB14" s="1866">
        <v>5572</v>
      </c>
      <c r="DC14" s="1866">
        <f t="shared" si="33"/>
        <v>18594</v>
      </c>
      <c r="DD14" s="1866">
        <v>15966</v>
      </c>
      <c r="DE14" s="1866">
        <v>6353</v>
      </c>
      <c r="DF14" s="1866">
        <f t="shared" si="34"/>
        <v>22319</v>
      </c>
      <c r="DG14" s="1866">
        <v>15896</v>
      </c>
      <c r="DH14" s="1866">
        <v>6323</v>
      </c>
      <c r="DI14" s="1866">
        <f t="shared" si="35"/>
        <v>22219</v>
      </c>
      <c r="DJ14" s="1863">
        <v>16506</v>
      </c>
      <c r="DK14" s="1863">
        <v>6507</v>
      </c>
      <c r="DL14" s="1863">
        <f t="shared" si="36"/>
        <v>23013</v>
      </c>
      <c r="DM14" s="1863">
        <v>18249</v>
      </c>
      <c r="DN14" s="1863">
        <v>6971</v>
      </c>
      <c r="DO14" s="1863">
        <f t="shared" si="37"/>
        <v>25220</v>
      </c>
      <c r="DP14" s="1863">
        <v>17357</v>
      </c>
      <c r="DQ14" s="1863">
        <v>7118</v>
      </c>
      <c r="DR14" s="1863">
        <f t="shared" si="38"/>
        <v>24475</v>
      </c>
      <c r="DS14" s="1865">
        <v>18001</v>
      </c>
      <c r="DT14" s="1866">
        <v>7659</v>
      </c>
      <c r="DU14" s="1866">
        <f t="shared" si="39"/>
        <v>25660</v>
      </c>
      <c r="DV14" s="1830">
        <v>17787</v>
      </c>
      <c r="DW14" s="1830">
        <v>7794</v>
      </c>
      <c r="DX14" s="1830">
        <f t="shared" si="40"/>
        <v>25581</v>
      </c>
      <c r="DY14" s="1863">
        <v>17801</v>
      </c>
      <c r="DZ14" s="1863">
        <v>8251</v>
      </c>
      <c r="EA14" s="1863">
        <f t="shared" si="41"/>
        <v>26052</v>
      </c>
      <c r="EB14" s="1831">
        <v>18717</v>
      </c>
      <c r="EC14" s="1832">
        <v>8756</v>
      </c>
      <c r="ED14" s="1832">
        <f t="shared" si="42"/>
        <v>27473</v>
      </c>
      <c r="EE14" s="1863">
        <v>18086</v>
      </c>
      <c r="EF14" s="1863">
        <v>8920</v>
      </c>
      <c r="EG14" s="1863">
        <f t="shared" si="43"/>
        <v>27006</v>
      </c>
      <c r="EH14" s="1865">
        <v>15696</v>
      </c>
      <c r="EI14" s="1866">
        <v>7485</v>
      </c>
      <c r="EJ14" s="1866">
        <f t="shared" si="44"/>
        <v>23181</v>
      </c>
      <c r="EK14" s="1866">
        <v>18117</v>
      </c>
      <c r="EL14" s="1866">
        <v>9003</v>
      </c>
      <c r="EM14" s="1866">
        <f t="shared" si="45"/>
        <v>27120</v>
      </c>
      <c r="EN14" s="1866">
        <v>17981</v>
      </c>
      <c r="EO14" s="1866">
        <v>9226</v>
      </c>
      <c r="EP14" s="1866">
        <f t="shared" si="46"/>
        <v>27207</v>
      </c>
      <c r="EQ14" s="1866">
        <v>17818</v>
      </c>
      <c r="ER14" s="1866">
        <v>9203</v>
      </c>
      <c r="ES14" s="1866">
        <f t="shared" si="47"/>
        <v>27021</v>
      </c>
      <c r="ET14" s="1863">
        <v>19312</v>
      </c>
      <c r="EU14" s="1863">
        <v>9422</v>
      </c>
      <c r="EV14" s="1863">
        <f t="shared" si="48"/>
        <v>28734</v>
      </c>
      <c r="EW14" s="1863">
        <v>19498</v>
      </c>
      <c r="EX14" s="1863">
        <v>8068</v>
      </c>
      <c r="EY14" s="1863">
        <f t="shared" si="49"/>
        <v>27566</v>
      </c>
      <c r="EZ14" s="1863">
        <v>21114</v>
      </c>
      <c r="FA14" s="1863">
        <v>8039</v>
      </c>
      <c r="FB14" s="1863">
        <f t="shared" si="50"/>
        <v>29153</v>
      </c>
      <c r="FC14" s="1865">
        <v>22927</v>
      </c>
      <c r="FD14" s="1866">
        <v>8438</v>
      </c>
      <c r="FE14" s="1866">
        <f t="shared" si="51"/>
        <v>31365</v>
      </c>
      <c r="FF14" s="1830">
        <v>22437</v>
      </c>
      <c r="FG14" s="1830">
        <v>8560</v>
      </c>
      <c r="FH14" s="1830">
        <f t="shared" si="52"/>
        <v>30997</v>
      </c>
      <c r="FI14" s="1863">
        <v>22041</v>
      </c>
      <c r="FJ14" s="1863">
        <v>8910</v>
      </c>
      <c r="FK14" s="1863">
        <f t="shared" si="53"/>
        <v>30951</v>
      </c>
      <c r="FL14" s="1831">
        <v>22582</v>
      </c>
      <c r="FM14" s="1832">
        <v>9648</v>
      </c>
      <c r="FN14" s="1832">
        <f t="shared" si="54"/>
        <v>32230</v>
      </c>
      <c r="FO14" s="1863">
        <v>22453</v>
      </c>
      <c r="FP14" s="1863">
        <v>9622</v>
      </c>
      <c r="FQ14" s="1863">
        <f t="shared" si="55"/>
        <v>32075</v>
      </c>
      <c r="FR14" s="1835">
        <v>22566</v>
      </c>
      <c r="FS14" s="1866">
        <v>9806</v>
      </c>
      <c r="FT14" s="1866">
        <f t="shared" si="56"/>
        <v>32372</v>
      </c>
      <c r="FU14" s="1866">
        <v>23397</v>
      </c>
      <c r="FV14" s="1866">
        <v>10490</v>
      </c>
      <c r="FW14" s="1866">
        <f t="shared" si="57"/>
        <v>33887</v>
      </c>
      <c r="FX14" s="1866">
        <v>22855</v>
      </c>
      <c r="FY14" s="1866">
        <v>10282</v>
      </c>
      <c r="FZ14" s="1866">
        <f t="shared" si="58"/>
        <v>33137</v>
      </c>
      <c r="GA14" s="1866">
        <v>24306</v>
      </c>
      <c r="GB14" s="1866">
        <v>11160</v>
      </c>
      <c r="GC14" s="1866">
        <f t="shared" si="59"/>
        <v>35466</v>
      </c>
      <c r="GD14" s="1863">
        <v>23922</v>
      </c>
      <c r="GE14" s="1863">
        <v>10974</v>
      </c>
      <c r="GF14" s="1863">
        <f t="shared" si="60"/>
        <v>34896</v>
      </c>
      <c r="GG14" s="1863">
        <v>23511</v>
      </c>
      <c r="GH14" s="1863">
        <v>11282</v>
      </c>
      <c r="GI14" s="1863">
        <f t="shared" si="61"/>
        <v>34793</v>
      </c>
      <c r="GJ14" s="1863">
        <v>23754</v>
      </c>
      <c r="GK14" s="1863">
        <v>11515</v>
      </c>
      <c r="GL14" s="1863">
        <f t="shared" si="62"/>
        <v>35269</v>
      </c>
      <c r="GM14" s="1865">
        <v>23993</v>
      </c>
      <c r="GN14" s="1866">
        <v>11864</v>
      </c>
      <c r="GO14" s="1866">
        <f t="shared" si="63"/>
        <v>35857</v>
      </c>
      <c r="GP14" s="1830">
        <v>23737</v>
      </c>
      <c r="GQ14" s="1830">
        <v>13298</v>
      </c>
      <c r="GR14" s="1830">
        <f t="shared" si="64"/>
        <v>37035</v>
      </c>
      <c r="GS14" s="1863">
        <v>23795</v>
      </c>
      <c r="GT14" s="1863">
        <v>11934</v>
      </c>
      <c r="GU14" s="1863">
        <f t="shared" si="65"/>
        <v>35729</v>
      </c>
      <c r="GV14" s="1831">
        <v>24160</v>
      </c>
      <c r="GW14" s="1832">
        <v>12375</v>
      </c>
      <c r="GX14" s="1832">
        <f t="shared" si="66"/>
        <v>36535</v>
      </c>
      <c r="GY14" s="1863">
        <v>24072</v>
      </c>
      <c r="GZ14" s="1863">
        <v>12568</v>
      </c>
      <c r="HA14" s="1863">
        <f t="shared" si="67"/>
        <v>36640</v>
      </c>
      <c r="HB14" s="1835">
        <v>24605</v>
      </c>
      <c r="HC14" s="1866">
        <v>13118</v>
      </c>
      <c r="HD14" s="1866">
        <f t="shared" si="68"/>
        <v>37723</v>
      </c>
      <c r="HE14" s="1866">
        <v>24251</v>
      </c>
      <c r="HF14" s="1866">
        <v>13322</v>
      </c>
      <c r="HG14" s="1866">
        <f t="shared" si="69"/>
        <v>37573</v>
      </c>
      <c r="HH14" s="1866">
        <v>24622</v>
      </c>
      <c r="HI14" s="1866">
        <v>13617</v>
      </c>
      <c r="HJ14" s="1866">
        <f t="shared" si="70"/>
        <v>38239</v>
      </c>
      <c r="HK14" s="1866">
        <v>24852</v>
      </c>
      <c r="HL14" s="1866">
        <v>14007</v>
      </c>
      <c r="HM14" s="1866">
        <f t="shared" si="71"/>
        <v>38859</v>
      </c>
      <c r="HN14" s="1863">
        <v>24501</v>
      </c>
      <c r="HO14" s="1863">
        <v>13783</v>
      </c>
      <c r="HP14" s="1863">
        <f t="shared" si="72"/>
        <v>38284</v>
      </c>
      <c r="HQ14" s="1863">
        <v>24133</v>
      </c>
      <c r="HR14" s="1863">
        <v>14063</v>
      </c>
      <c r="HS14" s="1863">
        <f t="shared" si="73"/>
        <v>38196</v>
      </c>
      <c r="HT14" s="1863">
        <v>24948</v>
      </c>
      <c r="HU14" s="1863">
        <v>14671</v>
      </c>
      <c r="HV14" s="1863">
        <f t="shared" si="74"/>
        <v>39619</v>
      </c>
      <c r="HW14" s="1867">
        <v>24811</v>
      </c>
      <c r="HX14" s="1868">
        <v>14578</v>
      </c>
      <c r="HY14" s="1866">
        <f t="shared" si="75"/>
        <v>39389</v>
      </c>
      <c r="HZ14" s="1830">
        <v>25150</v>
      </c>
      <c r="IA14" s="1830">
        <v>15037</v>
      </c>
      <c r="IB14" s="1830">
        <f t="shared" si="76"/>
        <v>40187</v>
      </c>
      <c r="IC14" s="1863">
        <v>25540</v>
      </c>
      <c r="ID14" s="1863">
        <v>15292</v>
      </c>
      <c r="IE14" s="1863">
        <f t="shared" si="77"/>
        <v>40832</v>
      </c>
      <c r="IF14" s="1831">
        <v>25434</v>
      </c>
      <c r="IG14" s="1832">
        <v>15475</v>
      </c>
      <c r="IH14" s="1832">
        <f t="shared" si="78"/>
        <v>40909</v>
      </c>
      <c r="II14" s="1812">
        <v>26001</v>
      </c>
      <c r="IJ14" s="1812">
        <v>16043</v>
      </c>
      <c r="IK14" s="1812">
        <f t="shared" si="79"/>
        <v>42044</v>
      </c>
      <c r="IL14" s="1812"/>
    </row>
    <row r="15" spans="1:246" ht="24.75" hidden="1">
      <c r="A15" s="1933" t="s">
        <v>1598</v>
      </c>
      <c r="B15" s="1863">
        <v>5870</v>
      </c>
      <c r="C15" s="1863">
        <v>5433</v>
      </c>
      <c r="D15" s="1863">
        <f t="shared" si="0"/>
        <v>11303</v>
      </c>
      <c r="E15" s="1864">
        <v>6038</v>
      </c>
      <c r="F15" s="1864">
        <v>5401</v>
      </c>
      <c r="G15" s="1864">
        <f t="shared" si="1"/>
        <v>11439</v>
      </c>
      <c r="H15" s="1864">
        <v>5970</v>
      </c>
      <c r="I15" s="1864">
        <v>5303</v>
      </c>
      <c r="J15" s="1864">
        <f t="shared" si="2"/>
        <v>11273</v>
      </c>
      <c r="K15" s="1825">
        <v>6047</v>
      </c>
      <c r="L15" s="1825">
        <v>5422</v>
      </c>
      <c r="M15" s="1825">
        <f t="shared" si="3"/>
        <v>11469</v>
      </c>
      <c r="N15" s="1827">
        <v>5948</v>
      </c>
      <c r="O15" s="1827">
        <v>5594</v>
      </c>
      <c r="P15" s="1827">
        <f t="shared" si="4"/>
        <v>11542</v>
      </c>
      <c r="Q15" s="1863">
        <v>6387</v>
      </c>
      <c r="R15" s="1863">
        <v>6093</v>
      </c>
      <c r="S15" s="1863">
        <f t="shared" si="5"/>
        <v>12480</v>
      </c>
      <c r="T15" s="1863">
        <v>6486</v>
      </c>
      <c r="U15" s="1863">
        <v>6138</v>
      </c>
      <c r="V15" s="1863">
        <f t="shared" si="6"/>
        <v>12624</v>
      </c>
      <c r="W15" s="1825">
        <v>6702</v>
      </c>
      <c r="X15" s="1825">
        <v>6795</v>
      </c>
      <c r="Y15" s="1825">
        <f t="shared" si="7"/>
        <v>13497</v>
      </c>
      <c r="Z15" s="1825">
        <v>6673</v>
      </c>
      <c r="AA15" s="1825">
        <v>6895</v>
      </c>
      <c r="AB15" s="1825">
        <f t="shared" si="8"/>
        <v>13568</v>
      </c>
      <c r="AC15" s="1828">
        <v>6755</v>
      </c>
      <c r="AD15" s="1828">
        <v>7045</v>
      </c>
      <c r="AE15" s="1828">
        <f t="shared" si="9"/>
        <v>13800</v>
      </c>
      <c r="AF15" s="1830">
        <v>6679</v>
      </c>
      <c r="AG15" s="1830">
        <v>7110</v>
      </c>
      <c r="AH15" s="1830">
        <f t="shared" si="10"/>
        <v>13789</v>
      </c>
      <c r="AI15" s="1830">
        <v>6776</v>
      </c>
      <c r="AJ15" s="1830">
        <v>7240</v>
      </c>
      <c r="AK15" s="1830">
        <f t="shared" si="11"/>
        <v>14016</v>
      </c>
      <c r="AL15" s="1863">
        <v>6850</v>
      </c>
      <c r="AM15" s="1863">
        <v>7263</v>
      </c>
      <c r="AN15" s="1863">
        <f t="shared" si="12"/>
        <v>14113</v>
      </c>
      <c r="AO15" s="1830">
        <v>6732</v>
      </c>
      <c r="AP15" s="1830">
        <v>7181</v>
      </c>
      <c r="AQ15" s="1830">
        <f t="shared" si="13"/>
        <v>13913</v>
      </c>
      <c r="AR15" s="1830">
        <v>6035</v>
      </c>
      <c r="AS15" s="1830">
        <v>6467</v>
      </c>
      <c r="AT15" s="1830">
        <f t="shared" si="14"/>
        <v>12502</v>
      </c>
      <c r="AU15" s="1830">
        <v>5848</v>
      </c>
      <c r="AV15" s="1830">
        <v>6365</v>
      </c>
      <c r="AW15" s="1830">
        <f t="shared" si="15"/>
        <v>12213</v>
      </c>
      <c r="AX15" s="1830">
        <v>6868</v>
      </c>
      <c r="AY15" s="1830">
        <v>6664</v>
      </c>
      <c r="AZ15" s="1830">
        <f t="shared" si="16"/>
        <v>13532</v>
      </c>
      <c r="BA15" s="1863">
        <v>6971</v>
      </c>
      <c r="BB15" s="1863">
        <v>7396</v>
      </c>
      <c r="BC15" s="1863">
        <f t="shared" si="17"/>
        <v>14367</v>
      </c>
      <c r="BD15" s="1831">
        <v>6989</v>
      </c>
      <c r="BE15" s="1832">
        <v>7471</v>
      </c>
      <c r="BF15" s="1832">
        <f t="shared" si="18"/>
        <v>14460</v>
      </c>
      <c r="BG15" s="1863">
        <v>6847</v>
      </c>
      <c r="BH15" s="1863">
        <v>7540</v>
      </c>
      <c r="BI15" s="1863">
        <f t="shared" si="19"/>
        <v>14387</v>
      </c>
      <c r="BJ15" s="1865">
        <v>6623</v>
      </c>
      <c r="BK15" s="1866">
        <v>7488</v>
      </c>
      <c r="BL15" s="1866">
        <f t="shared" si="20"/>
        <v>14111</v>
      </c>
      <c r="BM15" s="1866">
        <v>6598</v>
      </c>
      <c r="BN15" s="1866">
        <v>7454</v>
      </c>
      <c r="BO15" s="1866">
        <f t="shared" si="21"/>
        <v>14052</v>
      </c>
      <c r="BP15" s="1866">
        <v>6396</v>
      </c>
      <c r="BQ15" s="1866">
        <v>7401</v>
      </c>
      <c r="BR15" s="1866">
        <f t="shared" si="22"/>
        <v>13797</v>
      </c>
      <c r="BS15" s="1866">
        <v>6703</v>
      </c>
      <c r="BT15" s="1866">
        <v>7667</v>
      </c>
      <c r="BU15" s="1866">
        <f t="shared" si="23"/>
        <v>14370</v>
      </c>
      <c r="BV15" s="1863">
        <v>6647</v>
      </c>
      <c r="BW15" s="1863">
        <v>7755</v>
      </c>
      <c r="BX15" s="1863">
        <f t="shared" si="24"/>
        <v>14402</v>
      </c>
      <c r="BY15" s="1863">
        <v>6631</v>
      </c>
      <c r="BZ15" s="1863">
        <v>7654</v>
      </c>
      <c r="CA15" s="1863">
        <v>6570</v>
      </c>
      <c r="CB15" s="1863">
        <v>7775</v>
      </c>
      <c r="CC15" s="1863">
        <f t="shared" si="25"/>
        <v>14345</v>
      </c>
      <c r="CD15" s="1863">
        <v>6627</v>
      </c>
      <c r="CE15" s="1863">
        <v>7875</v>
      </c>
      <c r="CF15" s="1863">
        <f t="shared" si="26"/>
        <v>14502</v>
      </c>
      <c r="CG15" s="1865">
        <v>6661</v>
      </c>
      <c r="CH15" s="1866">
        <v>8019</v>
      </c>
      <c r="CI15" s="1866">
        <f t="shared" si="27"/>
        <v>14680</v>
      </c>
      <c r="CJ15" s="1863">
        <v>6642</v>
      </c>
      <c r="CK15" s="1863">
        <v>8009</v>
      </c>
      <c r="CL15" s="1830">
        <v>6919</v>
      </c>
      <c r="CM15" s="1830">
        <v>8336</v>
      </c>
      <c r="CN15" s="1830">
        <f t="shared" si="28"/>
        <v>15255</v>
      </c>
      <c r="CO15" s="1863">
        <v>7370</v>
      </c>
      <c r="CP15" s="1863">
        <v>8597</v>
      </c>
      <c r="CQ15" s="1863">
        <f t="shared" si="29"/>
        <v>15967</v>
      </c>
      <c r="CR15" s="1831">
        <v>7184</v>
      </c>
      <c r="CS15" s="1832">
        <v>8732</v>
      </c>
      <c r="CT15" s="1832">
        <f t="shared" si="30"/>
        <v>15916</v>
      </c>
      <c r="CU15" s="1863">
        <v>7229</v>
      </c>
      <c r="CV15" s="1863">
        <v>8756</v>
      </c>
      <c r="CW15" s="1863">
        <f t="shared" si="31"/>
        <v>15985</v>
      </c>
      <c r="CX15" s="1865">
        <v>7293</v>
      </c>
      <c r="CY15" s="1866">
        <v>8859</v>
      </c>
      <c r="CZ15" s="1866">
        <f t="shared" si="32"/>
        <v>16152</v>
      </c>
      <c r="DA15" s="1866">
        <v>7358</v>
      </c>
      <c r="DB15" s="1866">
        <v>8967</v>
      </c>
      <c r="DC15" s="1866">
        <f t="shared" si="33"/>
        <v>16325</v>
      </c>
      <c r="DD15" s="1866">
        <v>7447</v>
      </c>
      <c r="DE15" s="1866">
        <v>8969</v>
      </c>
      <c r="DF15" s="1866">
        <f t="shared" si="34"/>
        <v>16416</v>
      </c>
      <c r="DG15" s="1866">
        <v>7493</v>
      </c>
      <c r="DH15" s="1866">
        <v>9166</v>
      </c>
      <c r="DI15" s="1866">
        <f t="shared" si="35"/>
        <v>16659</v>
      </c>
      <c r="DJ15" s="1863">
        <v>7538</v>
      </c>
      <c r="DK15" s="1863">
        <v>9383</v>
      </c>
      <c r="DL15" s="1863">
        <f t="shared" si="36"/>
        <v>16921</v>
      </c>
      <c r="DM15" s="1863">
        <v>7603</v>
      </c>
      <c r="DN15" s="1863">
        <v>9531</v>
      </c>
      <c r="DO15" s="1863">
        <f t="shared" si="37"/>
        <v>17134</v>
      </c>
      <c r="DP15" s="1863">
        <v>7695</v>
      </c>
      <c r="DQ15" s="1863">
        <v>9699</v>
      </c>
      <c r="DR15" s="1863">
        <f t="shared" si="38"/>
        <v>17394</v>
      </c>
      <c r="DS15" s="1865">
        <v>7855</v>
      </c>
      <c r="DT15" s="1866">
        <v>9860</v>
      </c>
      <c r="DU15" s="1866">
        <f t="shared" si="39"/>
        <v>17715</v>
      </c>
      <c r="DV15" s="1830">
        <v>7712</v>
      </c>
      <c r="DW15" s="1830">
        <v>9835</v>
      </c>
      <c r="DX15" s="1830">
        <f t="shared" si="40"/>
        <v>17547</v>
      </c>
      <c r="DY15" s="1863">
        <v>7846</v>
      </c>
      <c r="DZ15" s="1863">
        <v>9930</v>
      </c>
      <c r="EA15" s="1863">
        <f t="shared" si="41"/>
        <v>17776</v>
      </c>
      <c r="EB15" s="1831">
        <v>7922</v>
      </c>
      <c r="EC15" s="1832">
        <v>9936</v>
      </c>
      <c r="ED15" s="1832">
        <f t="shared" si="42"/>
        <v>17858</v>
      </c>
      <c r="EE15" s="1863">
        <v>7853</v>
      </c>
      <c r="EF15" s="1863">
        <v>9950</v>
      </c>
      <c r="EG15" s="1863">
        <f t="shared" si="43"/>
        <v>17803</v>
      </c>
      <c r="EH15" s="1865">
        <v>7517</v>
      </c>
      <c r="EI15" s="1866">
        <v>9694</v>
      </c>
      <c r="EJ15" s="1866">
        <f t="shared" si="44"/>
        <v>17211</v>
      </c>
      <c r="EK15" s="1866">
        <v>7585</v>
      </c>
      <c r="EL15" s="1866">
        <v>9624</v>
      </c>
      <c r="EM15" s="1866">
        <f t="shared" si="45"/>
        <v>17209</v>
      </c>
      <c r="EN15" s="1866">
        <v>7748</v>
      </c>
      <c r="EO15" s="1866">
        <v>9956</v>
      </c>
      <c r="EP15" s="1866">
        <f t="shared" si="46"/>
        <v>17704</v>
      </c>
      <c r="EQ15" s="1866">
        <v>7716</v>
      </c>
      <c r="ER15" s="1866">
        <v>9991</v>
      </c>
      <c r="ES15" s="1866">
        <f t="shared" si="47"/>
        <v>17707</v>
      </c>
      <c r="ET15" s="1863">
        <v>7405</v>
      </c>
      <c r="EU15" s="1863">
        <v>9728</v>
      </c>
      <c r="EV15" s="1863">
        <f t="shared" si="48"/>
        <v>17133</v>
      </c>
      <c r="EW15" s="1863">
        <v>7358</v>
      </c>
      <c r="EX15" s="1863">
        <v>9456</v>
      </c>
      <c r="EY15" s="1863">
        <f t="shared" si="49"/>
        <v>16814</v>
      </c>
      <c r="EZ15" s="1863">
        <v>7273</v>
      </c>
      <c r="FA15" s="1863">
        <v>9279</v>
      </c>
      <c r="FB15" s="1863">
        <f t="shared" si="50"/>
        <v>16552</v>
      </c>
      <c r="FC15" s="1865">
        <v>7412</v>
      </c>
      <c r="FD15" s="1866">
        <v>9406</v>
      </c>
      <c r="FE15" s="1866">
        <f t="shared" si="51"/>
        <v>16818</v>
      </c>
      <c r="FF15" s="1830">
        <v>7223</v>
      </c>
      <c r="FG15" s="1830">
        <v>9322</v>
      </c>
      <c r="FH15" s="1830">
        <f t="shared" si="52"/>
        <v>16545</v>
      </c>
      <c r="FI15" s="1863">
        <v>7227</v>
      </c>
      <c r="FJ15" s="1863">
        <v>9259</v>
      </c>
      <c r="FK15" s="1863">
        <f t="shared" si="53"/>
        <v>16486</v>
      </c>
      <c r="FL15" s="1831">
        <v>7447</v>
      </c>
      <c r="FM15" s="1832">
        <v>9532</v>
      </c>
      <c r="FN15" s="1832">
        <f t="shared" si="54"/>
        <v>16979</v>
      </c>
      <c r="FO15" s="1863">
        <v>7206</v>
      </c>
      <c r="FP15" s="1863">
        <v>9275</v>
      </c>
      <c r="FQ15" s="1863">
        <f t="shared" si="55"/>
        <v>16481</v>
      </c>
      <c r="FR15" s="1835">
        <v>7262</v>
      </c>
      <c r="FS15" s="1866">
        <v>9345</v>
      </c>
      <c r="FT15" s="1866">
        <f t="shared" si="56"/>
        <v>16607</v>
      </c>
      <c r="FU15" s="1866">
        <v>7127</v>
      </c>
      <c r="FV15" s="1866">
        <v>9224</v>
      </c>
      <c r="FW15" s="1866">
        <f t="shared" si="57"/>
        <v>16351</v>
      </c>
      <c r="FX15" s="1866">
        <v>7203</v>
      </c>
      <c r="FY15" s="1866">
        <v>9337</v>
      </c>
      <c r="FZ15" s="1866">
        <f t="shared" si="58"/>
        <v>16540</v>
      </c>
      <c r="GA15" s="1866">
        <v>7398</v>
      </c>
      <c r="GB15" s="1866">
        <v>9498</v>
      </c>
      <c r="GC15" s="1866">
        <f t="shared" si="59"/>
        <v>16896</v>
      </c>
      <c r="GD15" s="1863">
        <v>7428</v>
      </c>
      <c r="GE15" s="1863">
        <v>9375</v>
      </c>
      <c r="GF15" s="1863">
        <f t="shared" si="60"/>
        <v>16803</v>
      </c>
      <c r="GG15" s="1863">
        <v>7230</v>
      </c>
      <c r="GH15" s="1863">
        <v>9176</v>
      </c>
      <c r="GI15" s="1863">
        <f t="shared" si="61"/>
        <v>16406</v>
      </c>
      <c r="GJ15" s="1863">
        <v>7259</v>
      </c>
      <c r="GK15" s="1863">
        <v>9154</v>
      </c>
      <c r="GL15" s="1863">
        <f t="shared" si="62"/>
        <v>16413</v>
      </c>
      <c r="GM15" s="1865">
        <v>7362</v>
      </c>
      <c r="GN15" s="1866">
        <v>9285</v>
      </c>
      <c r="GO15" s="1866">
        <f t="shared" si="63"/>
        <v>16647</v>
      </c>
      <c r="GP15" s="1830">
        <v>7621</v>
      </c>
      <c r="GQ15" s="1830">
        <v>9208</v>
      </c>
      <c r="GR15" s="1830">
        <f t="shared" si="64"/>
        <v>16829</v>
      </c>
      <c r="GS15" s="1863">
        <v>8392</v>
      </c>
      <c r="GT15" s="1863">
        <v>9287</v>
      </c>
      <c r="GU15" s="1863">
        <f t="shared" si="65"/>
        <v>17679</v>
      </c>
      <c r="GV15" s="1831">
        <v>9293</v>
      </c>
      <c r="GW15" s="1832">
        <v>9336</v>
      </c>
      <c r="GX15" s="1832">
        <f t="shared" si="66"/>
        <v>18629</v>
      </c>
      <c r="GY15" s="1863">
        <v>9997</v>
      </c>
      <c r="GZ15" s="1863">
        <v>9326</v>
      </c>
      <c r="HA15" s="1863">
        <f t="shared" si="67"/>
        <v>19323</v>
      </c>
      <c r="HB15" s="1835">
        <v>10834</v>
      </c>
      <c r="HC15" s="1866">
        <v>9529</v>
      </c>
      <c r="HD15" s="1866">
        <f t="shared" si="68"/>
        <v>20363</v>
      </c>
      <c r="HE15" s="1866">
        <v>11375</v>
      </c>
      <c r="HF15" s="1866">
        <v>9841</v>
      </c>
      <c r="HG15" s="1866">
        <f t="shared" si="69"/>
        <v>21216</v>
      </c>
      <c r="HH15" s="1866">
        <v>12551</v>
      </c>
      <c r="HI15" s="1866">
        <v>9865</v>
      </c>
      <c r="HJ15" s="1866">
        <f t="shared" si="70"/>
        <v>22416</v>
      </c>
      <c r="HK15" s="1866">
        <v>13365</v>
      </c>
      <c r="HL15" s="1866">
        <v>9975</v>
      </c>
      <c r="HM15" s="1866">
        <f t="shared" si="71"/>
        <v>23340</v>
      </c>
      <c r="HN15" s="1863">
        <v>13924</v>
      </c>
      <c r="HO15" s="1863">
        <v>9710</v>
      </c>
      <c r="HP15" s="1863">
        <f t="shared" si="72"/>
        <v>23634</v>
      </c>
      <c r="HQ15" s="1863">
        <v>14505</v>
      </c>
      <c r="HR15" s="1863">
        <v>9900</v>
      </c>
      <c r="HS15" s="1863">
        <f t="shared" si="73"/>
        <v>24405</v>
      </c>
      <c r="HT15" s="1863">
        <v>15437</v>
      </c>
      <c r="HU15" s="1863">
        <v>10240</v>
      </c>
      <c r="HV15" s="1863">
        <f t="shared" si="74"/>
        <v>25677</v>
      </c>
      <c r="HW15" s="1867">
        <v>15599</v>
      </c>
      <c r="HX15" s="1868">
        <v>10425</v>
      </c>
      <c r="HY15" s="1866">
        <f t="shared" si="75"/>
        <v>26024</v>
      </c>
      <c r="HZ15" s="1830">
        <v>16278</v>
      </c>
      <c r="IA15" s="1830">
        <v>10300</v>
      </c>
      <c r="IB15" s="1830">
        <f t="shared" si="76"/>
        <v>26578</v>
      </c>
      <c r="IC15" s="1863">
        <v>17913</v>
      </c>
      <c r="ID15" s="1863">
        <v>10535</v>
      </c>
      <c r="IE15" s="1863">
        <f t="shared" si="77"/>
        <v>28448</v>
      </c>
      <c r="IF15" s="1831">
        <v>20003</v>
      </c>
      <c r="IG15" s="1832">
        <v>10809</v>
      </c>
      <c r="IH15" s="1832">
        <f t="shared" si="78"/>
        <v>30812</v>
      </c>
      <c r="II15" s="1812">
        <v>20655</v>
      </c>
      <c r="IJ15" s="1812">
        <v>10757</v>
      </c>
      <c r="IK15" s="1812">
        <f t="shared" si="79"/>
        <v>31412</v>
      </c>
      <c r="IL15" s="1812"/>
    </row>
    <row r="16" spans="1:246" hidden="1">
      <c r="A16" s="1933" t="s">
        <v>855</v>
      </c>
      <c r="B16" s="1863">
        <v>19468</v>
      </c>
      <c r="C16" s="1863">
        <v>12130</v>
      </c>
      <c r="D16" s="1863">
        <f t="shared" si="0"/>
        <v>31598</v>
      </c>
      <c r="E16" s="1864">
        <v>20486</v>
      </c>
      <c r="F16" s="1864">
        <v>12670</v>
      </c>
      <c r="G16" s="1864">
        <f t="shared" si="1"/>
        <v>33156</v>
      </c>
      <c r="H16" s="1864">
        <v>21660</v>
      </c>
      <c r="I16" s="1864">
        <v>14281</v>
      </c>
      <c r="J16" s="1864">
        <f t="shared" si="2"/>
        <v>35941</v>
      </c>
      <c r="K16" s="1825">
        <v>21872</v>
      </c>
      <c r="L16" s="1825">
        <v>14268</v>
      </c>
      <c r="M16" s="1825">
        <f t="shared" si="3"/>
        <v>36140</v>
      </c>
      <c r="N16" s="1826">
        <v>22396</v>
      </c>
      <c r="O16" s="1826">
        <v>15106</v>
      </c>
      <c r="P16" s="1827">
        <f t="shared" si="4"/>
        <v>37502</v>
      </c>
      <c r="Q16" s="1863">
        <v>22227</v>
      </c>
      <c r="R16" s="1863">
        <v>15261</v>
      </c>
      <c r="S16" s="1863">
        <f t="shared" si="5"/>
        <v>37488</v>
      </c>
      <c r="T16" s="1863">
        <v>23007</v>
      </c>
      <c r="U16" s="1863">
        <v>15542</v>
      </c>
      <c r="V16" s="1863">
        <f t="shared" si="6"/>
        <v>38549</v>
      </c>
      <c r="W16" s="1825">
        <v>23024</v>
      </c>
      <c r="X16" s="1825">
        <v>15444</v>
      </c>
      <c r="Y16" s="1825">
        <f t="shared" si="7"/>
        <v>38468</v>
      </c>
      <c r="Z16" s="1825">
        <v>22823</v>
      </c>
      <c r="AA16" s="1825">
        <v>15436</v>
      </c>
      <c r="AB16" s="1825">
        <f t="shared" si="8"/>
        <v>38259</v>
      </c>
      <c r="AC16" s="1828">
        <v>23250</v>
      </c>
      <c r="AD16" s="1828">
        <v>15587</v>
      </c>
      <c r="AE16" s="1828">
        <f t="shared" si="9"/>
        <v>38837</v>
      </c>
      <c r="AF16" s="1829">
        <v>22904</v>
      </c>
      <c r="AG16" s="1829">
        <v>15402</v>
      </c>
      <c r="AH16" s="1830">
        <f t="shared" si="10"/>
        <v>38306</v>
      </c>
      <c r="AI16" s="1829">
        <v>23527</v>
      </c>
      <c r="AJ16" s="1829">
        <v>14538</v>
      </c>
      <c r="AK16" s="1830">
        <f t="shared" si="11"/>
        <v>38065</v>
      </c>
      <c r="AL16" s="1863">
        <v>23089</v>
      </c>
      <c r="AM16" s="1863">
        <v>14289</v>
      </c>
      <c r="AN16" s="1863">
        <f t="shared" si="12"/>
        <v>37378</v>
      </c>
      <c r="AO16" s="1829">
        <v>23270</v>
      </c>
      <c r="AP16" s="1829">
        <v>14302</v>
      </c>
      <c r="AQ16" s="1830">
        <f t="shared" si="13"/>
        <v>37572</v>
      </c>
      <c r="AR16" s="1829">
        <v>20452</v>
      </c>
      <c r="AS16" s="1829">
        <v>11406</v>
      </c>
      <c r="AT16" s="1830">
        <f t="shared" si="14"/>
        <v>31858</v>
      </c>
      <c r="AU16" s="1829">
        <v>17712</v>
      </c>
      <c r="AV16" s="1829">
        <v>9481</v>
      </c>
      <c r="AW16" s="1830">
        <f t="shared" si="15"/>
        <v>27193</v>
      </c>
      <c r="AX16" s="1829">
        <v>16989</v>
      </c>
      <c r="AY16" s="1829">
        <v>9059</v>
      </c>
      <c r="AZ16" s="1830">
        <f t="shared" si="16"/>
        <v>26048</v>
      </c>
      <c r="BA16" s="1863">
        <v>16352</v>
      </c>
      <c r="BB16" s="1863">
        <v>8423</v>
      </c>
      <c r="BC16" s="1863">
        <f t="shared" si="17"/>
        <v>24775</v>
      </c>
      <c r="BD16" s="1831">
        <v>16139</v>
      </c>
      <c r="BE16" s="1832">
        <v>8385</v>
      </c>
      <c r="BF16" s="1832">
        <f t="shared" si="18"/>
        <v>24524</v>
      </c>
      <c r="BG16" s="1863">
        <v>16185</v>
      </c>
      <c r="BH16" s="1863">
        <v>9187</v>
      </c>
      <c r="BI16" s="1863">
        <f t="shared" si="19"/>
        <v>25372</v>
      </c>
      <c r="BJ16" s="1865">
        <v>15208</v>
      </c>
      <c r="BK16" s="1866">
        <v>8682</v>
      </c>
      <c r="BL16" s="1866">
        <f t="shared" si="20"/>
        <v>23890</v>
      </c>
      <c r="BM16" s="1866">
        <v>14461</v>
      </c>
      <c r="BN16" s="1866">
        <v>8005</v>
      </c>
      <c r="BO16" s="1866">
        <f t="shared" si="21"/>
        <v>22466</v>
      </c>
      <c r="BP16" s="1866">
        <v>13882</v>
      </c>
      <c r="BQ16" s="1866">
        <v>7663</v>
      </c>
      <c r="BR16" s="1866">
        <f t="shared" si="22"/>
        <v>21545</v>
      </c>
      <c r="BS16" s="1866">
        <v>14225</v>
      </c>
      <c r="BT16" s="1866">
        <v>7809</v>
      </c>
      <c r="BU16" s="1866">
        <f t="shared" si="23"/>
        <v>22034</v>
      </c>
      <c r="BV16" s="1863">
        <v>13428</v>
      </c>
      <c r="BW16" s="1863">
        <v>7546</v>
      </c>
      <c r="BX16" s="1863">
        <f t="shared" si="24"/>
        <v>20974</v>
      </c>
      <c r="BY16" s="1863">
        <v>14256</v>
      </c>
      <c r="BZ16" s="1863">
        <v>7830</v>
      </c>
      <c r="CA16" s="1863">
        <v>12888</v>
      </c>
      <c r="CB16" s="1863">
        <v>7188</v>
      </c>
      <c r="CC16" s="1863">
        <f t="shared" si="25"/>
        <v>20076</v>
      </c>
      <c r="CD16" s="1863">
        <v>15947</v>
      </c>
      <c r="CE16" s="1863">
        <v>6846</v>
      </c>
      <c r="CF16" s="1863">
        <f t="shared" si="26"/>
        <v>22793</v>
      </c>
      <c r="CG16" s="1865">
        <v>15982</v>
      </c>
      <c r="CH16" s="1866">
        <v>6635</v>
      </c>
      <c r="CI16" s="1866">
        <f t="shared" si="27"/>
        <v>22617</v>
      </c>
      <c r="CJ16" s="1863">
        <v>15806</v>
      </c>
      <c r="CK16" s="1863">
        <v>6570</v>
      </c>
      <c r="CL16" s="1829">
        <v>17129</v>
      </c>
      <c r="CM16" s="1829">
        <v>6582</v>
      </c>
      <c r="CN16" s="1830">
        <f t="shared" si="28"/>
        <v>23711</v>
      </c>
      <c r="CO16" s="1863">
        <v>17933</v>
      </c>
      <c r="CP16" s="1863">
        <v>7035</v>
      </c>
      <c r="CQ16" s="1863">
        <f t="shared" si="29"/>
        <v>24968</v>
      </c>
      <c r="CR16" s="1831">
        <v>22577</v>
      </c>
      <c r="CS16" s="1832">
        <v>7250</v>
      </c>
      <c r="CT16" s="1832">
        <f t="shared" si="30"/>
        <v>29827</v>
      </c>
      <c r="CU16" s="1863">
        <v>21469</v>
      </c>
      <c r="CV16" s="1863">
        <v>7153</v>
      </c>
      <c r="CW16" s="1863">
        <f t="shared" si="31"/>
        <v>28622</v>
      </c>
      <c r="CX16" s="1865">
        <v>20491</v>
      </c>
      <c r="CY16" s="1866">
        <v>7280</v>
      </c>
      <c r="CZ16" s="1866">
        <f t="shared" si="32"/>
        <v>27771</v>
      </c>
      <c r="DA16" s="1866">
        <v>19258</v>
      </c>
      <c r="DB16" s="1866">
        <v>7464</v>
      </c>
      <c r="DC16" s="1866">
        <f t="shared" si="33"/>
        <v>26722</v>
      </c>
      <c r="DD16" s="1866">
        <v>19545</v>
      </c>
      <c r="DE16" s="1866">
        <v>7449</v>
      </c>
      <c r="DF16" s="1866">
        <f t="shared" si="34"/>
        <v>26994</v>
      </c>
      <c r="DG16" s="1866">
        <v>18755</v>
      </c>
      <c r="DH16" s="1866">
        <v>7518</v>
      </c>
      <c r="DI16" s="1866">
        <f t="shared" si="35"/>
        <v>26273</v>
      </c>
      <c r="DJ16" s="1863">
        <v>18202</v>
      </c>
      <c r="DK16" s="1863">
        <v>7574</v>
      </c>
      <c r="DL16" s="1863">
        <f t="shared" si="36"/>
        <v>25776</v>
      </c>
      <c r="DM16" s="1863">
        <v>17620</v>
      </c>
      <c r="DN16" s="1863">
        <v>7333</v>
      </c>
      <c r="DO16" s="1863">
        <f t="shared" si="37"/>
        <v>24953</v>
      </c>
      <c r="DP16" s="1863">
        <v>18595</v>
      </c>
      <c r="DQ16" s="1863">
        <v>7445</v>
      </c>
      <c r="DR16" s="1863">
        <f t="shared" si="38"/>
        <v>26040</v>
      </c>
      <c r="DS16" s="1865">
        <v>18814</v>
      </c>
      <c r="DT16" s="1866">
        <v>7348</v>
      </c>
      <c r="DU16" s="1866">
        <f t="shared" si="39"/>
        <v>26162</v>
      </c>
      <c r="DV16" s="1829">
        <v>19098</v>
      </c>
      <c r="DW16" s="1829">
        <v>7279</v>
      </c>
      <c r="DX16" s="1830">
        <f t="shared" si="40"/>
        <v>26377</v>
      </c>
      <c r="DY16" s="1863">
        <v>18590</v>
      </c>
      <c r="DZ16" s="1863">
        <v>7150</v>
      </c>
      <c r="EA16" s="1863">
        <f t="shared" si="41"/>
        <v>25740</v>
      </c>
      <c r="EB16" s="1831">
        <v>18443</v>
      </c>
      <c r="EC16" s="1832">
        <v>7250</v>
      </c>
      <c r="ED16" s="1832">
        <f t="shared" si="42"/>
        <v>25693</v>
      </c>
      <c r="EE16" s="1863">
        <v>17206</v>
      </c>
      <c r="EF16" s="1863">
        <v>6871</v>
      </c>
      <c r="EG16" s="1863">
        <f t="shared" si="43"/>
        <v>24077</v>
      </c>
      <c r="EH16" s="1865">
        <v>15988</v>
      </c>
      <c r="EI16" s="1866">
        <v>6589</v>
      </c>
      <c r="EJ16" s="1866">
        <f t="shared" si="44"/>
        <v>22577</v>
      </c>
      <c r="EK16" s="1866">
        <v>16188</v>
      </c>
      <c r="EL16" s="1866">
        <v>6584</v>
      </c>
      <c r="EM16" s="1866">
        <f t="shared" si="45"/>
        <v>22772</v>
      </c>
      <c r="EN16" s="1866">
        <v>16519</v>
      </c>
      <c r="EO16" s="1866">
        <v>6442</v>
      </c>
      <c r="EP16" s="1866">
        <f t="shared" si="46"/>
        <v>22961</v>
      </c>
      <c r="EQ16" s="1866">
        <v>15838</v>
      </c>
      <c r="ER16" s="1866">
        <v>6292</v>
      </c>
      <c r="ES16" s="1866">
        <f t="shared" si="47"/>
        <v>22130</v>
      </c>
      <c r="ET16" s="1863">
        <v>15775</v>
      </c>
      <c r="EU16" s="1863">
        <v>6616</v>
      </c>
      <c r="EV16" s="1863">
        <f t="shared" si="48"/>
        <v>22391</v>
      </c>
      <c r="EW16" s="1863">
        <v>15205</v>
      </c>
      <c r="EX16" s="1863">
        <v>6425</v>
      </c>
      <c r="EY16" s="1863">
        <f t="shared" si="49"/>
        <v>21630</v>
      </c>
      <c r="EZ16" s="1863">
        <v>14844</v>
      </c>
      <c r="FA16" s="1863">
        <v>7226</v>
      </c>
      <c r="FB16" s="1863">
        <f t="shared" si="50"/>
        <v>22070</v>
      </c>
      <c r="FC16" s="1865">
        <v>14536</v>
      </c>
      <c r="FD16" s="1866">
        <v>7032</v>
      </c>
      <c r="FE16" s="1866">
        <f t="shared" si="51"/>
        <v>21568</v>
      </c>
      <c r="FF16" s="1829">
        <v>13983</v>
      </c>
      <c r="FG16" s="1829">
        <v>6204</v>
      </c>
      <c r="FH16" s="1830">
        <f t="shared" si="52"/>
        <v>20187</v>
      </c>
      <c r="FI16" s="1863">
        <v>13992</v>
      </c>
      <c r="FJ16" s="1863">
        <v>6243</v>
      </c>
      <c r="FK16" s="1863">
        <f t="shared" si="53"/>
        <v>20235</v>
      </c>
      <c r="FL16" s="1831">
        <v>13825</v>
      </c>
      <c r="FM16" s="1832">
        <v>6255</v>
      </c>
      <c r="FN16" s="1832">
        <f t="shared" si="54"/>
        <v>20080</v>
      </c>
      <c r="FO16" s="1863">
        <v>13153</v>
      </c>
      <c r="FP16" s="1863">
        <v>6011</v>
      </c>
      <c r="FQ16" s="1863">
        <f t="shared" si="55"/>
        <v>19164</v>
      </c>
      <c r="FR16" s="1835">
        <v>12926</v>
      </c>
      <c r="FS16" s="1866">
        <v>5945</v>
      </c>
      <c r="FT16" s="1866">
        <f t="shared" si="56"/>
        <v>18871</v>
      </c>
      <c r="FU16" s="1866">
        <v>12856</v>
      </c>
      <c r="FV16" s="1866">
        <v>6185</v>
      </c>
      <c r="FW16" s="1866">
        <f t="shared" si="57"/>
        <v>19041</v>
      </c>
      <c r="FX16" s="1866">
        <v>12317</v>
      </c>
      <c r="FY16" s="1866">
        <v>5930</v>
      </c>
      <c r="FZ16" s="1866">
        <f t="shared" si="58"/>
        <v>18247</v>
      </c>
      <c r="GA16" s="1866">
        <v>12488</v>
      </c>
      <c r="GB16" s="1866">
        <v>6106</v>
      </c>
      <c r="GC16" s="1866">
        <f t="shared" si="59"/>
        <v>18594</v>
      </c>
      <c r="GD16" s="1863">
        <v>11920</v>
      </c>
      <c r="GE16" s="1863">
        <v>6554</v>
      </c>
      <c r="GF16" s="1863">
        <f t="shared" si="60"/>
        <v>18474</v>
      </c>
      <c r="GG16" s="1863">
        <v>11477</v>
      </c>
      <c r="GH16" s="1863">
        <v>5958</v>
      </c>
      <c r="GI16" s="1863">
        <f t="shared" si="61"/>
        <v>17435</v>
      </c>
      <c r="GJ16" s="1863">
        <v>11278</v>
      </c>
      <c r="GK16" s="1863">
        <v>5939</v>
      </c>
      <c r="GL16" s="1863">
        <f t="shared" si="62"/>
        <v>17217</v>
      </c>
      <c r="GM16" s="1865">
        <v>11292</v>
      </c>
      <c r="GN16" s="1866">
        <v>6577</v>
      </c>
      <c r="GO16" s="1866">
        <f t="shared" si="63"/>
        <v>17869</v>
      </c>
      <c r="GP16" s="1829">
        <v>11458</v>
      </c>
      <c r="GQ16" s="1829">
        <v>7143</v>
      </c>
      <c r="GR16" s="1830">
        <f t="shared" si="64"/>
        <v>18601</v>
      </c>
      <c r="GS16" s="1863">
        <v>12118</v>
      </c>
      <c r="GT16" s="1863">
        <v>7390</v>
      </c>
      <c r="GU16" s="1863">
        <f t="shared" si="65"/>
        <v>19508</v>
      </c>
      <c r="GV16" s="1831">
        <v>12823</v>
      </c>
      <c r="GW16" s="1832">
        <v>8210</v>
      </c>
      <c r="GX16" s="1832">
        <f t="shared" si="66"/>
        <v>21033</v>
      </c>
      <c r="GY16" s="1863">
        <v>12605</v>
      </c>
      <c r="GZ16" s="1863">
        <v>8243</v>
      </c>
      <c r="HA16" s="1863">
        <f t="shared" si="67"/>
        <v>20848</v>
      </c>
      <c r="HB16" s="1835">
        <v>13167</v>
      </c>
      <c r="HC16" s="1866">
        <v>8927</v>
      </c>
      <c r="HD16" s="1866">
        <f t="shared" si="68"/>
        <v>22094</v>
      </c>
      <c r="HE16" s="1866">
        <v>12932</v>
      </c>
      <c r="HF16" s="1866">
        <v>8892</v>
      </c>
      <c r="HG16" s="1866">
        <f t="shared" si="69"/>
        <v>21824</v>
      </c>
      <c r="HH16" s="1866">
        <v>12738</v>
      </c>
      <c r="HI16" s="1866">
        <v>9026</v>
      </c>
      <c r="HJ16" s="1866">
        <f t="shared" si="70"/>
        <v>21764</v>
      </c>
      <c r="HK16" s="1866">
        <v>12619</v>
      </c>
      <c r="HL16" s="1866">
        <v>8885</v>
      </c>
      <c r="HM16" s="1866">
        <f t="shared" si="71"/>
        <v>21504</v>
      </c>
      <c r="HN16" s="1863">
        <v>13446</v>
      </c>
      <c r="HO16" s="1863">
        <v>8774</v>
      </c>
      <c r="HP16" s="1863">
        <f t="shared" si="72"/>
        <v>22220</v>
      </c>
      <c r="HQ16" s="1863">
        <v>13598</v>
      </c>
      <c r="HR16" s="1863">
        <v>9279</v>
      </c>
      <c r="HS16" s="1863">
        <f t="shared" si="73"/>
        <v>22877</v>
      </c>
      <c r="HT16" s="1863">
        <v>14792</v>
      </c>
      <c r="HU16" s="1863">
        <v>10287</v>
      </c>
      <c r="HV16" s="1863">
        <f t="shared" si="74"/>
        <v>25079</v>
      </c>
      <c r="HW16" s="1867">
        <v>15035</v>
      </c>
      <c r="HX16" s="1868">
        <v>9828</v>
      </c>
      <c r="HY16" s="1866">
        <f t="shared" si="75"/>
        <v>24863</v>
      </c>
      <c r="HZ16" s="1829">
        <v>15267</v>
      </c>
      <c r="IA16" s="1829">
        <v>9670</v>
      </c>
      <c r="IB16" s="1830">
        <f t="shared" si="76"/>
        <v>24937</v>
      </c>
      <c r="IC16" s="1863">
        <v>15169</v>
      </c>
      <c r="ID16" s="1863">
        <v>9894</v>
      </c>
      <c r="IE16" s="1863">
        <f t="shared" si="77"/>
        <v>25063</v>
      </c>
      <c r="IF16" s="1831">
        <v>14689</v>
      </c>
      <c r="IG16" s="1832">
        <v>9748</v>
      </c>
      <c r="IH16" s="1832">
        <f t="shared" si="78"/>
        <v>24437</v>
      </c>
      <c r="II16" s="1812">
        <v>14691</v>
      </c>
      <c r="IJ16" s="1812">
        <v>9734</v>
      </c>
      <c r="IK16" s="1812">
        <f t="shared" si="79"/>
        <v>24425</v>
      </c>
      <c r="IL16" s="1812"/>
    </row>
    <row r="17" spans="1:246" hidden="1">
      <c r="A17" s="1933" t="s">
        <v>859</v>
      </c>
      <c r="B17" s="1863">
        <v>5544</v>
      </c>
      <c r="C17" s="1863">
        <v>3463</v>
      </c>
      <c r="D17" s="1863">
        <f t="shared" si="0"/>
        <v>9007</v>
      </c>
      <c r="E17" s="1864">
        <v>5847</v>
      </c>
      <c r="F17" s="1864">
        <v>3890</v>
      </c>
      <c r="G17" s="1864">
        <f t="shared" si="1"/>
        <v>9737</v>
      </c>
      <c r="H17" s="1864">
        <v>5844</v>
      </c>
      <c r="I17" s="1864">
        <v>3976</v>
      </c>
      <c r="J17" s="1864">
        <f t="shared" si="2"/>
        <v>9820</v>
      </c>
      <c r="K17" s="1825">
        <v>6317</v>
      </c>
      <c r="L17" s="1825">
        <v>4667</v>
      </c>
      <c r="M17" s="1825">
        <f t="shared" si="3"/>
        <v>10984</v>
      </c>
      <c r="N17" s="1827">
        <v>6127</v>
      </c>
      <c r="O17" s="1827">
        <v>4615</v>
      </c>
      <c r="P17" s="1827">
        <f t="shared" si="4"/>
        <v>10742</v>
      </c>
      <c r="Q17" s="1863">
        <v>6118</v>
      </c>
      <c r="R17" s="1863">
        <v>4697</v>
      </c>
      <c r="S17" s="1863">
        <f t="shared" si="5"/>
        <v>10815</v>
      </c>
      <c r="T17" s="1863">
        <v>6417</v>
      </c>
      <c r="U17" s="1863">
        <v>4896</v>
      </c>
      <c r="V17" s="1863">
        <f t="shared" si="6"/>
        <v>11313</v>
      </c>
      <c r="W17" s="1825">
        <v>6416</v>
      </c>
      <c r="X17" s="1825">
        <v>4993</v>
      </c>
      <c r="Y17" s="1825">
        <f t="shared" si="7"/>
        <v>11409</v>
      </c>
      <c r="Z17" s="1825">
        <v>6485</v>
      </c>
      <c r="AA17" s="1825">
        <v>5153</v>
      </c>
      <c r="AB17" s="1825">
        <f t="shared" si="8"/>
        <v>11638</v>
      </c>
      <c r="AC17" s="1828">
        <v>6735</v>
      </c>
      <c r="AD17" s="1828">
        <v>5472</v>
      </c>
      <c r="AE17" s="1828">
        <f t="shared" si="9"/>
        <v>12207</v>
      </c>
      <c r="AF17" s="1829">
        <v>6363</v>
      </c>
      <c r="AG17" s="1829">
        <v>5254</v>
      </c>
      <c r="AH17" s="1830">
        <f t="shared" si="10"/>
        <v>11617</v>
      </c>
      <c r="AI17" s="1829">
        <v>6242</v>
      </c>
      <c r="AJ17" s="1829">
        <v>4950</v>
      </c>
      <c r="AK17" s="1830">
        <f t="shared" si="11"/>
        <v>11192</v>
      </c>
      <c r="AL17" s="1863">
        <v>6496</v>
      </c>
      <c r="AM17" s="1863">
        <v>5071</v>
      </c>
      <c r="AN17" s="1863">
        <f t="shared" si="12"/>
        <v>11567</v>
      </c>
      <c r="AO17" s="1829">
        <v>6502</v>
      </c>
      <c r="AP17" s="1829">
        <v>5030</v>
      </c>
      <c r="AQ17" s="1830">
        <f t="shared" si="13"/>
        <v>11532</v>
      </c>
      <c r="AR17" s="1829">
        <v>6382</v>
      </c>
      <c r="AS17" s="1829">
        <v>4903</v>
      </c>
      <c r="AT17" s="1830">
        <f t="shared" si="14"/>
        <v>11285</v>
      </c>
      <c r="AU17" s="1829">
        <v>6050</v>
      </c>
      <c r="AV17" s="1829">
        <v>4843</v>
      </c>
      <c r="AW17" s="1830">
        <f t="shared" si="15"/>
        <v>10893</v>
      </c>
      <c r="AX17" s="1829">
        <v>5992</v>
      </c>
      <c r="AY17" s="1829">
        <v>4828</v>
      </c>
      <c r="AZ17" s="1830">
        <f t="shared" si="16"/>
        <v>10820</v>
      </c>
      <c r="BA17" s="1863">
        <v>6171</v>
      </c>
      <c r="BB17" s="1863">
        <v>4763</v>
      </c>
      <c r="BC17" s="1863">
        <f t="shared" si="17"/>
        <v>10934</v>
      </c>
      <c r="BD17" s="1831">
        <v>6580</v>
      </c>
      <c r="BE17" s="1832">
        <v>5059</v>
      </c>
      <c r="BF17" s="1832">
        <f t="shared" si="18"/>
        <v>11639</v>
      </c>
      <c r="BG17" s="1863">
        <v>7194</v>
      </c>
      <c r="BH17" s="1863">
        <v>5664</v>
      </c>
      <c r="BI17" s="1863">
        <f t="shared" si="19"/>
        <v>12858</v>
      </c>
      <c r="BJ17" s="1865">
        <v>6850</v>
      </c>
      <c r="BK17" s="1866">
        <v>5442</v>
      </c>
      <c r="BL17" s="1866">
        <f t="shared" si="20"/>
        <v>12292</v>
      </c>
      <c r="BM17" s="1866">
        <v>6108</v>
      </c>
      <c r="BN17" s="1866">
        <v>4543</v>
      </c>
      <c r="BO17" s="1866">
        <f t="shared" si="21"/>
        <v>10651</v>
      </c>
      <c r="BP17" s="1866">
        <v>5995</v>
      </c>
      <c r="BQ17" s="1866">
        <v>4682</v>
      </c>
      <c r="BR17" s="1866">
        <f t="shared" si="22"/>
        <v>10677</v>
      </c>
      <c r="BS17" s="1866">
        <v>6335</v>
      </c>
      <c r="BT17" s="1866">
        <v>4647</v>
      </c>
      <c r="BU17" s="1866">
        <f t="shared" si="23"/>
        <v>10982</v>
      </c>
      <c r="BV17" s="1863">
        <v>6043</v>
      </c>
      <c r="BW17" s="1863">
        <v>4401</v>
      </c>
      <c r="BX17" s="1863">
        <f t="shared" si="24"/>
        <v>10444</v>
      </c>
      <c r="BY17" s="1863">
        <v>6288</v>
      </c>
      <c r="BZ17" s="1863">
        <v>4643</v>
      </c>
      <c r="CA17" s="1863">
        <v>5784</v>
      </c>
      <c r="CB17" s="1863">
        <v>4236</v>
      </c>
      <c r="CC17" s="1863">
        <f t="shared" si="25"/>
        <v>10020</v>
      </c>
      <c r="CD17" s="1863">
        <v>5621</v>
      </c>
      <c r="CE17" s="1863">
        <v>4199</v>
      </c>
      <c r="CF17" s="1863">
        <f t="shared" si="26"/>
        <v>9820</v>
      </c>
      <c r="CG17" s="1865">
        <v>5390</v>
      </c>
      <c r="CH17" s="1866">
        <v>4101</v>
      </c>
      <c r="CI17" s="1866">
        <f t="shared" si="27"/>
        <v>9491</v>
      </c>
      <c r="CJ17" s="1863">
        <v>5376</v>
      </c>
      <c r="CK17" s="1863">
        <v>4093</v>
      </c>
      <c r="CL17" s="1829">
        <v>5541</v>
      </c>
      <c r="CM17" s="1829">
        <v>4240</v>
      </c>
      <c r="CN17" s="1830">
        <f t="shared" si="28"/>
        <v>9781</v>
      </c>
      <c r="CO17" s="1863">
        <v>6358</v>
      </c>
      <c r="CP17" s="1863">
        <v>4555</v>
      </c>
      <c r="CQ17" s="1863">
        <f t="shared" si="29"/>
        <v>10913</v>
      </c>
      <c r="CR17" s="1831">
        <v>5991</v>
      </c>
      <c r="CS17" s="1832">
        <v>4555</v>
      </c>
      <c r="CT17" s="1832">
        <f t="shared" si="30"/>
        <v>10546</v>
      </c>
      <c r="CU17" s="1863">
        <v>5878</v>
      </c>
      <c r="CV17" s="1863">
        <v>4589</v>
      </c>
      <c r="CW17" s="1863">
        <f t="shared" si="31"/>
        <v>10467</v>
      </c>
      <c r="CX17" s="1865">
        <v>5670</v>
      </c>
      <c r="CY17" s="1866">
        <v>4540</v>
      </c>
      <c r="CZ17" s="1866">
        <f t="shared" si="32"/>
        <v>10210</v>
      </c>
      <c r="DA17" s="1866">
        <v>5653</v>
      </c>
      <c r="DB17" s="1866">
        <v>4608</v>
      </c>
      <c r="DC17" s="1866">
        <f t="shared" si="33"/>
        <v>10261</v>
      </c>
      <c r="DD17" s="1866">
        <v>5752</v>
      </c>
      <c r="DE17" s="1866">
        <v>4713</v>
      </c>
      <c r="DF17" s="1866">
        <f t="shared" si="34"/>
        <v>10465</v>
      </c>
      <c r="DG17" s="1866">
        <v>5623</v>
      </c>
      <c r="DH17" s="1866">
        <v>4627</v>
      </c>
      <c r="DI17" s="1866">
        <f t="shared" si="35"/>
        <v>10250</v>
      </c>
      <c r="DJ17" s="1863">
        <v>5656</v>
      </c>
      <c r="DK17" s="1863">
        <v>4789</v>
      </c>
      <c r="DL17" s="1863">
        <f t="shared" si="36"/>
        <v>10445</v>
      </c>
      <c r="DM17" s="1863">
        <v>5806</v>
      </c>
      <c r="DN17" s="1863">
        <v>4888</v>
      </c>
      <c r="DO17" s="1863">
        <f t="shared" si="37"/>
        <v>10694</v>
      </c>
      <c r="DP17" s="1863">
        <v>7384</v>
      </c>
      <c r="DQ17" s="1863">
        <v>6438</v>
      </c>
      <c r="DR17" s="1863">
        <f t="shared" si="38"/>
        <v>13822</v>
      </c>
      <c r="DS17" s="1865">
        <v>8285</v>
      </c>
      <c r="DT17" s="1866">
        <v>6925</v>
      </c>
      <c r="DU17" s="1866">
        <f t="shared" si="39"/>
        <v>15210</v>
      </c>
      <c r="DV17" s="1829">
        <v>8353</v>
      </c>
      <c r="DW17" s="1829">
        <v>7057</v>
      </c>
      <c r="DX17" s="1830">
        <f t="shared" si="40"/>
        <v>15410</v>
      </c>
      <c r="DY17" s="1863">
        <v>8437</v>
      </c>
      <c r="DZ17" s="1863">
        <v>7263</v>
      </c>
      <c r="EA17" s="1863">
        <f t="shared" si="41"/>
        <v>15700</v>
      </c>
      <c r="EB17" s="1831">
        <v>8851</v>
      </c>
      <c r="EC17" s="1832">
        <v>7466</v>
      </c>
      <c r="ED17" s="1832">
        <f t="shared" si="42"/>
        <v>16317</v>
      </c>
      <c r="EE17" s="1863">
        <v>8875</v>
      </c>
      <c r="EF17" s="1863">
        <v>7699</v>
      </c>
      <c r="EG17" s="1863">
        <f t="shared" si="43"/>
        <v>16574</v>
      </c>
      <c r="EH17" s="1865">
        <v>8530</v>
      </c>
      <c r="EI17" s="1866">
        <v>7677</v>
      </c>
      <c r="EJ17" s="1866">
        <f t="shared" si="44"/>
        <v>16207</v>
      </c>
      <c r="EK17" s="1866">
        <v>8776</v>
      </c>
      <c r="EL17" s="1866">
        <v>7772</v>
      </c>
      <c r="EM17" s="1866">
        <f t="shared" si="45"/>
        <v>16548</v>
      </c>
      <c r="EN17" s="1866">
        <v>8638</v>
      </c>
      <c r="EO17" s="1866">
        <v>8141</v>
      </c>
      <c r="EP17" s="1866">
        <f t="shared" si="46"/>
        <v>16779</v>
      </c>
      <c r="EQ17" s="1866">
        <v>9116</v>
      </c>
      <c r="ER17" s="1866">
        <v>8505</v>
      </c>
      <c r="ES17" s="1866">
        <f t="shared" si="47"/>
        <v>17621</v>
      </c>
      <c r="ET17" s="1863">
        <v>8856</v>
      </c>
      <c r="EU17" s="1863">
        <v>8787</v>
      </c>
      <c r="EV17" s="1863">
        <f t="shared" si="48"/>
        <v>17643</v>
      </c>
      <c r="EW17" s="1863">
        <v>8188</v>
      </c>
      <c r="EX17" s="1863">
        <v>7444</v>
      </c>
      <c r="EY17" s="1863">
        <f t="shared" si="49"/>
        <v>15632</v>
      </c>
      <c r="EZ17" s="1863">
        <v>8949</v>
      </c>
      <c r="FA17" s="1863">
        <v>8209</v>
      </c>
      <c r="FB17" s="1863">
        <f t="shared" si="50"/>
        <v>17158</v>
      </c>
      <c r="FC17" s="1865">
        <v>8533</v>
      </c>
      <c r="FD17" s="1866">
        <v>7840</v>
      </c>
      <c r="FE17" s="1866">
        <f t="shared" si="51"/>
        <v>16373</v>
      </c>
      <c r="FF17" s="1829">
        <v>8390</v>
      </c>
      <c r="FG17" s="1829">
        <v>7853</v>
      </c>
      <c r="FH17" s="1830">
        <f t="shared" si="52"/>
        <v>16243</v>
      </c>
      <c r="FI17" s="1863">
        <v>8924</v>
      </c>
      <c r="FJ17" s="1863">
        <v>8072</v>
      </c>
      <c r="FK17" s="1863">
        <f t="shared" si="53"/>
        <v>16996</v>
      </c>
      <c r="FL17" s="1831">
        <v>8571</v>
      </c>
      <c r="FM17" s="1832">
        <v>8135</v>
      </c>
      <c r="FN17" s="1832">
        <f t="shared" si="54"/>
        <v>16706</v>
      </c>
      <c r="FO17" s="1863">
        <v>8533</v>
      </c>
      <c r="FP17" s="1863">
        <v>7961</v>
      </c>
      <c r="FQ17" s="1863">
        <f t="shared" si="55"/>
        <v>16494</v>
      </c>
      <c r="FR17" s="1835">
        <v>8525</v>
      </c>
      <c r="FS17" s="1866">
        <v>8096</v>
      </c>
      <c r="FT17" s="1866">
        <f t="shared" si="56"/>
        <v>16621</v>
      </c>
      <c r="FU17" s="1866">
        <v>8541</v>
      </c>
      <c r="FV17" s="1866">
        <v>8198</v>
      </c>
      <c r="FW17" s="1866">
        <f t="shared" si="57"/>
        <v>16739</v>
      </c>
      <c r="FX17" s="1866">
        <v>8425</v>
      </c>
      <c r="FY17" s="1866">
        <v>8150</v>
      </c>
      <c r="FZ17" s="1866">
        <f t="shared" si="58"/>
        <v>16575</v>
      </c>
      <c r="GA17" s="1866">
        <v>8974</v>
      </c>
      <c r="GB17" s="1866">
        <v>8663</v>
      </c>
      <c r="GC17" s="1866">
        <f t="shared" si="59"/>
        <v>17637</v>
      </c>
      <c r="GD17" s="1863">
        <v>9159</v>
      </c>
      <c r="GE17" s="1863">
        <v>8798</v>
      </c>
      <c r="GF17" s="1863">
        <f t="shared" si="60"/>
        <v>17957</v>
      </c>
      <c r="GG17" s="1863">
        <v>8976</v>
      </c>
      <c r="GH17" s="1863">
        <v>8817</v>
      </c>
      <c r="GI17" s="1863">
        <f t="shared" si="61"/>
        <v>17793</v>
      </c>
      <c r="GJ17" s="1863">
        <v>9155</v>
      </c>
      <c r="GK17" s="1863">
        <v>9034</v>
      </c>
      <c r="GL17" s="1863">
        <f t="shared" si="62"/>
        <v>18189</v>
      </c>
      <c r="GM17" s="1865">
        <v>9448</v>
      </c>
      <c r="GN17" s="1866">
        <v>9351</v>
      </c>
      <c r="GO17" s="1866">
        <f t="shared" si="63"/>
        <v>18799</v>
      </c>
      <c r="GP17" s="1829">
        <v>9604</v>
      </c>
      <c r="GQ17" s="1829">
        <v>10152</v>
      </c>
      <c r="GR17" s="1830">
        <f t="shared" si="64"/>
        <v>19756</v>
      </c>
      <c r="GS17" s="1863">
        <v>9944</v>
      </c>
      <c r="GT17" s="1863">
        <v>9770</v>
      </c>
      <c r="GU17" s="1863">
        <f t="shared" si="65"/>
        <v>19714</v>
      </c>
      <c r="GV17" s="1831">
        <v>9829</v>
      </c>
      <c r="GW17" s="1832">
        <v>9743</v>
      </c>
      <c r="GX17" s="1832">
        <f t="shared" si="66"/>
        <v>19572</v>
      </c>
      <c r="GY17" s="1863">
        <v>9764</v>
      </c>
      <c r="GZ17" s="1863">
        <v>9529</v>
      </c>
      <c r="HA17" s="1863">
        <f t="shared" si="67"/>
        <v>19293</v>
      </c>
      <c r="HB17" s="1835">
        <v>10279</v>
      </c>
      <c r="HC17" s="1866">
        <v>10019</v>
      </c>
      <c r="HD17" s="1866">
        <f t="shared" si="68"/>
        <v>20298</v>
      </c>
      <c r="HE17" s="1866">
        <v>10252</v>
      </c>
      <c r="HF17" s="1866">
        <v>10238</v>
      </c>
      <c r="HG17" s="1866">
        <f t="shared" si="69"/>
        <v>20490</v>
      </c>
      <c r="HH17" s="1866">
        <v>10377</v>
      </c>
      <c r="HI17" s="1866">
        <v>10449</v>
      </c>
      <c r="HJ17" s="1866">
        <f t="shared" si="70"/>
        <v>20826</v>
      </c>
      <c r="HK17" s="1866">
        <v>10725</v>
      </c>
      <c r="HL17" s="1866">
        <v>10339</v>
      </c>
      <c r="HM17" s="1866">
        <f t="shared" si="71"/>
        <v>21064</v>
      </c>
      <c r="HN17" s="1863">
        <v>10725</v>
      </c>
      <c r="HO17" s="1863">
        <v>10360</v>
      </c>
      <c r="HP17" s="1863">
        <f t="shared" si="72"/>
        <v>21085</v>
      </c>
      <c r="HQ17" s="1863">
        <v>10438</v>
      </c>
      <c r="HR17" s="1863">
        <v>10412</v>
      </c>
      <c r="HS17" s="1863">
        <f t="shared" si="73"/>
        <v>20850</v>
      </c>
      <c r="HT17" s="1863">
        <v>10920</v>
      </c>
      <c r="HU17" s="1863">
        <v>11020</v>
      </c>
      <c r="HV17" s="1863">
        <f t="shared" si="74"/>
        <v>21940</v>
      </c>
      <c r="HW17" s="1867">
        <v>11548</v>
      </c>
      <c r="HX17" s="1868">
        <v>11323</v>
      </c>
      <c r="HY17" s="1866">
        <f t="shared" si="75"/>
        <v>22871</v>
      </c>
      <c r="HZ17" s="1829">
        <v>11283</v>
      </c>
      <c r="IA17" s="1829">
        <v>11119</v>
      </c>
      <c r="IB17" s="1830">
        <f t="shared" si="76"/>
        <v>22402</v>
      </c>
      <c r="IC17" s="1863">
        <v>11728</v>
      </c>
      <c r="ID17" s="1863">
        <v>11441</v>
      </c>
      <c r="IE17" s="1863">
        <f t="shared" si="77"/>
        <v>23169</v>
      </c>
      <c r="IF17" s="1831">
        <v>11897</v>
      </c>
      <c r="IG17" s="1832">
        <v>11699</v>
      </c>
      <c r="IH17" s="1832">
        <f t="shared" si="78"/>
        <v>23596</v>
      </c>
      <c r="II17" s="1812">
        <v>11929</v>
      </c>
      <c r="IJ17" s="1812">
        <v>11777</v>
      </c>
      <c r="IK17" s="1812">
        <f t="shared" si="79"/>
        <v>23706</v>
      </c>
      <c r="IL17" s="1812"/>
    </row>
    <row r="18" spans="1:246" ht="24.75" hidden="1">
      <c r="A18" s="1933" t="s">
        <v>1755</v>
      </c>
      <c r="B18" s="1863">
        <v>3516</v>
      </c>
      <c r="C18" s="1863">
        <v>1400</v>
      </c>
      <c r="D18" s="1863">
        <f t="shared" si="0"/>
        <v>4916</v>
      </c>
      <c r="E18" s="1864">
        <v>3538</v>
      </c>
      <c r="F18" s="1864">
        <v>1989</v>
      </c>
      <c r="G18" s="1864">
        <f t="shared" si="1"/>
        <v>5527</v>
      </c>
      <c r="H18" s="1864">
        <v>3514</v>
      </c>
      <c r="I18" s="1864">
        <v>1716</v>
      </c>
      <c r="J18" s="1864">
        <f t="shared" si="2"/>
        <v>5230</v>
      </c>
      <c r="K18" s="1825">
        <v>3546</v>
      </c>
      <c r="L18" s="1825">
        <v>1993</v>
      </c>
      <c r="M18" s="1825">
        <f t="shared" si="3"/>
        <v>5539</v>
      </c>
      <c r="N18" s="1826">
        <v>3650</v>
      </c>
      <c r="O18" s="1826">
        <v>2149</v>
      </c>
      <c r="P18" s="1827">
        <f t="shared" si="4"/>
        <v>5799</v>
      </c>
      <c r="Q18" s="1863">
        <v>3882</v>
      </c>
      <c r="R18" s="1863">
        <v>2363</v>
      </c>
      <c r="S18" s="1863">
        <f t="shared" si="5"/>
        <v>6245</v>
      </c>
      <c r="T18" s="1863">
        <v>4034</v>
      </c>
      <c r="U18" s="1863">
        <v>2423</v>
      </c>
      <c r="V18" s="1863">
        <f t="shared" si="6"/>
        <v>6457</v>
      </c>
      <c r="W18" s="1825">
        <v>4109</v>
      </c>
      <c r="X18" s="1825">
        <v>2332</v>
      </c>
      <c r="Y18" s="1825">
        <f t="shared" si="7"/>
        <v>6441</v>
      </c>
      <c r="Z18" s="1825">
        <v>4161</v>
      </c>
      <c r="AA18" s="1825">
        <v>2592</v>
      </c>
      <c r="AB18" s="1825">
        <f t="shared" si="8"/>
        <v>6753</v>
      </c>
      <c r="AC18" s="1828">
        <v>4324</v>
      </c>
      <c r="AD18" s="1828">
        <v>2696</v>
      </c>
      <c r="AE18" s="1828">
        <f t="shared" si="9"/>
        <v>7020</v>
      </c>
      <c r="AF18" s="1830">
        <v>4271</v>
      </c>
      <c r="AG18" s="1830">
        <v>2808</v>
      </c>
      <c r="AH18" s="1830">
        <f t="shared" si="10"/>
        <v>7079</v>
      </c>
      <c r="AI18" s="1830">
        <v>4307</v>
      </c>
      <c r="AJ18" s="1830">
        <v>2843</v>
      </c>
      <c r="AK18" s="1830">
        <f t="shared" si="11"/>
        <v>7150</v>
      </c>
      <c r="AL18" s="1863">
        <v>4359</v>
      </c>
      <c r="AM18" s="1863">
        <v>2947</v>
      </c>
      <c r="AN18" s="1863">
        <f t="shared" si="12"/>
        <v>7306</v>
      </c>
      <c r="AO18" s="1830">
        <v>4332</v>
      </c>
      <c r="AP18" s="1830">
        <v>3017</v>
      </c>
      <c r="AQ18" s="1830">
        <f t="shared" si="13"/>
        <v>7349</v>
      </c>
      <c r="AR18" s="1830">
        <v>4397</v>
      </c>
      <c r="AS18" s="1830">
        <v>3040</v>
      </c>
      <c r="AT18" s="1830">
        <f t="shared" si="14"/>
        <v>7437</v>
      </c>
      <c r="AU18" s="1830">
        <v>4561</v>
      </c>
      <c r="AV18" s="1830">
        <v>3067</v>
      </c>
      <c r="AW18" s="1830">
        <f t="shared" si="15"/>
        <v>7628</v>
      </c>
      <c r="AX18" s="1830">
        <v>4848</v>
      </c>
      <c r="AY18" s="1830">
        <v>3220</v>
      </c>
      <c r="AZ18" s="1830">
        <f t="shared" si="16"/>
        <v>8068</v>
      </c>
      <c r="BA18" s="1863">
        <v>4973</v>
      </c>
      <c r="BB18" s="1863">
        <v>3257</v>
      </c>
      <c r="BC18" s="1863">
        <f t="shared" si="17"/>
        <v>8230</v>
      </c>
      <c r="BD18" s="1831">
        <v>5058</v>
      </c>
      <c r="BE18" s="1832">
        <v>3304</v>
      </c>
      <c r="BF18" s="1832">
        <f t="shared" si="18"/>
        <v>8362</v>
      </c>
      <c r="BG18" s="1863">
        <v>5166</v>
      </c>
      <c r="BH18" s="1863">
        <v>3336</v>
      </c>
      <c r="BI18" s="1863">
        <f t="shared" si="19"/>
        <v>8502</v>
      </c>
      <c r="BJ18" s="1865">
        <v>5627</v>
      </c>
      <c r="BK18" s="1866">
        <v>3435</v>
      </c>
      <c r="BL18" s="1866">
        <f t="shared" si="20"/>
        <v>9062</v>
      </c>
      <c r="BM18" s="1866">
        <v>5976</v>
      </c>
      <c r="BN18" s="1866">
        <v>3627</v>
      </c>
      <c r="BO18" s="1866">
        <f t="shared" si="21"/>
        <v>9603</v>
      </c>
      <c r="BP18" s="1866">
        <v>6181</v>
      </c>
      <c r="BQ18" s="1866">
        <v>3800</v>
      </c>
      <c r="BR18" s="1866">
        <f t="shared" si="22"/>
        <v>9981</v>
      </c>
      <c r="BS18" s="1866">
        <v>6672</v>
      </c>
      <c r="BT18" s="1866">
        <v>4062</v>
      </c>
      <c r="BU18" s="1866">
        <f t="shared" si="23"/>
        <v>10734</v>
      </c>
      <c r="BV18" s="1863">
        <v>7709</v>
      </c>
      <c r="BW18" s="1863">
        <v>4518</v>
      </c>
      <c r="BX18" s="1863">
        <f t="shared" si="24"/>
        <v>12227</v>
      </c>
      <c r="BY18" s="1863">
        <v>6804</v>
      </c>
      <c r="BZ18" s="1863">
        <v>4114</v>
      </c>
      <c r="CA18" s="1863">
        <v>8516</v>
      </c>
      <c r="CB18" s="1863">
        <v>4816</v>
      </c>
      <c r="CC18" s="1863">
        <f t="shared" si="25"/>
        <v>13332</v>
      </c>
      <c r="CD18" s="1863">
        <v>9165</v>
      </c>
      <c r="CE18" s="1863">
        <v>5246</v>
      </c>
      <c r="CF18" s="1863">
        <f t="shared" si="26"/>
        <v>14411</v>
      </c>
      <c r="CG18" s="1865">
        <v>8766</v>
      </c>
      <c r="CH18" s="1866">
        <v>5036</v>
      </c>
      <c r="CI18" s="1866">
        <f t="shared" si="27"/>
        <v>13802</v>
      </c>
      <c r="CJ18" s="1863">
        <v>8716</v>
      </c>
      <c r="CK18" s="1863">
        <v>5030</v>
      </c>
      <c r="CL18" s="1830">
        <v>9199</v>
      </c>
      <c r="CM18" s="1830">
        <v>5580</v>
      </c>
      <c r="CN18" s="1830">
        <f t="shared" si="28"/>
        <v>14779</v>
      </c>
      <c r="CO18" s="1863">
        <v>10319</v>
      </c>
      <c r="CP18" s="1863">
        <v>6118</v>
      </c>
      <c r="CQ18" s="1863">
        <f t="shared" si="29"/>
        <v>16437</v>
      </c>
      <c r="CR18" s="1831">
        <v>9668</v>
      </c>
      <c r="CS18" s="1832">
        <v>5901</v>
      </c>
      <c r="CT18" s="1832">
        <f t="shared" si="30"/>
        <v>15569</v>
      </c>
      <c r="CU18" s="1863">
        <v>10576</v>
      </c>
      <c r="CV18" s="1863">
        <v>7200</v>
      </c>
      <c r="CW18" s="1863">
        <f t="shared" si="31"/>
        <v>17776</v>
      </c>
      <c r="CX18" s="1865">
        <v>9294</v>
      </c>
      <c r="CY18" s="1866">
        <v>6320</v>
      </c>
      <c r="CZ18" s="1866">
        <f t="shared" si="32"/>
        <v>15614</v>
      </c>
      <c r="DA18" s="1866">
        <v>8697</v>
      </c>
      <c r="DB18" s="1866">
        <v>6239</v>
      </c>
      <c r="DC18" s="1866">
        <f t="shared" si="33"/>
        <v>14936</v>
      </c>
      <c r="DD18" s="1866">
        <v>9673</v>
      </c>
      <c r="DE18" s="1866">
        <v>7074</v>
      </c>
      <c r="DF18" s="1866">
        <f t="shared" si="34"/>
        <v>16747</v>
      </c>
      <c r="DG18" s="1866">
        <v>9524</v>
      </c>
      <c r="DH18" s="1866">
        <v>6997</v>
      </c>
      <c r="DI18" s="1866">
        <f t="shared" si="35"/>
        <v>16521</v>
      </c>
      <c r="DJ18" s="1863">
        <v>9831</v>
      </c>
      <c r="DK18" s="1863">
        <v>7703</v>
      </c>
      <c r="DL18" s="1863">
        <f t="shared" si="36"/>
        <v>17534</v>
      </c>
      <c r="DM18" s="1863">
        <v>10115</v>
      </c>
      <c r="DN18" s="1863">
        <v>7948</v>
      </c>
      <c r="DO18" s="1863">
        <f t="shared" si="37"/>
        <v>18063</v>
      </c>
      <c r="DP18" s="1863">
        <v>10208</v>
      </c>
      <c r="DQ18" s="1863">
        <v>7970</v>
      </c>
      <c r="DR18" s="1863">
        <f t="shared" si="38"/>
        <v>18178</v>
      </c>
      <c r="DS18" s="1865">
        <v>10693</v>
      </c>
      <c r="DT18" s="1866">
        <v>8152</v>
      </c>
      <c r="DU18" s="1866">
        <f t="shared" si="39"/>
        <v>18845</v>
      </c>
      <c r="DV18" s="1830">
        <v>9528</v>
      </c>
      <c r="DW18" s="1830">
        <v>6966</v>
      </c>
      <c r="DX18" s="1830">
        <f t="shared" si="40"/>
        <v>16494</v>
      </c>
      <c r="DY18" s="1863">
        <v>9794</v>
      </c>
      <c r="DZ18" s="1863">
        <v>7359</v>
      </c>
      <c r="EA18" s="1863">
        <f t="shared" si="41"/>
        <v>17153</v>
      </c>
      <c r="EB18" s="1831">
        <v>10028</v>
      </c>
      <c r="EC18" s="1832">
        <v>7522</v>
      </c>
      <c r="ED18" s="1832">
        <f t="shared" si="42"/>
        <v>17550</v>
      </c>
      <c r="EE18" s="1863">
        <v>10096</v>
      </c>
      <c r="EF18" s="1863">
        <v>7395</v>
      </c>
      <c r="EG18" s="1863">
        <f t="shared" si="43"/>
        <v>17491</v>
      </c>
      <c r="EH18" s="1865">
        <v>9866</v>
      </c>
      <c r="EI18" s="1866">
        <v>7413</v>
      </c>
      <c r="EJ18" s="1866">
        <f t="shared" si="44"/>
        <v>17279</v>
      </c>
      <c r="EK18" s="1866">
        <v>10672</v>
      </c>
      <c r="EL18" s="1866">
        <v>8146</v>
      </c>
      <c r="EM18" s="1866">
        <f t="shared" si="45"/>
        <v>18818</v>
      </c>
      <c r="EN18" s="1866">
        <v>10960</v>
      </c>
      <c r="EO18" s="1866">
        <v>8625</v>
      </c>
      <c r="EP18" s="1866">
        <f t="shared" si="46"/>
        <v>19585</v>
      </c>
      <c r="EQ18" s="1866">
        <v>11294</v>
      </c>
      <c r="ER18" s="1866">
        <v>8699</v>
      </c>
      <c r="ES18" s="1866">
        <f t="shared" si="47"/>
        <v>19993</v>
      </c>
      <c r="ET18" s="1863">
        <v>11173</v>
      </c>
      <c r="EU18" s="1863">
        <v>8537</v>
      </c>
      <c r="EV18" s="1863">
        <f t="shared" si="48"/>
        <v>19710</v>
      </c>
      <c r="EW18" s="1863">
        <v>11572</v>
      </c>
      <c r="EX18" s="1863">
        <v>8897</v>
      </c>
      <c r="EY18" s="1863">
        <f t="shared" si="49"/>
        <v>20469</v>
      </c>
      <c r="EZ18" s="1863">
        <v>11659</v>
      </c>
      <c r="FA18" s="1863">
        <v>8996</v>
      </c>
      <c r="FB18" s="1863">
        <f t="shared" si="50"/>
        <v>20655</v>
      </c>
      <c r="FC18" s="1865">
        <v>12457</v>
      </c>
      <c r="FD18" s="1866">
        <v>9219</v>
      </c>
      <c r="FE18" s="1866">
        <f t="shared" si="51"/>
        <v>21676</v>
      </c>
      <c r="FF18" s="1830">
        <v>11900</v>
      </c>
      <c r="FG18" s="1830">
        <v>8446</v>
      </c>
      <c r="FH18" s="1830">
        <f t="shared" si="52"/>
        <v>20346</v>
      </c>
      <c r="FI18" s="1863">
        <v>12026</v>
      </c>
      <c r="FJ18" s="1863">
        <v>8465</v>
      </c>
      <c r="FK18" s="1863">
        <f t="shared" si="53"/>
        <v>20491</v>
      </c>
      <c r="FL18" s="1831">
        <v>12069</v>
      </c>
      <c r="FM18" s="1832">
        <v>8700</v>
      </c>
      <c r="FN18" s="1832">
        <f t="shared" si="54"/>
        <v>20769</v>
      </c>
      <c r="FO18" s="1863">
        <v>12101</v>
      </c>
      <c r="FP18" s="1863">
        <v>8678</v>
      </c>
      <c r="FQ18" s="1863">
        <f t="shared" si="55"/>
        <v>20779</v>
      </c>
      <c r="FR18" s="1835">
        <v>12132</v>
      </c>
      <c r="FS18" s="1866">
        <v>8952</v>
      </c>
      <c r="FT18" s="1866">
        <f t="shared" si="56"/>
        <v>21084</v>
      </c>
      <c r="FU18" s="1866">
        <v>11829</v>
      </c>
      <c r="FV18" s="1866">
        <v>8635</v>
      </c>
      <c r="FW18" s="1866">
        <f t="shared" si="57"/>
        <v>20464</v>
      </c>
      <c r="FX18" s="1866">
        <v>11282</v>
      </c>
      <c r="FY18" s="1866">
        <v>8177</v>
      </c>
      <c r="FZ18" s="1866">
        <f t="shared" si="58"/>
        <v>19459</v>
      </c>
      <c r="GA18" s="1866">
        <v>11814</v>
      </c>
      <c r="GB18" s="1866">
        <v>8584</v>
      </c>
      <c r="GC18" s="1866">
        <f t="shared" si="59"/>
        <v>20398</v>
      </c>
      <c r="GD18" s="1863">
        <v>11337</v>
      </c>
      <c r="GE18" s="1863">
        <v>8260</v>
      </c>
      <c r="GF18" s="1863">
        <f t="shared" si="60"/>
        <v>19597</v>
      </c>
      <c r="GG18" s="1863">
        <v>11104</v>
      </c>
      <c r="GH18" s="1863">
        <v>8104</v>
      </c>
      <c r="GI18" s="1863">
        <f t="shared" si="61"/>
        <v>19208</v>
      </c>
      <c r="GJ18" s="1863">
        <v>11072</v>
      </c>
      <c r="GK18" s="1863">
        <v>8026</v>
      </c>
      <c r="GL18" s="1863">
        <f t="shared" si="62"/>
        <v>19098</v>
      </c>
      <c r="GM18" s="1865">
        <v>11040</v>
      </c>
      <c r="GN18" s="1866">
        <v>8299</v>
      </c>
      <c r="GO18" s="1866">
        <f t="shared" si="63"/>
        <v>19339</v>
      </c>
      <c r="GP18" s="1830">
        <v>11181</v>
      </c>
      <c r="GQ18" s="1830">
        <v>9014</v>
      </c>
      <c r="GR18" s="1830">
        <f t="shared" si="64"/>
        <v>20195</v>
      </c>
      <c r="GS18" s="1863">
        <v>11052</v>
      </c>
      <c r="GT18" s="1863">
        <v>7991</v>
      </c>
      <c r="GU18" s="1863">
        <f t="shared" si="65"/>
        <v>19043</v>
      </c>
      <c r="GV18" s="1831">
        <v>11321</v>
      </c>
      <c r="GW18" s="1832">
        <v>8053</v>
      </c>
      <c r="GX18" s="1832">
        <f t="shared" si="66"/>
        <v>19374</v>
      </c>
      <c r="GY18" s="1863">
        <v>11105</v>
      </c>
      <c r="GZ18" s="1863">
        <v>7956</v>
      </c>
      <c r="HA18" s="1863">
        <f t="shared" si="67"/>
        <v>19061</v>
      </c>
      <c r="HB18" s="1835">
        <v>11359</v>
      </c>
      <c r="HC18" s="1866">
        <v>8241</v>
      </c>
      <c r="HD18" s="1866">
        <f t="shared" si="68"/>
        <v>19600</v>
      </c>
      <c r="HE18" s="1866">
        <v>11117</v>
      </c>
      <c r="HF18" s="1866">
        <v>8183</v>
      </c>
      <c r="HG18" s="1866">
        <f t="shared" si="69"/>
        <v>19300</v>
      </c>
      <c r="HH18" s="1866">
        <v>11158</v>
      </c>
      <c r="HI18" s="1866">
        <v>8381</v>
      </c>
      <c r="HJ18" s="1866">
        <f t="shared" si="70"/>
        <v>19539</v>
      </c>
      <c r="HK18" s="1866">
        <v>11843</v>
      </c>
      <c r="HL18" s="1866">
        <v>8543</v>
      </c>
      <c r="HM18" s="1866">
        <f t="shared" si="71"/>
        <v>20386</v>
      </c>
      <c r="HN18" s="1863">
        <v>11805</v>
      </c>
      <c r="HO18" s="1863">
        <v>8493</v>
      </c>
      <c r="HP18" s="1863">
        <f t="shared" si="72"/>
        <v>20298</v>
      </c>
      <c r="HQ18" s="1863">
        <v>11915</v>
      </c>
      <c r="HR18" s="1863">
        <v>8691</v>
      </c>
      <c r="HS18" s="1863">
        <f t="shared" si="73"/>
        <v>20606</v>
      </c>
      <c r="HT18" s="1863">
        <v>12630</v>
      </c>
      <c r="HU18" s="1863">
        <v>9133</v>
      </c>
      <c r="HV18" s="1863">
        <f t="shared" si="74"/>
        <v>21763</v>
      </c>
      <c r="HW18" s="1867">
        <v>13097</v>
      </c>
      <c r="HX18" s="1868">
        <v>9444</v>
      </c>
      <c r="HY18" s="1866">
        <f t="shared" si="75"/>
        <v>22541</v>
      </c>
      <c r="HZ18" s="1830">
        <v>13578</v>
      </c>
      <c r="IA18" s="1830">
        <v>9944</v>
      </c>
      <c r="IB18" s="1830">
        <f t="shared" si="76"/>
        <v>23522</v>
      </c>
      <c r="IC18" s="1863">
        <v>14291</v>
      </c>
      <c r="ID18" s="1863">
        <v>10401</v>
      </c>
      <c r="IE18" s="1863">
        <f t="shared" si="77"/>
        <v>24692</v>
      </c>
      <c r="IF18" s="1831">
        <v>14535</v>
      </c>
      <c r="IG18" s="1832">
        <v>10497</v>
      </c>
      <c r="IH18" s="1832">
        <f t="shared" si="78"/>
        <v>25032</v>
      </c>
      <c r="II18" s="1812">
        <v>14754</v>
      </c>
      <c r="IJ18" s="1812">
        <v>10793</v>
      </c>
      <c r="IK18" s="1812">
        <f t="shared" si="79"/>
        <v>25547</v>
      </c>
      <c r="IL18" s="1812"/>
    </row>
    <row r="19" spans="1:246" hidden="1">
      <c r="A19" s="1933" t="s">
        <v>1754</v>
      </c>
      <c r="B19" s="1863">
        <v>6829</v>
      </c>
      <c r="C19" s="1863">
        <v>5844</v>
      </c>
      <c r="D19" s="1863">
        <f t="shared" si="0"/>
        <v>12673</v>
      </c>
      <c r="E19" s="1864">
        <v>6917</v>
      </c>
      <c r="F19" s="1864">
        <v>7097</v>
      </c>
      <c r="G19" s="1864">
        <f t="shared" si="1"/>
        <v>14014</v>
      </c>
      <c r="H19" s="1864">
        <v>6905</v>
      </c>
      <c r="I19" s="1864">
        <v>6529</v>
      </c>
      <c r="J19" s="1864">
        <f t="shared" si="2"/>
        <v>13434</v>
      </c>
      <c r="K19" s="1825">
        <v>6889</v>
      </c>
      <c r="L19" s="1825">
        <v>7001</v>
      </c>
      <c r="M19" s="1825">
        <f t="shared" si="3"/>
        <v>13890</v>
      </c>
      <c r="N19" s="1826">
        <v>6856</v>
      </c>
      <c r="O19" s="1826">
        <v>8346</v>
      </c>
      <c r="P19" s="1827">
        <f t="shared" si="4"/>
        <v>15202</v>
      </c>
      <c r="Q19" s="1863">
        <v>6831</v>
      </c>
      <c r="R19" s="1863">
        <v>8615</v>
      </c>
      <c r="S19" s="1863">
        <f t="shared" si="5"/>
        <v>15446</v>
      </c>
      <c r="T19" s="1863">
        <v>6865</v>
      </c>
      <c r="U19" s="1863">
        <v>8645</v>
      </c>
      <c r="V19" s="1863">
        <f t="shared" si="6"/>
        <v>15510</v>
      </c>
      <c r="W19" s="1825">
        <v>7011</v>
      </c>
      <c r="X19" s="1825">
        <v>8705</v>
      </c>
      <c r="Y19" s="1825">
        <f t="shared" si="7"/>
        <v>15716</v>
      </c>
      <c r="Z19" s="1825">
        <v>7022</v>
      </c>
      <c r="AA19" s="1825">
        <v>8803</v>
      </c>
      <c r="AB19" s="1825">
        <f t="shared" si="8"/>
        <v>15825</v>
      </c>
      <c r="AC19" s="1828">
        <v>6833</v>
      </c>
      <c r="AD19" s="1828">
        <v>8901</v>
      </c>
      <c r="AE19" s="1828">
        <f t="shared" si="9"/>
        <v>15734</v>
      </c>
      <c r="AF19" s="1830">
        <v>6848</v>
      </c>
      <c r="AG19" s="1830">
        <v>9034</v>
      </c>
      <c r="AH19" s="1830">
        <f t="shared" si="10"/>
        <v>15882</v>
      </c>
      <c r="AI19" s="1830">
        <v>6872</v>
      </c>
      <c r="AJ19" s="1830">
        <v>9066</v>
      </c>
      <c r="AK19" s="1830">
        <f t="shared" si="11"/>
        <v>15938</v>
      </c>
      <c r="AL19" s="1863">
        <v>6872</v>
      </c>
      <c r="AM19" s="1863">
        <v>9154</v>
      </c>
      <c r="AN19" s="1863">
        <f t="shared" si="12"/>
        <v>16026</v>
      </c>
      <c r="AO19" s="1830">
        <v>6926</v>
      </c>
      <c r="AP19" s="1830">
        <v>9224</v>
      </c>
      <c r="AQ19" s="1830">
        <f t="shared" si="13"/>
        <v>16150</v>
      </c>
      <c r="AR19" s="1830">
        <v>7012</v>
      </c>
      <c r="AS19" s="1830">
        <v>9320</v>
      </c>
      <c r="AT19" s="1830">
        <f t="shared" si="14"/>
        <v>16332</v>
      </c>
      <c r="AU19" s="1830">
        <v>7035</v>
      </c>
      <c r="AV19" s="1830">
        <v>9427</v>
      </c>
      <c r="AW19" s="1830">
        <f t="shared" si="15"/>
        <v>16462</v>
      </c>
      <c r="AX19" s="1830">
        <v>7041</v>
      </c>
      <c r="AY19" s="1830">
        <v>9519</v>
      </c>
      <c r="AZ19" s="1830">
        <f t="shared" si="16"/>
        <v>16560</v>
      </c>
      <c r="BA19" s="1863">
        <v>7054</v>
      </c>
      <c r="BB19" s="1863">
        <v>9629</v>
      </c>
      <c r="BC19" s="1863">
        <f t="shared" si="17"/>
        <v>16683</v>
      </c>
      <c r="BD19" s="1831">
        <v>7063</v>
      </c>
      <c r="BE19" s="1832">
        <v>9777</v>
      </c>
      <c r="BF19" s="1832">
        <f t="shared" si="18"/>
        <v>16840</v>
      </c>
      <c r="BG19" s="1863">
        <v>7087</v>
      </c>
      <c r="BH19" s="1863">
        <v>9869</v>
      </c>
      <c r="BI19" s="1863">
        <f t="shared" si="19"/>
        <v>16956</v>
      </c>
      <c r="BJ19" s="1865">
        <v>7105</v>
      </c>
      <c r="BK19" s="1866">
        <v>9927</v>
      </c>
      <c r="BL19" s="1866">
        <f t="shared" si="20"/>
        <v>17032</v>
      </c>
      <c r="BM19" s="1866">
        <v>7145</v>
      </c>
      <c r="BN19" s="1866">
        <v>10112</v>
      </c>
      <c r="BO19" s="1866">
        <f t="shared" si="21"/>
        <v>17257</v>
      </c>
      <c r="BP19" s="1866">
        <v>7172</v>
      </c>
      <c r="BQ19" s="1866">
        <v>10216</v>
      </c>
      <c r="BR19" s="1866">
        <f t="shared" si="22"/>
        <v>17388</v>
      </c>
      <c r="BS19" s="1866">
        <v>7200</v>
      </c>
      <c r="BT19" s="1866">
        <v>10257</v>
      </c>
      <c r="BU19" s="1866">
        <f t="shared" si="23"/>
        <v>17457</v>
      </c>
      <c r="BV19" s="1863">
        <v>7220</v>
      </c>
      <c r="BW19" s="1863">
        <v>10391</v>
      </c>
      <c r="BX19" s="1863">
        <f t="shared" si="24"/>
        <v>17611</v>
      </c>
      <c r="BY19" s="1863">
        <v>7205</v>
      </c>
      <c r="BZ19" s="1863">
        <v>10262</v>
      </c>
      <c r="CA19" s="1863">
        <v>7238</v>
      </c>
      <c r="CB19" s="1863">
        <v>10363</v>
      </c>
      <c r="CC19" s="1863">
        <f t="shared" si="25"/>
        <v>17601</v>
      </c>
      <c r="CD19" s="1863">
        <v>7268</v>
      </c>
      <c r="CE19" s="1863">
        <v>10371</v>
      </c>
      <c r="CF19" s="1863">
        <f t="shared" si="26"/>
        <v>17639</v>
      </c>
      <c r="CG19" s="1865">
        <v>7270</v>
      </c>
      <c r="CH19" s="1866">
        <v>10400</v>
      </c>
      <c r="CI19" s="1866">
        <f t="shared" si="27"/>
        <v>17670</v>
      </c>
      <c r="CJ19" s="1863">
        <v>7270</v>
      </c>
      <c r="CK19" s="1863">
        <v>10400</v>
      </c>
      <c r="CL19" s="1830">
        <v>7248</v>
      </c>
      <c r="CM19" s="1830">
        <v>10435</v>
      </c>
      <c r="CN19" s="1830">
        <f t="shared" si="28"/>
        <v>17683</v>
      </c>
      <c r="CO19" s="1863">
        <v>7263</v>
      </c>
      <c r="CP19" s="1863">
        <v>10470</v>
      </c>
      <c r="CQ19" s="1863">
        <f t="shared" si="29"/>
        <v>17733</v>
      </c>
      <c r="CR19" s="1831">
        <v>7265</v>
      </c>
      <c r="CS19" s="1832">
        <v>10527</v>
      </c>
      <c r="CT19" s="1832">
        <f t="shared" si="30"/>
        <v>17792</v>
      </c>
      <c r="CU19" s="1863">
        <v>7283</v>
      </c>
      <c r="CV19" s="1863">
        <v>10593</v>
      </c>
      <c r="CW19" s="1863">
        <f t="shared" si="31"/>
        <v>17876</v>
      </c>
      <c r="CX19" s="1865">
        <v>7271</v>
      </c>
      <c r="CY19" s="1866">
        <v>10636</v>
      </c>
      <c r="CZ19" s="1866">
        <f t="shared" si="32"/>
        <v>17907</v>
      </c>
      <c r="DA19" s="1866">
        <v>7300</v>
      </c>
      <c r="DB19" s="1866">
        <v>10673</v>
      </c>
      <c r="DC19" s="1866">
        <f t="shared" si="33"/>
        <v>17973</v>
      </c>
      <c r="DD19" s="1866">
        <v>7366</v>
      </c>
      <c r="DE19" s="1866">
        <v>10731</v>
      </c>
      <c r="DF19" s="1866">
        <f t="shared" si="34"/>
        <v>18097</v>
      </c>
      <c r="DG19" s="1866">
        <v>7357</v>
      </c>
      <c r="DH19" s="1866">
        <v>10765</v>
      </c>
      <c r="DI19" s="1866">
        <f t="shared" si="35"/>
        <v>18122</v>
      </c>
      <c r="DJ19" s="1863">
        <v>7384</v>
      </c>
      <c r="DK19" s="1863">
        <v>10886</v>
      </c>
      <c r="DL19" s="1863">
        <f t="shared" si="36"/>
        <v>18270</v>
      </c>
      <c r="DM19" s="1863">
        <v>7435</v>
      </c>
      <c r="DN19" s="1863">
        <v>10940</v>
      </c>
      <c r="DO19" s="1863">
        <f t="shared" si="37"/>
        <v>18375</v>
      </c>
      <c r="DP19" s="1863">
        <v>7526</v>
      </c>
      <c r="DQ19" s="1863">
        <v>11010</v>
      </c>
      <c r="DR19" s="1863">
        <f t="shared" si="38"/>
        <v>18536</v>
      </c>
      <c r="DS19" s="1865">
        <v>7573</v>
      </c>
      <c r="DT19" s="1866">
        <v>11093</v>
      </c>
      <c r="DU19" s="1866">
        <f t="shared" si="39"/>
        <v>18666</v>
      </c>
      <c r="DV19" s="1830">
        <v>7525</v>
      </c>
      <c r="DW19" s="1830">
        <v>11100</v>
      </c>
      <c r="DX19" s="1830">
        <f t="shared" si="40"/>
        <v>18625</v>
      </c>
      <c r="DY19" s="1863">
        <v>7531</v>
      </c>
      <c r="DZ19" s="1863">
        <v>11270</v>
      </c>
      <c r="EA19" s="1863">
        <f t="shared" si="41"/>
        <v>18801</v>
      </c>
      <c r="EB19" s="1831">
        <v>7541</v>
      </c>
      <c r="EC19" s="1832">
        <v>11283</v>
      </c>
      <c r="ED19" s="1832">
        <f t="shared" si="42"/>
        <v>18824</v>
      </c>
      <c r="EE19" s="1863">
        <v>7553</v>
      </c>
      <c r="EF19" s="1863">
        <v>11320</v>
      </c>
      <c r="EG19" s="1863">
        <f t="shared" si="43"/>
        <v>18873</v>
      </c>
      <c r="EH19" s="1865">
        <v>7537</v>
      </c>
      <c r="EI19" s="1866">
        <v>11337</v>
      </c>
      <c r="EJ19" s="1866">
        <f t="shared" si="44"/>
        <v>18874</v>
      </c>
      <c r="EK19" s="1866">
        <v>7533</v>
      </c>
      <c r="EL19" s="1866">
        <v>13755</v>
      </c>
      <c r="EM19" s="1866">
        <f t="shared" si="45"/>
        <v>21288</v>
      </c>
      <c r="EN19" s="1866">
        <v>7530</v>
      </c>
      <c r="EO19" s="1866">
        <v>11334</v>
      </c>
      <c r="EP19" s="1866">
        <f t="shared" si="46"/>
        <v>18864</v>
      </c>
      <c r="EQ19" s="1866">
        <v>7622</v>
      </c>
      <c r="ER19" s="1866">
        <v>11469</v>
      </c>
      <c r="ES19" s="1866">
        <f t="shared" si="47"/>
        <v>19091</v>
      </c>
      <c r="ET19" s="1863">
        <v>7613</v>
      </c>
      <c r="EU19" s="1863">
        <v>11529</v>
      </c>
      <c r="EV19" s="1863">
        <f t="shared" si="48"/>
        <v>19142</v>
      </c>
      <c r="EW19" s="1863">
        <v>7628</v>
      </c>
      <c r="EX19" s="1863">
        <v>11520</v>
      </c>
      <c r="EY19" s="1863">
        <f t="shared" si="49"/>
        <v>19148</v>
      </c>
      <c r="EZ19" s="1863">
        <v>7699</v>
      </c>
      <c r="FA19" s="1863">
        <v>11506</v>
      </c>
      <c r="FB19" s="1863">
        <f t="shared" si="50"/>
        <v>19205</v>
      </c>
      <c r="FC19" s="1865">
        <v>7780</v>
      </c>
      <c r="FD19" s="1866">
        <v>11710</v>
      </c>
      <c r="FE19" s="1866">
        <f t="shared" si="51"/>
        <v>19490</v>
      </c>
      <c r="FF19" s="1830">
        <v>7756</v>
      </c>
      <c r="FG19" s="1830">
        <v>11635</v>
      </c>
      <c r="FH19" s="1830">
        <f t="shared" si="52"/>
        <v>19391</v>
      </c>
      <c r="FI19" s="1863">
        <v>7757</v>
      </c>
      <c r="FJ19" s="1863">
        <v>11623</v>
      </c>
      <c r="FK19" s="1863">
        <f t="shared" si="53"/>
        <v>19380</v>
      </c>
      <c r="FL19" s="1831">
        <v>7786</v>
      </c>
      <c r="FM19" s="1832">
        <v>11630</v>
      </c>
      <c r="FN19" s="1832">
        <f t="shared" si="54"/>
        <v>19416</v>
      </c>
      <c r="FO19" s="1863">
        <v>7818</v>
      </c>
      <c r="FP19" s="1863">
        <v>11757</v>
      </c>
      <c r="FQ19" s="1863">
        <f t="shared" si="55"/>
        <v>19575</v>
      </c>
      <c r="FR19" s="1835">
        <v>7848</v>
      </c>
      <c r="FS19" s="1866">
        <v>11715</v>
      </c>
      <c r="FT19" s="1866">
        <f t="shared" si="56"/>
        <v>19563</v>
      </c>
      <c r="FU19" s="1866">
        <v>7844</v>
      </c>
      <c r="FV19" s="1866">
        <v>11711</v>
      </c>
      <c r="FW19" s="1866">
        <f t="shared" si="57"/>
        <v>19555</v>
      </c>
      <c r="FX19" s="1866">
        <v>7805</v>
      </c>
      <c r="FY19" s="1866">
        <v>11695</v>
      </c>
      <c r="FZ19" s="1866">
        <f t="shared" si="58"/>
        <v>19500</v>
      </c>
      <c r="GA19" s="1866">
        <v>7953</v>
      </c>
      <c r="GB19" s="1866">
        <v>11806</v>
      </c>
      <c r="GC19" s="1866">
        <f t="shared" si="59"/>
        <v>19759</v>
      </c>
      <c r="GD19" s="1863">
        <v>7866</v>
      </c>
      <c r="GE19" s="1863">
        <v>11625</v>
      </c>
      <c r="GF19" s="1863">
        <f t="shared" si="60"/>
        <v>19491</v>
      </c>
      <c r="GG19" s="1863">
        <v>7802</v>
      </c>
      <c r="GH19" s="1863">
        <v>11603</v>
      </c>
      <c r="GI19" s="1863">
        <f t="shared" si="61"/>
        <v>19405</v>
      </c>
      <c r="GJ19" s="1863">
        <v>7845</v>
      </c>
      <c r="GK19" s="1863">
        <v>11644</v>
      </c>
      <c r="GL19" s="1863">
        <f t="shared" si="62"/>
        <v>19489</v>
      </c>
      <c r="GM19" s="1865">
        <v>7933</v>
      </c>
      <c r="GN19" s="1866">
        <v>11687</v>
      </c>
      <c r="GO19" s="1866">
        <f t="shared" si="63"/>
        <v>19620</v>
      </c>
      <c r="GP19" s="1830">
        <v>7949</v>
      </c>
      <c r="GQ19" s="1830">
        <v>11711</v>
      </c>
      <c r="GR19" s="1830">
        <f t="shared" si="64"/>
        <v>19660</v>
      </c>
      <c r="GS19" s="1863">
        <v>7948</v>
      </c>
      <c r="GT19" s="1863">
        <v>11621</v>
      </c>
      <c r="GU19" s="1863">
        <f t="shared" si="65"/>
        <v>19569</v>
      </c>
      <c r="GV19" s="1831">
        <v>7965</v>
      </c>
      <c r="GW19" s="1832">
        <v>11643</v>
      </c>
      <c r="GX19" s="1832">
        <f t="shared" si="66"/>
        <v>19608</v>
      </c>
      <c r="GY19" s="1863">
        <v>7981</v>
      </c>
      <c r="GZ19" s="1863">
        <v>11727</v>
      </c>
      <c r="HA19" s="1863">
        <f t="shared" si="67"/>
        <v>19708</v>
      </c>
      <c r="HB19" s="1835">
        <v>7992</v>
      </c>
      <c r="HC19" s="1866">
        <v>11926</v>
      </c>
      <c r="HD19" s="1866">
        <f t="shared" si="68"/>
        <v>19918</v>
      </c>
      <c r="HE19" s="1866">
        <v>8029</v>
      </c>
      <c r="HF19" s="1866">
        <v>11698</v>
      </c>
      <c r="HG19" s="1866">
        <f t="shared" si="69"/>
        <v>19727</v>
      </c>
      <c r="HH19" s="1866">
        <v>8005</v>
      </c>
      <c r="HI19" s="1866">
        <v>11839</v>
      </c>
      <c r="HJ19" s="1866">
        <f t="shared" si="70"/>
        <v>19844</v>
      </c>
      <c r="HK19" s="1866">
        <v>8091</v>
      </c>
      <c r="HL19" s="1866">
        <v>11680</v>
      </c>
      <c r="HM19" s="1866">
        <f t="shared" si="71"/>
        <v>19771</v>
      </c>
      <c r="HN19" s="1863">
        <v>8078</v>
      </c>
      <c r="HO19" s="1863">
        <v>11742</v>
      </c>
      <c r="HP19" s="1863">
        <f t="shared" si="72"/>
        <v>19820</v>
      </c>
      <c r="HQ19" s="1863">
        <v>8080</v>
      </c>
      <c r="HR19" s="1863">
        <v>11706</v>
      </c>
      <c r="HS19" s="1863">
        <f t="shared" si="73"/>
        <v>19786</v>
      </c>
      <c r="HT19" s="1863">
        <v>8195</v>
      </c>
      <c r="HU19" s="1863">
        <v>11803</v>
      </c>
      <c r="HV19" s="1863">
        <f t="shared" si="74"/>
        <v>19998</v>
      </c>
      <c r="HW19" s="1867">
        <v>8248</v>
      </c>
      <c r="HX19" s="1868">
        <v>11793</v>
      </c>
      <c r="HY19" s="1866">
        <f t="shared" si="75"/>
        <v>20041</v>
      </c>
      <c r="HZ19" s="1830">
        <v>8284</v>
      </c>
      <c r="IA19" s="1830">
        <v>11906</v>
      </c>
      <c r="IB19" s="1830">
        <f t="shared" si="76"/>
        <v>20190</v>
      </c>
      <c r="IC19" s="1863">
        <v>8336</v>
      </c>
      <c r="ID19" s="1863">
        <v>11968</v>
      </c>
      <c r="IE19" s="1863">
        <f t="shared" si="77"/>
        <v>20304</v>
      </c>
      <c r="IF19" s="1831">
        <v>8411</v>
      </c>
      <c r="IG19" s="1832">
        <v>11896</v>
      </c>
      <c r="IH19" s="1832">
        <f t="shared" si="78"/>
        <v>20307</v>
      </c>
      <c r="II19" s="1812">
        <v>8473</v>
      </c>
      <c r="IJ19" s="1812">
        <v>11897</v>
      </c>
      <c r="IK19" s="1812">
        <f t="shared" si="79"/>
        <v>20370</v>
      </c>
      <c r="IL19" s="1812"/>
    </row>
    <row r="20" spans="1:246" ht="24.75" hidden="1">
      <c r="A20" s="1933" t="s">
        <v>1601</v>
      </c>
      <c r="B20" s="1863">
        <v>8743</v>
      </c>
      <c r="C20" s="1863">
        <v>4859</v>
      </c>
      <c r="D20" s="1863">
        <f t="shared" si="0"/>
        <v>13602</v>
      </c>
      <c r="E20" s="1864">
        <v>9150</v>
      </c>
      <c r="F20" s="1864">
        <v>5502</v>
      </c>
      <c r="G20" s="1864">
        <f t="shared" si="1"/>
        <v>14652</v>
      </c>
      <c r="H20" s="1864">
        <v>9315</v>
      </c>
      <c r="I20" s="1864">
        <v>7010</v>
      </c>
      <c r="J20" s="1864">
        <f t="shared" si="2"/>
        <v>16325</v>
      </c>
      <c r="K20" s="1825">
        <v>9214</v>
      </c>
      <c r="L20" s="1825">
        <v>7217</v>
      </c>
      <c r="M20" s="1825">
        <f t="shared" si="3"/>
        <v>16431</v>
      </c>
      <c r="N20" s="1827">
        <v>9635</v>
      </c>
      <c r="O20" s="1827">
        <v>7964</v>
      </c>
      <c r="P20" s="1827">
        <f t="shared" si="4"/>
        <v>17599</v>
      </c>
      <c r="Q20" s="1863">
        <v>9323</v>
      </c>
      <c r="R20" s="1863">
        <v>8290</v>
      </c>
      <c r="S20" s="1863">
        <f t="shared" si="5"/>
        <v>17613</v>
      </c>
      <c r="T20" s="1863">
        <v>9646</v>
      </c>
      <c r="U20" s="1863">
        <v>8474</v>
      </c>
      <c r="V20" s="1863">
        <f t="shared" si="6"/>
        <v>18120</v>
      </c>
      <c r="W20" s="1825">
        <v>10175</v>
      </c>
      <c r="X20" s="1825">
        <v>8985</v>
      </c>
      <c r="Y20" s="1825">
        <f t="shared" si="7"/>
        <v>19160</v>
      </c>
      <c r="Z20" s="1825">
        <v>9937</v>
      </c>
      <c r="AA20" s="1825">
        <v>9111</v>
      </c>
      <c r="AB20" s="1825">
        <f t="shared" si="8"/>
        <v>19048</v>
      </c>
      <c r="AC20" s="1828">
        <v>10226</v>
      </c>
      <c r="AD20" s="1828">
        <v>9392</v>
      </c>
      <c r="AE20" s="1828">
        <f t="shared" si="9"/>
        <v>19618</v>
      </c>
      <c r="AF20" s="1829">
        <v>9891</v>
      </c>
      <c r="AG20" s="1829">
        <v>9239</v>
      </c>
      <c r="AH20" s="1830">
        <f t="shared" si="10"/>
        <v>19130</v>
      </c>
      <c r="AI20" s="1829">
        <v>10242</v>
      </c>
      <c r="AJ20" s="1829">
        <v>9679</v>
      </c>
      <c r="AK20" s="1830">
        <f t="shared" si="11"/>
        <v>19921</v>
      </c>
      <c r="AL20" s="1863">
        <v>10278</v>
      </c>
      <c r="AM20" s="1863">
        <v>9796</v>
      </c>
      <c r="AN20" s="1863">
        <f t="shared" si="12"/>
        <v>20074</v>
      </c>
      <c r="AO20" s="1829">
        <v>9519</v>
      </c>
      <c r="AP20" s="1829">
        <v>8967</v>
      </c>
      <c r="AQ20" s="1830">
        <f t="shared" si="13"/>
        <v>18486</v>
      </c>
      <c r="AR20" s="1829">
        <v>9192</v>
      </c>
      <c r="AS20" s="1829">
        <v>8613</v>
      </c>
      <c r="AT20" s="1830">
        <f t="shared" si="14"/>
        <v>17805</v>
      </c>
      <c r="AU20" s="1829">
        <v>8482</v>
      </c>
      <c r="AV20" s="1829">
        <v>8146</v>
      </c>
      <c r="AW20" s="1830">
        <f t="shared" si="15"/>
        <v>16628</v>
      </c>
      <c r="AX20" s="1829">
        <v>8306</v>
      </c>
      <c r="AY20" s="1829">
        <v>7836</v>
      </c>
      <c r="AZ20" s="1830">
        <f t="shared" si="16"/>
        <v>16142</v>
      </c>
      <c r="BA20" s="1863">
        <v>8173</v>
      </c>
      <c r="BB20" s="1863">
        <v>7809</v>
      </c>
      <c r="BC20" s="1863">
        <f t="shared" si="17"/>
        <v>15982</v>
      </c>
      <c r="BD20" s="1838">
        <v>8906</v>
      </c>
      <c r="BE20" s="1839">
        <v>8838</v>
      </c>
      <c r="BF20" s="1832">
        <f t="shared" si="18"/>
        <v>17744</v>
      </c>
      <c r="BG20" s="1863">
        <v>8231</v>
      </c>
      <c r="BH20" s="1863">
        <v>8049</v>
      </c>
      <c r="BI20" s="1863">
        <f t="shared" si="19"/>
        <v>16280</v>
      </c>
      <c r="BJ20" s="1865">
        <v>8298</v>
      </c>
      <c r="BK20" s="1866">
        <v>8162</v>
      </c>
      <c r="BL20" s="1866">
        <f t="shared" si="20"/>
        <v>16460</v>
      </c>
      <c r="BM20" s="1866">
        <v>8336</v>
      </c>
      <c r="BN20" s="1866">
        <v>8203</v>
      </c>
      <c r="BO20" s="1866">
        <f t="shared" si="21"/>
        <v>16539</v>
      </c>
      <c r="BP20" s="1866">
        <v>8350</v>
      </c>
      <c r="BQ20" s="1866">
        <v>8349</v>
      </c>
      <c r="BR20" s="1866">
        <f t="shared" si="22"/>
        <v>16699</v>
      </c>
      <c r="BS20" s="1866">
        <v>8751</v>
      </c>
      <c r="BT20" s="1866">
        <v>8737</v>
      </c>
      <c r="BU20" s="1866">
        <f t="shared" si="23"/>
        <v>17488</v>
      </c>
      <c r="BV20" s="1863">
        <v>8789</v>
      </c>
      <c r="BW20" s="1863">
        <v>8802</v>
      </c>
      <c r="BX20" s="1863">
        <f t="shared" si="24"/>
        <v>17591</v>
      </c>
      <c r="BY20" s="1863">
        <v>8755</v>
      </c>
      <c r="BZ20" s="1863">
        <v>8771</v>
      </c>
      <c r="CA20" s="1863">
        <v>8762</v>
      </c>
      <c r="CB20" s="1863">
        <v>8914</v>
      </c>
      <c r="CC20" s="1863">
        <f t="shared" si="25"/>
        <v>17676</v>
      </c>
      <c r="CD20" s="1863">
        <v>8595</v>
      </c>
      <c r="CE20" s="1863">
        <v>8738</v>
      </c>
      <c r="CF20" s="1863">
        <f t="shared" si="26"/>
        <v>17333</v>
      </c>
      <c r="CG20" s="1865">
        <v>8398</v>
      </c>
      <c r="CH20" s="1866">
        <v>8625</v>
      </c>
      <c r="CI20" s="1866">
        <f t="shared" si="27"/>
        <v>17023</v>
      </c>
      <c r="CJ20" s="1863">
        <v>8381</v>
      </c>
      <c r="CK20" s="1863">
        <v>8611</v>
      </c>
      <c r="CL20" s="1829">
        <v>8480</v>
      </c>
      <c r="CM20" s="1829">
        <v>8753</v>
      </c>
      <c r="CN20" s="1830">
        <f t="shared" si="28"/>
        <v>17233</v>
      </c>
      <c r="CO20" s="1863">
        <v>8946</v>
      </c>
      <c r="CP20" s="1863">
        <v>9011</v>
      </c>
      <c r="CQ20" s="1863">
        <f t="shared" si="29"/>
        <v>17957</v>
      </c>
      <c r="CR20" s="1838">
        <v>8966</v>
      </c>
      <c r="CS20" s="1839">
        <v>9390</v>
      </c>
      <c r="CT20" s="1832">
        <f t="shared" si="30"/>
        <v>18356</v>
      </c>
      <c r="CU20" s="1863">
        <v>8894</v>
      </c>
      <c r="CV20" s="1863">
        <v>9356</v>
      </c>
      <c r="CW20" s="1863">
        <f t="shared" si="31"/>
        <v>18250</v>
      </c>
      <c r="CX20" s="1865">
        <v>8595</v>
      </c>
      <c r="CY20" s="1866">
        <v>9114</v>
      </c>
      <c r="CZ20" s="1866">
        <f t="shared" si="32"/>
        <v>17709</v>
      </c>
      <c r="DA20" s="1866">
        <v>8759</v>
      </c>
      <c r="DB20" s="1866">
        <v>9571</v>
      </c>
      <c r="DC20" s="1866">
        <f t="shared" si="33"/>
        <v>18330</v>
      </c>
      <c r="DD20" s="1866">
        <v>9197</v>
      </c>
      <c r="DE20" s="1866">
        <v>10053</v>
      </c>
      <c r="DF20" s="1866">
        <f t="shared" si="34"/>
        <v>19250</v>
      </c>
      <c r="DG20" s="1866">
        <v>8595</v>
      </c>
      <c r="DH20" s="1866">
        <v>9378</v>
      </c>
      <c r="DI20" s="1866">
        <f t="shared" si="35"/>
        <v>17973</v>
      </c>
      <c r="DJ20" s="1863">
        <v>8504</v>
      </c>
      <c r="DK20" s="1863">
        <v>9438</v>
      </c>
      <c r="DL20" s="1863">
        <f t="shared" si="36"/>
        <v>17942</v>
      </c>
      <c r="DM20" s="1863">
        <v>8728</v>
      </c>
      <c r="DN20" s="1863">
        <v>9564</v>
      </c>
      <c r="DO20" s="1863">
        <f t="shared" si="37"/>
        <v>18292</v>
      </c>
      <c r="DP20" s="1863">
        <v>8588</v>
      </c>
      <c r="DQ20" s="1863">
        <v>9638</v>
      </c>
      <c r="DR20" s="1863">
        <f t="shared" si="38"/>
        <v>18226</v>
      </c>
      <c r="DS20" s="1865">
        <v>8466</v>
      </c>
      <c r="DT20" s="1866">
        <v>9715</v>
      </c>
      <c r="DU20" s="1866">
        <f t="shared" si="39"/>
        <v>18181</v>
      </c>
      <c r="DV20" s="1829">
        <v>8202</v>
      </c>
      <c r="DW20" s="1829">
        <v>9473</v>
      </c>
      <c r="DX20" s="1830">
        <f t="shared" si="40"/>
        <v>17675</v>
      </c>
      <c r="DY20" s="1863">
        <v>8709</v>
      </c>
      <c r="DZ20" s="1863">
        <v>10448</v>
      </c>
      <c r="EA20" s="1863">
        <f t="shared" si="41"/>
        <v>19157</v>
      </c>
      <c r="EB20" s="1838">
        <v>9183</v>
      </c>
      <c r="EC20" s="1839">
        <v>10995</v>
      </c>
      <c r="ED20" s="1832">
        <f t="shared" si="42"/>
        <v>20178</v>
      </c>
      <c r="EE20" s="1863">
        <v>8702</v>
      </c>
      <c r="EF20" s="1863">
        <v>10497</v>
      </c>
      <c r="EG20" s="1863">
        <f t="shared" si="43"/>
        <v>19199</v>
      </c>
      <c r="EH20" s="1865">
        <v>7932</v>
      </c>
      <c r="EI20" s="1866">
        <v>9444</v>
      </c>
      <c r="EJ20" s="1866">
        <f t="shared" si="44"/>
        <v>17376</v>
      </c>
      <c r="EK20" s="1866">
        <v>8084</v>
      </c>
      <c r="EL20" s="1866">
        <v>9626</v>
      </c>
      <c r="EM20" s="1866">
        <f t="shared" si="45"/>
        <v>17710</v>
      </c>
      <c r="EN20" s="1866">
        <v>7913</v>
      </c>
      <c r="EO20" s="1866">
        <v>9485</v>
      </c>
      <c r="EP20" s="1866">
        <f t="shared" si="46"/>
        <v>17398</v>
      </c>
      <c r="EQ20" s="1866">
        <v>7880</v>
      </c>
      <c r="ER20" s="1866">
        <v>9525</v>
      </c>
      <c r="ES20" s="1866">
        <f t="shared" si="47"/>
        <v>17405</v>
      </c>
      <c r="ET20" s="1863">
        <v>8151</v>
      </c>
      <c r="EU20" s="1863">
        <v>10105</v>
      </c>
      <c r="EV20" s="1863">
        <f t="shared" si="48"/>
        <v>18256</v>
      </c>
      <c r="EW20" s="1863">
        <v>7817</v>
      </c>
      <c r="EX20" s="1863">
        <v>9437</v>
      </c>
      <c r="EY20" s="1863">
        <f t="shared" si="49"/>
        <v>17254</v>
      </c>
      <c r="EZ20" s="1863">
        <v>7595</v>
      </c>
      <c r="FA20" s="1863">
        <v>9233</v>
      </c>
      <c r="FB20" s="1863">
        <f t="shared" si="50"/>
        <v>16828</v>
      </c>
      <c r="FC20" s="1865">
        <v>7517</v>
      </c>
      <c r="FD20" s="1866">
        <v>9176</v>
      </c>
      <c r="FE20" s="1866">
        <f t="shared" si="51"/>
        <v>16693</v>
      </c>
      <c r="FF20" s="1829">
        <v>7363</v>
      </c>
      <c r="FG20" s="1829">
        <v>9012</v>
      </c>
      <c r="FH20" s="1830">
        <f t="shared" si="52"/>
        <v>16375</v>
      </c>
      <c r="FI20" s="1863">
        <v>7543</v>
      </c>
      <c r="FJ20" s="1863">
        <v>9327</v>
      </c>
      <c r="FK20" s="1863">
        <f t="shared" si="53"/>
        <v>16870</v>
      </c>
      <c r="FL20" s="1838">
        <v>7407</v>
      </c>
      <c r="FM20" s="1839">
        <v>9126</v>
      </c>
      <c r="FN20" s="1832">
        <f t="shared" si="54"/>
        <v>16533</v>
      </c>
      <c r="FO20" s="1863">
        <v>7583</v>
      </c>
      <c r="FP20" s="1863">
        <v>9343</v>
      </c>
      <c r="FQ20" s="1863">
        <f t="shared" si="55"/>
        <v>16926</v>
      </c>
      <c r="FR20" s="1835">
        <v>7310</v>
      </c>
      <c r="FS20" s="1866">
        <v>9030</v>
      </c>
      <c r="FT20" s="1866">
        <f t="shared" si="56"/>
        <v>16340</v>
      </c>
      <c r="FU20" s="1866">
        <v>7350</v>
      </c>
      <c r="FV20" s="1866">
        <v>9165</v>
      </c>
      <c r="FW20" s="1866">
        <f t="shared" si="57"/>
        <v>16515</v>
      </c>
      <c r="FX20" s="1866">
        <v>7272</v>
      </c>
      <c r="FY20" s="1866">
        <v>9164</v>
      </c>
      <c r="FZ20" s="1866">
        <f t="shared" si="58"/>
        <v>16436</v>
      </c>
      <c r="GA20" s="1866">
        <v>7439</v>
      </c>
      <c r="GB20" s="1866">
        <v>9235</v>
      </c>
      <c r="GC20" s="1866">
        <f t="shared" si="59"/>
        <v>16674</v>
      </c>
      <c r="GD20" s="1863">
        <v>7350</v>
      </c>
      <c r="GE20" s="1863">
        <v>9194</v>
      </c>
      <c r="GF20" s="1863">
        <f t="shared" si="60"/>
        <v>16544</v>
      </c>
      <c r="GG20" s="1863">
        <v>7263</v>
      </c>
      <c r="GH20" s="1863">
        <v>9101</v>
      </c>
      <c r="GI20" s="1863">
        <f t="shared" si="61"/>
        <v>16364</v>
      </c>
      <c r="GJ20" s="1863">
        <v>7258</v>
      </c>
      <c r="GK20" s="1863">
        <v>9074</v>
      </c>
      <c r="GL20" s="1863">
        <f t="shared" si="62"/>
        <v>16332</v>
      </c>
      <c r="GM20" s="1865">
        <v>7343</v>
      </c>
      <c r="GN20" s="1866">
        <v>9132</v>
      </c>
      <c r="GO20" s="1866">
        <f t="shared" si="63"/>
        <v>16475</v>
      </c>
      <c r="GP20" s="1829">
        <v>7146</v>
      </c>
      <c r="GQ20" s="1829">
        <v>9128</v>
      </c>
      <c r="GR20" s="1830">
        <f t="shared" si="64"/>
        <v>16274</v>
      </c>
      <c r="GS20" s="1863">
        <v>7286</v>
      </c>
      <c r="GT20" s="1863">
        <v>9116</v>
      </c>
      <c r="GU20" s="1863">
        <f t="shared" si="65"/>
        <v>16402</v>
      </c>
      <c r="GV20" s="1838">
        <v>7237</v>
      </c>
      <c r="GW20" s="1839">
        <v>9117</v>
      </c>
      <c r="GX20" s="1832">
        <f t="shared" si="66"/>
        <v>16354</v>
      </c>
      <c r="GY20" s="1863">
        <v>7471</v>
      </c>
      <c r="GZ20" s="1863">
        <v>9466</v>
      </c>
      <c r="HA20" s="1863">
        <f t="shared" si="67"/>
        <v>16937</v>
      </c>
      <c r="HB20" s="1835">
        <v>7526</v>
      </c>
      <c r="HC20" s="1866">
        <v>9376</v>
      </c>
      <c r="HD20" s="1866">
        <f t="shared" si="68"/>
        <v>16902</v>
      </c>
      <c r="HE20" s="1866">
        <v>7540</v>
      </c>
      <c r="HF20" s="1866">
        <v>9391</v>
      </c>
      <c r="HG20" s="1866">
        <f t="shared" si="69"/>
        <v>16931</v>
      </c>
      <c r="HH20" s="1866">
        <v>7565</v>
      </c>
      <c r="HI20" s="1866">
        <v>9325</v>
      </c>
      <c r="HJ20" s="1866">
        <f t="shared" si="70"/>
        <v>16890</v>
      </c>
      <c r="HK20" s="1866">
        <v>7692</v>
      </c>
      <c r="HL20" s="1866">
        <v>9479</v>
      </c>
      <c r="HM20" s="1866">
        <f t="shared" si="71"/>
        <v>17171</v>
      </c>
      <c r="HN20" s="1863">
        <v>9469</v>
      </c>
      <c r="HO20" s="1863">
        <v>12001</v>
      </c>
      <c r="HP20" s="1863">
        <f t="shared" si="72"/>
        <v>21470</v>
      </c>
      <c r="HQ20" s="1863">
        <v>7642</v>
      </c>
      <c r="HR20" s="1863">
        <v>9521</v>
      </c>
      <c r="HS20" s="1863">
        <f t="shared" si="73"/>
        <v>17163</v>
      </c>
      <c r="HT20" s="1863">
        <v>7716</v>
      </c>
      <c r="HU20" s="1863">
        <v>9676</v>
      </c>
      <c r="HV20" s="1863">
        <f t="shared" si="74"/>
        <v>17392</v>
      </c>
      <c r="HW20" s="1867">
        <v>7591</v>
      </c>
      <c r="HX20" s="1868">
        <v>9443</v>
      </c>
      <c r="HY20" s="1866">
        <f t="shared" si="75"/>
        <v>17034</v>
      </c>
      <c r="HZ20" s="1829">
        <v>7565</v>
      </c>
      <c r="IA20" s="1829">
        <v>9531</v>
      </c>
      <c r="IB20" s="1830">
        <f t="shared" si="76"/>
        <v>17096</v>
      </c>
      <c r="IC20" s="1863">
        <v>7697</v>
      </c>
      <c r="ID20" s="1863">
        <v>9682</v>
      </c>
      <c r="IE20" s="1863">
        <f t="shared" si="77"/>
        <v>17379</v>
      </c>
      <c r="IF20" s="1838">
        <v>7706</v>
      </c>
      <c r="IG20" s="1839">
        <v>9576</v>
      </c>
      <c r="IH20" s="1832">
        <f t="shared" si="78"/>
        <v>17282</v>
      </c>
      <c r="II20" s="1812">
        <v>7771</v>
      </c>
      <c r="IJ20" s="1812">
        <v>9677</v>
      </c>
      <c r="IK20" s="1812">
        <f t="shared" si="79"/>
        <v>17448</v>
      </c>
      <c r="IL20" s="1812"/>
    </row>
    <row r="21" spans="1:246" ht="24.75" hidden="1">
      <c r="A21" s="1933" t="s">
        <v>1593</v>
      </c>
      <c r="B21" s="1863">
        <v>2624</v>
      </c>
      <c r="C21" s="1863">
        <v>1232</v>
      </c>
      <c r="D21" s="1863">
        <f t="shared" si="0"/>
        <v>3856</v>
      </c>
      <c r="E21" s="1864">
        <v>2628</v>
      </c>
      <c r="F21" s="1864">
        <v>1683</v>
      </c>
      <c r="G21" s="1864">
        <f t="shared" si="1"/>
        <v>4311</v>
      </c>
      <c r="H21" s="1864">
        <v>2654</v>
      </c>
      <c r="I21" s="1864">
        <v>1793</v>
      </c>
      <c r="J21" s="1864">
        <f t="shared" si="2"/>
        <v>4447</v>
      </c>
      <c r="K21" s="1825">
        <v>4310</v>
      </c>
      <c r="L21" s="1825">
        <v>2216</v>
      </c>
      <c r="M21" s="1825">
        <f t="shared" si="3"/>
        <v>6526</v>
      </c>
      <c r="N21" s="1827">
        <v>4257</v>
      </c>
      <c r="O21" s="1827">
        <v>2278</v>
      </c>
      <c r="P21" s="1827">
        <f t="shared" si="4"/>
        <v>6535</v>
      </c>
      <c r="Q21" s="1863">
        <v>4261</v>
      </c>
      <c r="R21" s="1863">
        <v>2679</v>
      </c>
      <c r="S21" s="1863">
        <f t="shared" si="5"/>
        <v>6940</v>
      </c>
      <c r="T21" s="1863">
        <v>4336</v>
      </c>
      <c r="U21" s="1863">
        <v>2700</v>
      </c>
      <c r="V21" s="1863">
        <f t="shared" si="6"/>
        <v>7036</v>
      </c>
      <c r="W21" s="1825">
        <v>4291</v>
      </c>
      <c r="X21" s="1825">
        <v>2843</v>
      </c>
      <c r="Y21" s="1825">
        <f t="shared" si="7"/>
        <v>7134</v>
      </c>
      <c r="Z21" s="1825">
        <v>4324</v>
      </c>
      <c r="AA21" s="1825">
        <v>2924</v>
      </c>
      <c r="AB21" s="1825">
        <f t="shared" si="8"/>
        <v>7248</v>
      </c>
      <c r="AC21" s="1828">
        <v>11178</v>
      </c>
      <c r="AD21" s="1828">
        <v>5427</v>
      </c>
      <c r="AE21" s="1828">
        <f t="shared" si="9"/>
        <v>16605</v>
      </c>
      <c r="AF21" s="1830">
        <v>8868</v>
      </c>
      <c r="AG21" s="1830">
        <v>5097</v>
      </c>
      <c r="AH21" s="1830">
        <f t="shared" si="10"/>
        <v>13965</v>
      </c>
      <c r="AI21" s="1830">
        <v>8999</v>
      </c>
      <c r="AJ21" s="1830">
        <v>4906</v>
      </c>
      <c r="AK21" s="1830">
        <f t="shared" si="11"/>
        <v>13905</v>
      </c>
      <c r="AL21" s="1863">
        <v>9054</v>
      </c>
      <c r="AM21" s="1863">
        <v>5134</v>
      </c>
      <c r="AN21" s="1863">
        <f t="shared" si="12"/>
        <v>14188</v>
      </c>
      <c r="AO21" s="1830">
        <v>8968</v>
      </c>
      <c r="AP21" s="1830">
        <v>5177</v>
      </c>
      <c r="AQ21" s="1830">
        <f t="shared" si="13"/>
        <v>14145</v>
      </c>
      <c r="AR21" s="1830">
        <v>8456</v>
      </c>
      <c r="AS21" s="1830">
        <v>4855</v>
      </c>
      <c r="AT21" s="1830">
        <f t="shared" si="14"/>
        <v>13311</v>
      </c>
      <c r="AU21" s="1830">
        <v>7933</v>
      </c>
      <c r="AV21" s="1830">
        <v>4656</v>
      </c>
      <c r="AW21" s="1830">
        <f t="shared" si="15"/>
        <v>12589</v>
      </c>
      <c r="AX21" s="1830">
        <v>7781</v>
      </c>
      <c r="AY21" s="1830">
        <v>4669</v>
      </c>
      <c r="AZ21" s="1830">
        <f t="shared" si="16"/>
        <v>12450</v>
      </c>
      <c r="BA21" s="1863">
        <v>8110</v>
      </c>
      <c r="BB21" s="1863">
        <v>4933</v>
      </c>
      <c r="BC21" s="1863">
        <f t="shared" si="17"/>
        <v>13043</v>
      </c>
      <c r="BD21" s="1831">
        <v>7967</v>
      </c>
      <c r="BE21" s="1832">
        <v>4933</v>
      </c>
      <c r="BF21" s="1832">
        <f t="shared" si="18"/>
        <v>12900</v>
      </c>
      <c r="BG21" s="1863">
        <v>8143</v>
      </c>
      <c r="BH21" s="1863">
        <v>5092</v>
      </c>
      <c r="BI21" s="1863">
        <f t="shared" si="19"/>
        <v>13235</v>
      </c>
      <c r="BJ21" s="1865">
        <v>8157</v>
      </c>
      <c r="BK21" s="1866">
        <v>5076</v>
      </c>
      <c r="BL21" s="1866">
        <f t="shared" si="20"/>
        <v>13233</v>
      </c>
      <c r="BM21" s="1866">
        <v>8285</v>
      </c>
      <c r="BN21" s="1866">
        <v>5132</v>
      </c>
      <c r="BO21" s="1866">
        <f t="shared" si="21"/>
        <v>13417</v>
      </c>
      <c r="BP21" s="1866">
        <v>7634</v>
      </c>
      <c r="BQ21" s="1866">
        <v>4749</v>
      </c>
      <c r="BR21" s="1866">
        <f t="shared" si="22"/>
        <v>12383</v>
      </c>
      <c r="BS21" s="1866">
        <v>7909</v>
      </c>
      <c r="BT21" s="1866">
        <v>4626</v>
      </c>
      <c r="BU21" s="1866">
        <f t="shared" si="23"/>
        <v>12535</v>
      </c>
      <c r="BV21" s="1863">
        <v>7797</v>
      </c>
      <c r="BW21" s="1863">
        <v>4563</v>
      </c>
      <c r="BX21" s="1863">
        <f t="shared" si="24"/>
        <v>12360</v>
      </c>
      <c r="BY21" s="1863">
        <v>7955</v>
      </c>
      <c r="BZ21" s="1863">
        <v>4647</v>
      </c>
      <c r="CA21" s="1863">
        <v>7688</v>
      </c>
      <c r="CB21" s="1863">
        <v>4483</v>
      </c>
      <c r="CC21" s="1863">
        <f t="shared" si="25"/>
        <v>12171</v>
      </c>
      <c r="CD21" s="1863">
        <v>7454</v>
      </c>
      <c r="CE21" s="1863">
        <v>4460</v>
      </c>
      <c r="CF21" s="1863">
        <f t="shared" si="26"/>
        <v>11914</v>
      </c>
      <c r="CG21" s="1865">
        <v>7292</v>
      </c>
      <c r="CH21" s="1866">
        <v>4416</v>
      </c>
      <c r="CI21" s="1866">
        <f t="shared" si="27"/>
        <v>11708</v>
      </c>
      <c r="CJ21" s="1863">
        <v>7266</v>
      </c>
      <c r="CK21" s="1863">
        <v>4414</v>
      </c>
      <c r="CL21" s="1830">
        <v>7153</v>
      </c>
      <c r="CM21" s="1830">
        <v>4343</v>
      </c>
      <c r="CN21" s="1830">
        <f t="shared" si="28"/>
        <v>11496</v>
      </c>
      <c r="CO21" s="1863">
        <v>7648</v>
      </c>
      <c r="CP21" s="1863">
        <v>4481</v>
      </c>
      <c r="CQ21" s="1863">
        <f t="shared" si="29"/>
        <v>12129</v>
      </c>
      <c r="CR21" s="1831">
        <v>7397</v>
      </c>
      <c r="CS21" s="1832">
        <v>4640</v>
      </c>
      <c r="CT21" s="1832">
        <f t="shared" si="30"/>
        <v>12037</v>
      </c>
      <c r="CU21" s="1863">
        <v>7231</v>
      </c>
      <c r="CV21" s="1863">
        <v>4562</v>
      </c>
      <c r="CW21" s="1863">
        <f t="shared" si="31"/>
        <v>11793</v>
      </c>
      <c r="CX21" s="1865">
        <v>7118</v>
      </c>
      <c r="CY21" s="1866">
        <v>4603</v>
      </c>
      <c r="CZ21" s="1866">
        <f t="shared" si="32"/>
        <v>11721</v>
      </c>
      <c r="DA21" s="1866">
        <v>6649</v>
      </c>
      <c r="DB21" s="1866">
        <v>4582</v>
      </c>
      <c r="DC21" s="1866">
        <f t="shared" si="33"/>
        <v>11231</v>
      </c>
      <c r="DD21" s="1866">
        <v>6841</v>
      </c>
      <c r="DE21" s="1866">
        <v>4749</v>
      </c>
      <c r="DF21" s="1866">
        <f t="shared" si="34"/>
        <v>11590</v>
      </c>
      <c r="DG21" s="1866">
        <v>6782</v>
      </c>
      <c r="DH21" s="1866">
        <v>4783</v>
      </c>
      <c r="DI21" s="1866">
        <f t="shared" si="35"/>
        <v>11565</v>
      </c>
      <c r="DJ21" s="1863">
        <v>6381</v>
      </c>
      <c r="DK21" s="1863">
        <v>4729</v>
      </c>
      <c r="DL21" s="1863">
        <f t="shared" si="36"/>
        <v>11110</v>
      </c>
      <c r="DM21" s="1863">
        <v>6152</v>
      </c>
      <c r="DN21" s="1863">
        <v>4608</v>
      </c>
      <c r="DO21" s="1863">
        <f t="shared" si="37"/>
        <v>10760</v>
      </c>
      <c r="DP21" s="1863">
        <v>6082</v>
      </c>
      <c r="DQ21" s="1863">
        <v>4459</v>
      </c>
      <c r="DR21" s="1863">
        <f t="shared" si="38"/>
        <v>10541</v>
      </c>
      <c r="DS21" s="1865">
        <v>5761</v>
      </c>
      <c r="DT21" s="1866">
        <v>4396</v>
      </c>
      <c r="DU21" s="1866">
        <f t="shared" si="39"/>
        <v>10157</v>
      </c>
      <c r="DV21" s="1830">
        <v>5624</v>
      </c>
      <c r="DW21" s="1830">
        <v>4283</v>
      </c>
      <c r="DX21" s="1830">
        <f t="shared" si="40"/>
        <v>9907</v>
      </c>
      <c r="DY21" s="1863">
        <v>5440</v>
      </c>
      <c r="DZ21" s="1863">
        <v>4322</v>
      </c>
      <c r="EA21" s="1863">
        <f t="shared" si="41"/>
        <v>9762</v>
      </c>
      <c r="EB21" s="1831">
        <v>5512</v>
      </c>
      <c r="EC21" s="1832">
        <v>4306</v>
      </c>
      <c r="ED21" s="1832">
        <f t="shared" si="42"/>
        <v>9818</v>
      </c>
      <c r="EE21" s="1863">
        <v>5199</v>
      </c>
      <c r="EF21" s="1863">
        <v>4241</v>
      </c>
      <c r="EG21" s="1863">
        <f t="shared" si="43"/>
        <v>9440</v>
      </c>
      <c r="EH21" s="1865">
        <v>4961</v>
      </c>
      <c r="EI21" s="1866">
        <v>4131</v>
      </c>
      <c r="EJ21" s="1866">
        <f t="shared" si="44"/>
        <v>9092</v>
      </c>
      <c r="EK21" s="1866">
        <v>5006</v>
      </c>
      <c r="EL21" s="1866">
        <v>4158</v>
      </c>
      <c r="EM21" s="1866">
        <f t="shared" si="45"/>
        <v>9164</v>
      </c>
      <c r="EN21" s="1866">
        <v>4951</v>
      </c>
      <c r="EO21" s="1866">
        <v>4079</v>
      </c>
      <c r="EP21" s="1866">
        <f t="shared" si="46"/>
        <v>9030</v>
      </c>
      <c r="EQ21" s="1866">
        <v>4870</v>
      </c>
      <c r="ER21" s="1866">
        <v>4093</v>
      </c>
      <c r="ES21" s="1866">
        <f t="shared" si="47"/>
        <v>8963</v>
      </c>
      <c r="ET21" s="1863">
        <v>5107</v>
      </c>
      <c r="EU21" s="1863">
        <v>4220</v>
      </c>
      <c r="EV21" s="1863">
        <f t="shared" si="48"/>
        <v>9327</v>
      </c>
      <c r="EW21" s="1863">
        <v>5260</v>
      </c>
      <c r="EX21" s="1863">
        <v>4218</v>
      </c>
      <c r="EY21" s="1863">
        <f t="shared" si="49"/>
        <v>9478</v>
      </c>
      <c r="EZ21" s="1863">
        <v>5297</v>
      </c>
      <c r="FA21" s="1863">
        <v>4715</v>
      </c>
      <c r="FB21" s="1863">
        <f t="shared" si="50"/>
        <v>10012</v>
      </c>
      <c r="FC21" s="1865">
        <v>5438</v>
      </c>
      <c r="FD21" s="1866">
        <v>4339</v>
      </c>
      <c r="FE21" s="1866">
        <f t="shared" si="51"/>
        <v>9777</v>
      </c>
      <c r="FF21" s="1830">
        <v>6400</v>
      </c>
      <c r="FG21" s="1830">
        <v>4327</v>
      </c>
      <c r="FH21" s="1830">
        <f t="shared" si="52"/>
        <v>10727</v>
      </c>
      <c r="FI21" s="1863">
        <v>6722</v>
      </c>
      <c r="FJ21" s="1863">
        <v>4426</v>
      </c>
      <c r="FK21" s="1863">
        <f t="shared" si="53"/>
        <v>11148</v>
      </c>
      <c r="FL21" s="1831">
        <v>7484</v>
      </c>
      <c r="FM21" s="1832">
        <v>4610</v>
      </c>
      <c r="FN21" s="1832">
        <f t="shared" si="54"/>
        <v>12094</v>
      </c>
      <c r="FO21" s="1863">
        <v>8384</v>
      </c>
      <c r="FP21" s="1863">
        <v>4756</v>
      </c>
      <c r="FQ21" s="1863">
        <f t="shared" si="55"/>
        <v>13140</v>
      </c>
      <c r="FR21" s="1835">
        <v>8655</v>
      </c>
      <c r="FS21" s="1866">
        <v>4710</v>
      </c>
      <c r="FT21" s="1866">
        <f t="shared" si="56"/>
        <v>13365</v>
      </c>
      <c r="FU21" s="1866">
        <v>9432</v>
      </c>
      <c r="FV21" s="1866">
        <v>4924</v>
      </c>
      <c r="FW21" s="1866">
        <f t="shared" si="57"/>
        <v>14356</v>
      </c>
      <c r="FX21" s="1866">
        <v>8516</v>
      </c>
      <c r="FY21" s="1866">
        <v>5035</v>
      </c>
      <c r="FZ21" s="1866">
        <f t="shared" si="58"/>
        <v>13551</v>
      </c>
      <c r="GA21" s="1866">
        <v>8551</v>
      </c>
      <c r="GB21" s="1866">
        <v>5238</v>
      </c>
      <c r="GC21" s="1866">
        <f t="shared" si="59"/>
        <v>13789</v>
      </c>
      <c r="GD21" s="1863">
        <v>8354</v>
      </c>
      <c r="GE21" s="1863">
        <v>5306</v>
      </c>
      <c r="GF21" s="1863">
        <f t="shared" si="60"/>
        <v>13660</v>
      </c>
      <c r="GG21" s="1863">
        <v>8171</v>
      </c>
      <c r="GH21" s="1863">
        <v>5171</v>
      </c>
      <c r="GI21" s="1863">
        <f t="shared" si="61"/>
        <v>13342</v>
      </c>
      <c r="GJ21" s="1863">
        <v>8254</v>
      </c>
      <c r="GK21" s="1863">
        <v>5201</v>
      </c>
      <c r="GL21" s="1863">
        <f t="shared" si="62"/>
        <v>13455</v>
      </c>
      <c r="GM21" s="1865">
        <v>9912</v>
      </c>
      <c r="GN21" s="1866">
        <v>5342</v>
      </c>
      <c r="GO21" s="1866">
        <f t="shared" si="63"/>
        <v>15254</v>
      </c>
      <c r="GP21" s="1830">
        <v>9773</v>
      </c>
      <c r="GQ21" s="1830">
        <v>5324</v>
      </c>
      <c r="GR21" s="1830">
        <f t="shared" si="64"/>
        <v>15097</v>
      </c>
      <c r="GS21" s="1863">
        <v>10011</v>
      </c>
      <c r="GT21" s="1863">
        <v>5360</v>
      </c>
      <c r="GU21" s="1863">
        <f t="shared" si="65"/>
        <v>15371</v>
      </c>
      <c r="GV21" s="1831">
        <v>10250</v>
      </c>
      <c r="GW21" s="1832">
        <v>5413</v>
      </c>
      <c r="GX21" s="1832">
        <f t="shared" si="66"/>
        <v>15663</v>
      </c>
      <c r="GY21" s="1863">
        <v>10176</v>
      </c>
      <c r="GZ21" s="1863">
        <v>5319</v>
      </c>
      <c r="HA21" s="1863">
        <f t="shared" si="67"/>
        <v>15495</v>
      </c>
      <c r="HB21" s="1835">
        <v>10253</v>
      </c>
      <c r="HC21" s="1866">
        <v>5589</v>
      </c>
      <c r="HD21" s="1866">
        <f t="shared" si="68"/>
        <v>15842</v>
      </c>
      <c r="HE21" s="1866">
        <v>9867</v>
      </c>
      <c r="HF21" s="1866">
        <v>5477</v>
      </c>
      <c r="HG21" s="1866">
        <f t="shared" si="69"/>
        <v>15344</v>
      </c>
      <c r="HH21" s="1866">
        <v>9627</v>
      </c>
      <c r="HI21" s="1866">
        <v>5545</v>
      </c>
      <c r="HJ21" s="1866">
        <f t="shared" si="70"/>
        <v>15172</v>
      </c>
      <c r="HK21" s="1866">
        <v>9473</v>
      </c>
      <c r="HL21" s="1866">
        <v>5442</v>
      </c>
      <c r="HM21" s="1866">
        <f t="shared" si="71"/>
        <v>14915</v>
      </c>
      <c r="HN21" s="1863">
        <v>9317</v>
      </c>
      <c r="HO21" s="1863">
        <v>5354</v>
      </c>
      <c r="HP21" s="1863">
        <f t="shared" si="72"/>
        <v>14671</v>
      </c>
      <c r="HQ21" s="1863">
        <v>9380</v>
      </c>
      <c r="HR21" s="1863">
        <v>5402</v>
      </c>
      <c r="HS21" s="1863">
        <f t="shared" si="73"/>
        <v>14782</v>
      </c>
      <c r="HT21" s="1863">
        <v>10496</v>
      </c>
      <c r="HU21" s="1863">
        <v>5961</v>
      </c>
      <c r="HV21" s="1863">
        <f t="shared" si="74"/>
        <v>16457</v>
      </c>
      <c r="HW21" s="1867">
        <v>11380</v>
      </c>
      <c r="HX21" s="1868">
        <v>5960</v>
      </c>
      <c r="HY21" s="1866">
        <f t="shared" si="75"/>
        <v>17340</v>
      </c>
      <c r="HZ21" s="1830">
        <v>11202</v>
      </c>
      <c r="IA21" s="1830">
        <v>5924</v>
      </c>
      <c r="IB21" s="1830">
        <f t="shared" si="76"/>
        <v>17126</v>
      </c>
      <c r="IC21" s="1863">
        <v>11585</v>
      </c>
      <c r="ID21" s="1863">
        <v>6028</v>
      </c>
      <c r="IE21" s="1863">
        <f t="shared" si="77"/>
        <v>17613</v>
      </c>
      <c r="IF21" s="1831">
        <v>11467</v>
      </c>
      <c r="IG21" s="1832">
        <v>6195</v>
      </c>
      <c r="IH21" s="1832">
        <f t="shared" si="78"/>
        <v>17662</v>
      </c>
      <c r="II21" s="1812">
        <v>11743</v>
      </c>
      <c r="IJ21" s="1812">
        <v>6326</v>
      </c>
      <c r="IK21" s="1812">
        <f t="shared" si="79"/>
        <v>18069</v>
      </c>
      <c r="IL21" s="1812"/>
    </row>
    <row r="22" spans="1:246" hidden="1">
      <c r="A22" s="1933" t="s">
        <v>127</v>
      </c>
      <c r="B22" s="1863">
        <v>8341</v>
      </c>
      <c r="C22" s="1863">
        <v>10177</v>
      </c>
      <c r="D22" s="1863">
        <f t="shared" si="0"/>
        <v>18518</v>
      </c>
      <c r="E22" s="1864">
        <v>8437</v>
      </c>
      <c r="F22" s="1864">
        <v>9912</v>
      </c>
      <c r="G22" s="1864">
        <f t="shared" si="1"/>
        <v>18349</v>
      </c>
      <c r="H22" s="1864">
        <v>8484</v>
      </c>
      <c r="I22" s="1864">
        <v>9930</v>
      </c>
      <c r="J22" s="1864">
        <f t="shared" si="2"/>
        <v>18414</v>
      </c>
      <c r="K22" s="1825">
        <v>9478</v>
      </c>
      <c r="L22" s="1825">
        <v>10157</v>
      </c>
      <c r="M22" s="1825">
        <f t="shared" si="3"/>
        <v>19635</v>
      </c>
      <c r="N22" s="1826">
        <v>9511</v>
      </c>
      <c r="O22" s="1826">
        <v>10213</v>
      </c>
      <c r="P22" s="1827">
        <f t="shared" si="4"/>
        <v>19724</v>
      </c>
      <c r="Q22" s="1863">
        <v>9567</v>
      </c>
      <c r="R22" s="1863">
        <v>10153</v>
      </c>
      <c r="S22" s="1863">
        <f t="shared" si="5"/>
        <v>19720</v>
      </c>
      <c r="T22" s="1863">
        <v>9653</v>
      </c>
      <c r="U22" s="1863">
        <v>10189</v>
      </c>
      <c r="V22" s="1863">
        <f t="shared" si="6"/>
        <v>19842</v>
      </c>
      <c r="W22" s="1825">
        <v>9657</v>
      </c>
      <c r="X22" s="1825">
        <v>10112</v>
      </c>
      <c r="Y22" s="1825">
        <f t="shared" si="7"/>
        <v>19769</v>
      </c>
      <c r="Z22" s="1825">
        <v>9665</v>
      </c>
      <c r="AA22" s="1825">
        <v>10138</v>
      </c>
      <c r="AB22" s="1825">
        <f t="shared" si="8"/>
        <v>19803</v>
      </c>
      <c r="AC22" s="1828">
        <v>9756</v>
      </c>
      <c r="AD22" s="1828">
        <v>10097</v>
      </c>
      <c r="AE22" s="1828">
        <f t="shared" si="9"/>
        <v>19853</v>
      </c>
      <c r="AF22" s="1830">
        <v>9720</v>
      </c>
      <c r="AG22" s="1830">
        <v>10199</v>
      </c>
      <c r="AH22" s="1830">
        <f t="shared" si="10"/>
        <v>19919</v>
      </c>
      <c r="AI22" s="1830">
        <v>9818</v>
      </c>
      <c r="AJ22" s="1830">
        <v>9690</v>
      </c>
      <c r="AK22" s="1830">
        <f t="shared" si="11"/>
        <v>19508</v>
      </c>
      <c r="AL22" s="1863">
        <v>9637</v>
      </c>
      <c r="AM22" s="1863">
        <v>9823</v>
      </c>
      <c r="AN22" s="1863">
        <f t="shared" si="12"/>
        <v>19460</v>
      </c>
      <c r="AO22" s="1830">
        <v>9536</v>
      </c>
      <c r="AP22" s="1830">
        <v>9882</v>
      </c>
      <c r="AQ22" s="1830">
        <f t="shared" si="13"/>
        <v>19418</v>
      </c>
      <c r="AR22" s="1830">
        <v>9651</v>
      </c>
      <c r="AS22" s="1830">
        <v>10031</v>
      </c>
      <c r="AT22" s="1830">
        <f t="shared" si="14"/>
        <v>19682</v>
      </c>
      <c r="AU22" s="1830">
        <v>9558</v>
      </c>
      <c r="AV22" s="1830">
        <v>10005</v>
      </c>
      <c r="AW22" s="1830">
        <f t="shared" si="15"/>
        <v>19563</v>
      </c>
      <c r="AX22" s="1830">
        <v>9472</v>
      </c>
      <c r="AY22" s="1830">
        <v>10086</v>
      </c>
      <c r="AZ22" s="1830">
        <f t="shared" si="16"/>
        <v>19558</v>
      </c>
      <c r="BA22" s="1863">
        <v>9512</v>
      </c>
      <c r="BB22" s="1863">
        <v>10223</v>
      </c>
      <c r="BC22" s="1863">
        <f t="shared" si="17"/>
        <v>19735</v>
      </c>
      <c r="BD22" s="1831">
        <v>9490</v>
      </c>
      <c r="BE22" s="1832">
        <v>10378</v>
      </c>
      <c r="BF22" s="1832">
        <f t="shared" si="18"/>
        <v>19868</v>
      </c>
      <c r="BG22" s="1863">
        <v>9367</v>
      </c>
      <c r="BH22" s="1863">
        <v>10473</v>
      </c>
      <c r="BI22" s="1863">
        <f t="shared" si="19"/>
        <v>19840</v>
      </c>
      <c r="BJ22" s="1865">
        <v>9279</v>
      </c>
      <c r="BK22" s="1866">
        <v>10520</v>
      </c>
      <c r="BL22" s="1866">
        <f t="shared" si="20"/>
        <v>19799</v>
      </c>
      <c r="BM22" s="1866">
        <v>9283</v>
      </c>
      <c r="BN22" s="1866">
        <v>10640</v>
      </c>
      <c r="BO22" s="1866">
        <f t="shared" si="21"/>
        <v>19923</v>
      </c>
      <c r="BP22" s="1866">
        <v>9174</v>
      </c>
      <c r="BQ22" s="1866">
        <v>10708</v>
      </c>
      <c r="BR22" s="1866">
        <f t="shared" si="22"/>
        <v>19882</v>
      </c>
      <c r="BS22" s="1866">
        <v>9161</v>
      </c>
      <c r="BT22" s="1866">
        <v>10748</v>
      </c>
      <c r="BU22" s="1866">
        <f t="shared" si="23"/>
        <v>19909</v>
      </c>
      <c r="BV22" s="1863">
        <v>8994</v>
      </c>
      <c r="BW22" s="1863">
        <v>10689</v>
      </c>
      <c r="BX22" s="1863">
        <f t="shared" si="24"/>
        <v>19683</v>
      </c>
      <c r="BY22" s="1863">
        <v>9170</v>
      </c>
      <c r="BZ22" s="1863">
        <v>10764</v>
      </c>
      <c r="CA22" s="1863">
        <v>8925</v>
      </c>
      <c r="CB22" s="1863">
        <v>10622</v>
      </c>
      <c r="CC22" s="1863">
        <f t="shared" si="25"/>
        <v>19547</v>
      </c>
      <c r="CD22" s="1863">
        <v>8860</v>
      </c>
      <c r="CE22" s="1863">
        <v>10570</v>
      </c>
      <c r="CF22" s="1863">
        <f t="shared" si="26"/>
        <v>19430</v>
      </c>
      <c r="CG22" s="1865">
        <v>8683</v>
      </c>
      <c r="CH22" s="1866">
        <v>10414</v>
      </c>
      <c r="CI22" s="1866">
        <f t="shared" si="27"/>
        <v>19097</v>
      </c>
      <c r="CJ22" s="1863">
        <v>8683</v>
      </c>
      <c r="CK22" s="1863">
        <v>10414</v>
      </c>
      <c r="CL22" s="1830">
        <v>8560</v>
      </c>
      <c r="CM22" s="1830">
        <v>10335</v>
      </c>
      <c r="CN22" s="1830">
        <f t="shared" si="28"/>
        <v>18895</v>
      </c>
      <c r="CO22" s="1863">
        <v>8594</v>
      </c>
      <c r="CP22" s="1863">
        <v>10277</v>
      </c>
      <c r="CQ22" s="1863">
        <f t="shared" si="29"/>
        <v>18871</v>
      </c>
      <c r="CR22" s="1831">
        <v>8404</v>
      </c>
      <c r="CS22" s="1832">
        <v>10204</v>
      </c>
      <c r="CT22" s="1832">
        <f t="shared" si="30"/>
        <v>18608</v>
      </c>
      <c r="CU22" s="1863">
        <v>8266</v>
      </c>
      <c r="CV22" s="1863">
        <v>10071</v>
      </c>
      <c r="CW22" s="1863">
        <f t="shared" si="31"/>
        <v>18337</v>
      </c>
      <c r="CX22" s="1865">
        <v>8133</v>
      </c>
      <c r="CY22" s="1866">
        <v>9986</v>
      </c>
      <c r="CZ22" s="1866">
        <f t="shared" si="32"/>
        <v>18119</v>
      </c>
      <c r="DA22" s="1866">
        <v>7998</v>
      </c>
      <c r="DB22" s="1866">
        <v>9813</v>
      </c>
      <c r="DC22" s="1866">
        <f t="shared" si="33"/>
        <v>17811</v>
      </c>
      <c r="DD22" s="1866">
        <v>7878</v>
      </c>
      <c r="DE22" s="1866">
        <v>9677</v>
      </c>
      <c r="DF22" s="1866">
        <f t="shared" si="34"/>
        <v>17555</v>
      </c>
      <c r="DG22" s="1866">
        <v>7739</v>
      </c>
      <c r="DH22" s="1866">
        <v>9577</v>
      </c>
      <c r="DI22" s="1866">
        <f t="shared" si="35"/>
        <v>17316</v>
      </c>
      <c r="DJ22" s="1863">
        <v>7535</v>
      </c>
      <c r="DK22" s="1863">
        <v>9325</v>
      </c>
      <c r="DL22" s="1863">
        <f t="shared" si="36"/>
        <v>16860</v>
      </c>
      <c r="DM22" s="1863">
        <v>7368</v>
      </c>
      <c r="DN22" s="1863">
        <v>9139</v>
      </c>
      <c r="DO22" s="1863">
        <f t="shared" si="37"/>
        <v>16507</v>
      </c>
      <c r="DP22" s="1863">
        <v>7322</v>
      </c>
      <c r="DQ22" s="1863">
        <v>9017</v>
      </c>
      <c r="DR22" s="1863">
        <f t="shared" si="38"/>
        <v>16339</v>
      </c>
      <c r="DS22" s="1865">
        <v>7238</v>
      </c>
      <c r="DT22" s="1866">
        <v>8876</v>
      </c>
      <c r="DU22" s="1866">
        <f t="shared" si="39"/>
        <v>16114</v>
      </c>
      <c r="DV22" s="1830">
        <v>7149</v>
      </c>
      <c r="DW22" s="1830">
        <v>8711</v>
      </c>
      <c r="DX22" s="1830">
        <f t="shared" si="40"/>
        <v>15860</v>
      </c>
      <c r="DY22" s="1863">
        <v>7067</v>
      </c>
      <c r="DZ22" s="1863">
        <v>8687</v>
      </c>
      <c r="EA22" s="1863">
        <f t="shared" si="41"/>
        <v>15754</v>
      </c>
      <c r="EB22" s="1831">
        <v>7038</v>
      </c>
      <c r="EC22" s="1832">
        <v>8669</v>
      </c>
      <c r="ED22" s="1832">
        <f t="shared" si="42"/>
        <v>15707</v>
      </c>
      <c r="EE22" s="1863">
        <v>6958</v>
      </c>
      <c r="EF22" s="1863">
        <v>8509</v>
      </c>
      <c r="EG22" s="1863">
        <f t="shared" si="43"/>
        <v>15467</v>
      </c>
      <c r="EH22" s="1865">
        <v>6846</v>
      </c>
      <c r="EI22" s="1866">
        <v>8402</v>
      </c>
      <c r="EJ22" s="1866">
        <f t="shared" si="44"/>
        <v>15248</v>
      </c>
      <c r="EK22" s="1866">
        <v>6782</v>
      </c>
      <c r="EL22" s="1866">
        <v>8320</v>
      </c>
      <c r="EM22" s="1866">
        <f t="shared" si="45"/>
        <v>15102</v>
      </c>
      <c r="EN22" s="1866">
        <v>6701</v>
      </c>
      <c r="EO22" s="1866">
        <v>8232</v>
      </c>
      <c r="EP22" s="1866">
        <f t="shared" si="46"/>
        <v>14933</v>
      </c>
      <c r="EQ22" s="1866">
        <v>6649</v>
      </c>
      <c r="ER22" s="1866">
        <v>8107</v>
      </c>
      <c r="ES22" s="1866">
        <f t="shared" si="47"/>
        <v>14756</v>
      </c>
      <c r="ET22" s="1863">
        <v>6335</v>
      </c>
      <c r="EU22" s="1863">
        <v>7838</v>
      </c>
      <c r="EV22" s="1863">
        <f t="shared" si="48"/>
        <v>14173</v>
      </c>
      <c r="EW22" s="1863">
        <v>6696</v>
      </c>
      <c r="EX22" s="1863">
        <v>8080</v>
      </c>
      <c r="EY22" s="1863">
        <f t="shared" si="49"/>
        <v>14776</v>
      </c>
      <c r="EZ22" s="1863">
        <v>6466</v>
      </c>
      <c r="FA22" s="1863">
        <v>7835</v>
      </c>
      <c r="FB22" s="1863">
        <f t="shared" si="50"/>
        <v>14301</v>
      </c>
      <c r="FC22" s="1865">
        <v>6230</v>
      </c>
      <c r="FD22" s="1866">
        <v>7592</v>
      </c>
      <c r="FE22" s="1866">
        <f t="shared" si="51"/>
        <v>13822</v>
      </c>
      <c r="FF22" s="1830">
        <v>6544</v>
      </c>
      <c r="FG22" s="1830">
        <v>7908</v>
      </c>
      <c r="FH22" s="1830">
        <f t="shared" si="52"/>
        <v>14452</v>
      </c>
      <c r="FI22" s="1863">
        <v>6349</v>
      </c>
      <c r="FJ22" s="1863">
        <v>7674</v>
      </c>
      <c r="FK22" s="1863">
        <f t="shared" si="53"/>
        <v>14023</v>
      </c>
      <c r="FL22" s="1831">
        <v>6333</v>
      </c>
      <c r="FM22" s="1832">
        <v>7624</v>
      </c>
      <c r="FN22" s="1832">
        <f t="shared" si="54"/>
        <v>13957</v>
      </c>
      <c r="FO22" s="1863">
        <v>6277</v>
      </c>
      <c r="FP22" s="1863">
        <v>7530</v>
      </c>
      <c r="FQ22" s="1863">
        <f t="shared" si="55"/>
        <v>13807</v>
      </c>
      <c r="FR22" s="1835">
        <v>6277</v>
      </c>
      <c r="FS22" s="1866">
        <v>7523</v>
      </c>
      <c r="FT22" s="1866">
        <f t="shared" si="56"/>
        <v>13800</v>
      </c>
      <c r="FU22" s="1866">
        <v>6304</v>
      </c>
      <c r="FV22" s="1866">
        <v>7484</v>
      </c>
      <c r="FW22" s="1866">
        <f t="shared" si="57"/>
        <v>13788</v>
      </c>
      <c r="FX22" s="1866">
        <v>6294</v>
      </c>
      <c r="FY22" s="1866">
        <v>7430</v>
      </c>
      <c r="FZ22" s="1866">
        <f t="shared" si="58"/>
        <v>13724</v>
      </c>
      <c r="GA22" s="1866">
        <v>6380</v>
      </c>
      <c r="GB22" s="1866">
        <v>7346</v>
      </c>
      <c r="GC22" s="1866">
        <f t="shared" si="59"/>
        <v>13726</v>
      </c>
      <c r="GD22" s="1863">
        <v>6406</v>
      </c>
      <c r="GE22" s="1863">
        <v>7291</v>
      </c>
      <c r="GF22" s="1863">
        <f t="shared" si="60"/>
        <v>13697</v>
      </c>
      <c r="GG22" s="1863">
        <v>6436</v>
      </c>
      <c r="GH22" s="1863">
        <v>7204</v>
      </c>
      <c r="GI22" s="1863">
        <f t="shared" si="61"/>
        <v>13640</v>
      </c>
      <c r="GJ22" s="1863">
        <v>6441</v>
      </c>
      <c r="GK22" s="1863">
        <v>7179</v>
      </c>
      <c r="GL22" s="1863">
        <f t="shared" si="62"/>
        <v>13620</v>
      </c>
      <c r="GM22" s="1865">
        <v>6321</v>
      </c>
      <c r="GN22" s="1866">
        <v>6966</v>
      </c>
      <c r="GO22" s="1866">
        <f t="shared" si="63"/>
        <v>13287</v>
      </c>
      <c r="GP22" s="1830">
        <v>6491</v>
      </c>
      <c r="GQ22" s="1830">
        <v>7021</v>
      </c>
      <c r="GR22" s="1830">
        <f t="shared" si="64"/>
        <v>13512</v>
      </c>
      <c r="GS22" s="1863">
        <v>6437</v>
      </c>
      <c r="GT22" s="1863">
        <v>6942</v>
      </c>
      <c r="GU22" s="1863">
        <f t="shared" si="65"/>
        <v>13379</v>
      </c>
      <c r="GV22" s="1831">
        <v>6626</v>
      </c>
      <c r="GW22" s="1832">
        <v>7059</v>
      </c>
      <c r="GX22" s="1832">
        <f t="shared" si="66"/>
        <v>13685</v>
      </c>
      <c r="GY22" s="1863">
        <v>6470</v>
      </c>
      <c r="GZ22" s="1863">
        <v>6811</v>
      </c>
      <c r="HA22" s="1863">
        <f t="shared" si="67"/>
        <v>13281</v>
      </c>
      <c r="HB22" s="1835">
        <v>6410</v>
      </c>
      <c r="HC22" s="1866">
        <v>6802</v>
      </c>
      <c r="HD22" s="1866">
        <f t="shared" si="68"/>
        <v>13212</v>
      </c>
      <c r="HE22" s="1866">
        <v>6317</v>
      </c>
      <c r="HF22" s="1866">
        <v>6594</v>
      </c>
      <c r="HG22" s="1866">
        <f t="shared" si="69"/>
        <v>12911</v>
      </c>
      <c r="HH22" s="1866">
        <v>6280</v>
      </c>
      <c r="HI22" s="1866">
        <v>6577</v>
      </c>
      <c r="HJ22" s="1866">
        <f t="shared" si="70"/>
        <v>12857</v>
      </c>
      <c r="HK22" s="1866">
        <v>6259</v>
      </c>
      <c r="HL22" s="1866">
        <v>6399</v>
      </c>
      <c r="HM22" s="1866">
        <f t="shared" si="71"/>
        <v>12658</v>
      </c>
      <c r="HN22" s="1863">
        <v>6137</v>
      </c>
      <c r="HO22" s="1863">
        <v>6254</v>
      </c>
      <c r="HP22" s="1863">
        <f t="shared" si="72"/>
        <v>12391</v>
      </c>
      <c r="HQ22" s="1863">
        <v>6088</v>
      </c>
      <c r="HR22" s="1863">
        <v>6198</v>
      </c>
      <c r="HS22" s="1863">
        <f t="shared" si="73"/>
        <v>12286</v>
      </c>
      <c r="HT22" s="1863">
        <v>6056</v>
      </c>
      <c r="HU22" s="1863">
        <v>6114</v>
      </c>
      <c r="HV22" s="1863">
        <f t="shared" si="74"/>
        <v>12170</v>
      </c>
      <c r="HW22" s="1867">
        <v>6002</v>
      </c>
      <c r="HX22" s="1868">
        <v>6018</v>
      </c>
      <c r="HY22" s="1866">
        <f t="shared" si="75"/>
        <v>12020</v>
      </c>
      <c r="HZ22" s="1830">
        <v>5882</v>
      </c>
      <c r="IA22" s="1830">
        <v>5940</v>
      </c>
      <c r="IB22" s="1830">
        <f t="shared" si="76"/>
        <v>11822</v>
      </c>
      <c r="IC22" s="1863">
        <v>5689</v>
      </c>
      <c r="ID22" s="1863">
        <v>5735</v>
      </c>
      <c r="IE22" s="1863">
        <f t="shared" si="77"/>
        <v>11424</v>
      </c>
      <c r="IF22" s="1831">
        <v>6602</v>
      </c>
      <c r="IG22" s="1832">
        <v>6005</v>
      </c>
      <c r="IH22" s="1832">
        <f t="shared" si="78"/>
        <v>12607</v>
      </c>
      <c r="II22" s="1812">
        <v>6560</v>
      </c>
      <c r="IJ22" s="1812">
        <v>5767</v>
      </c>
      <c r="IK22" s="1812">
        <f t="shared" si="79"/>
        <v>12327</v>
      </c>
      <c r="IL22" s="1812"/>
    </row>
    <row r="23" spans="1:246" ht="24.75" hidden="1">
      <c r="A23" s="1933" t="s">
        <v>1603</v>
      </c>
      <c r="B23" s="1863">
        <v>2473</v>
      </c>
      <c r="C23" s="1863">
        <v>2444</v>
      </c>
      <c r="D23" s="1863">
        <f t="shared" si="0"/>
        <v>4917</v>
      </c>
      <c r="E23" s="1864">
        <v>2521</v>
      </c>
      <c r="F23" s="1864">
        <v>2591</v>
      </c>
      <c r="G23" s="1864">
        <f t="shared" si="1"/>
        <v>5112</v>
      </c>
      <c r="H23" s="1864">
        <v>2532</v>
      </c>
      <c r="I23" s="1864">
        <v>2691</v>
      </c>
      <c r="J23" s="1864">
        <f t="shared" si="2"/>
        <v>5223</v>
      </c>
      <c r="K23" s="1825">
        <v>2502</v>
      </c>
      <c r="L23" s="1825">
        <v>2753</v>
      </c>
      <c r="M23" s="1825">
        <f t="shared" si="3"/>
        <v>5255</v>
      </c>
      <c r="N23" s="1826">
        <v>2472</v>
      </c>
      <c r="O23" s="1826">
        <v>3209</v>
      </c>
      <c r="P23" s="1827">
        <f t="shared" si="4"/>
        <v>5681</v>
      </c>
      <c r="Q23" s="1863">
        <v>2417</v>
      </c>
      <c r="R23" s="1863">
        <v>3340</v>
      </c>
      <c r="S23" s="1863">
        <f t="shared" si="5"/>
        <v>5757</v>
      </c>
      <c r="T23" s="1863">
        <v>2464</v>
      </c>
      <c r="U23" s="1863">
        <v>3340</v>
      </c>
      <c r="V23" s="1863">
        <f t="shared" si="6"/>
        <v>5804</v>
      </c>
      <c r="W23" s="1825">
        <v>2458</v>
      </c>
      <c r="X23" s="1825">
        <v>3444</v>
      </c>
      <c r="Y23" s="1825">
        <f t="shared" si="7"/>
        <v>5902</v>
      </c>
      <c r="Z23" s="1825">
        <v>2434</v>
      </c>
      <c r="AA23" s="1825">
        <v>3457</v>
      </c>
      <c r="AB23" s="1825">
        <f t="shared" si="8"/>
        <v>5891</v>
      </c>
      <c r="AC23" s="1828">
        <v>2332</v>
      </c>
      <c r="AD23" s="1828">
        <v>3531</v>
      </c>
      <c r="AE23" s="1828">
        <f t="shared" si="9"/>
        <v>5863</v>
      </c>
      <c r="AF23" s="1829">
        <v>2281</v>
      </c>
      <c r="AG23" s="1829">
        <v>3570</v>
      </c>
      <c r="AH23" s="1830">
        <f t="shared" si="10"/>
        <v>5851</v>
      </c>
      <c r="AI23" s="1829">
        <v>2282</v>
      </c>
      <c r="AJ23" s="1829">
        <v>3580</v>
      </c>
      <c r="AK23" s="1830">
        <f t="shared" si="11"/>
        <v>5862</v>
      </c>
      <c r="AL23" s="1863">
        <v>2287</v>
      </c>
      <c r="AM23" s="1863">
        <v>3558</v>
      </c>
      <c r="AN23" s="1863">
        <f t="shared" si="12"/>
        <v>5845</v>
      </c>
      <c r="AO23" s="1829">
        <v>2295</v>
      </c>
      <c r="AP23" s="1829">
        <v>3552</v>
      </c>
      <c r="AQ23" s="1830">
        <f t="shared" si="13"/>
        <v>5847</v>
      </c>
      <c r="AR23" s="1829">
        <v>2315</v>
      </c>
      <c r="AS23" s="1829">
        <v>3625</v>
      </c>
      <c r="AT23" s="1830">
        <f t="shared" si="14"/>
        <v>5940</v>
      </c>
      <c r="AU23" s="1829">
        <v>2316</v>
      </c>
      <c r="AV23" s="1829">
        <v>3660</v>
      </c>
      <c r="AW23" s="1830">
        <f t="shared" si="15"/>
        <v>5976</v>
      </c>
      <c r="AX23" s="1829">
        <v>2336</v>
      </c>
      <c r="AY23" s="1829">
        <v>3682</v>
      </c>
      <c r="AZ23" s="1830">
        <f t="shared" si="16"/>
        <v>6018</v>
      </c>
      <c r="BA23" s="1863">
        <v>2304</v>
      </c>
      <c r="BB23" s="1863">
        <v>3635</v>
      </c>
      <c r="BC23" s="1863">
        <f t="shared" si="17"/>
        <v>5939</v>
      </c>
      <c r="BD23" s="1831">
        <v>2322</v>
      </c>
      <c r="BE23" s="1832">
        <v>3672</v>
      </c>
      <c r="BF23" s="1832">
        <f t="shared" si="18"/>
        <v>5994</v>
      </c>
      <c r="BG23" s="1863">
        <v>2335</v>
      </c>
      <c r="BH23" s="1863">
        <v>3714</v>
      </c>
      <c r="BI23" s="1863">
        <f t="shared" si="19"/>
        <v>6049</v>
      </c>
      <c r="BJ23" s="1865">
        <v>2352</v>
      </c>
      <c r="BK23" s="1866">
        <v>3809</v>
      </c>
      <c r="BL23" s="1866">
        <f t="shared" si="20"/>
        <v>6161</v>
      </c>
      <c r="BM23" s="1866">
        <v>2361</v>
      </c>
      <c r="BN23" s="1866">
        <v>3822</v>
      </c>
      <c r="BO23" s="1866">
        <f t="shared" si="21"/>
        <v>6183</v>
      </c>
      <c r="BP23" s="1866">
        <v>2346</v>
      </c>
      <c r="BQ23" s="1866">
        <v>3809</v>
      </c>
      <c r="BR23" s="1866">
        <f t="shared" si="22"/>
        <v>6155</v>
      </c>
      <c r="BS23" s="1866">
        <v>2378</v>
      </c>
      <c r="BT23" s="1866">
        <v>3846</v>
      </c>
      <c r="BU23" s="1866">
        <f t="shared" si="23"/>
        <v>6224</v>
      </c>
      <c r="BV23" s="1863">
        <v>2364</v>
      </c>
      <c r="BW23" s="1863">
        <v>3841</v>
      </c>
      <c r="BX23" s="1863">
        <f t="shared" si="24"/>
        <v>6205</v>
      </c>
      <c r="BY23" s="1863">
        <v>2375</v>
      </c>
      <c r="BZ23" s="1863">
        <v>3835</v>
      </c>
      <c r="CA23" s="1863">
        <v>2403</v>
      </c>
      <c r="CB23" s="1863">
        <v>3865</v>
      </c>
      <c r="CC23" s="1863">
        <f t="shared" si="25"/>
        <v>6268</v>
      </c>
      <c r="CD23" s="1863">
        <v>2393</v>
      </c>
      <c r="CE23" s="1863">
        <v>3846</v>
      </c>
      <c r="CF23" s="1863">
        <f t="shared" si="26"/>
        <v>6239</v>
      </c>
      <c r="CG23" s="1865">
        <v>2395</v>
      </c>
      <c r="CH23" s="1866">
        <v>3845</v>
      </c>
      <c r="CI23" s="1866">
        <f t="shared" si="27"/>
        <v>6240</v>
      </c>
      <c r="CJ23" s="1863">
        <v>2395</v>
      </c>
      <c r="CK23" s="1863">
        <v>3845</v>
      </c>
      <c r="CL23" s="1829">
        <v>2346</v>
      </c>
      <c r="CM23" s="1829">
        <v>3839</v>
      </c>
      <c r="CN23" s="1830">
        <f t="shared" si="28"/>
        <v>6185</v>
      </c>
      <c r="CO23" s="1863">
        <v>2353</v>
      </c>
      <c r="CP23" s="1863">
        <v>3903</v>
      </c>
      <c r="CQ23" s="1863">
        <f t="shared" si="29"/>
        <v>6256</v>
      </c>
      <c r="CR23" s="1831">
        <v>2351</v>
      </c>
      <c r="CS23" s="1832">
        <v>3925</v>
      </c>
      <c r="CT23" s="1832">
        <f t="shared" si="30"/>
        <v>6276</v>
      </c>
      <c r="CU23" s="1863">
        <v>2342</v>
      </c>
      <c r="CV23" s="1863">
        <v>3949</v>
      </c>
      <c r="CW23" s="1863">
        <f t="shared" si="31"/>
        <v>6291</v>
      </c>
      <c r="CX23" s="1865">
        <v>2335</v>
      </c>
      <c r="CY23" s="1866">
        <v>3908</v>
      </c>
      <c r="CZ23" s="1866">
        <f t="shared" si="32"/>
        <v>6243</v>
      </c>
      <c r="DA23" s="1866">
        <v>2361</v>
      </c>
      <c r="DB23" s="1866">
        <v>3983</v>
      </c>
      <c r="DC23" s="1866">
        <f t="shared" si="33"/>
        <v>6344</v>
      </c>
      <c r="DD23" s="1866">
        <v>2361</v>
      </c>
      <c r="DE23" s="1866">
        <v>4035</v>
      </c>
      <c r="DF23" s="1866">
        <f t="shared" si="34"/>
        <v>6396</v>
      </c>
      <c r="DG23" s="1866">
        <v>2389</v>
      </c>
      <c r="DH23" s="1866">
        <v>4175</v>
      </c>
      <c r="DI23" s="1866">
        <f t="shared" si="35"/>
        <v>6564</v>
      </c>
      <c r="DJ23" s="1863">
        <v>2418</v>
      </c>
      <c r="DK23" s="1863">
        <v>4174</v>
      </c>
      <c r="DL23" s="1863">
        <f t="shared" si="36"/>
        <v>6592</v>
      </c>
      <c r="DM23" s="1863">
        <v>2420</v>
      </c>
      <c r="DN23" s="1863">
        <v>4229</v>
      </c>
      <c r="DO23" s="1863">
        <f t="shared" si="37"/>
        <v>6649</v>
      </c>
      <c r="DP23" s="1863">
        <v>2467</v>
      </c>
      <c r="DQ23" s="1863">
        <v>4332</v>
      </c>
      <c r="DR23" s="1863">
        <f t="shared" si="38"/>
        <v>6799</v>
      </c>
      <c r="DS23" s="1865">
        <v>2475</v>
      </c>
      <c r="DT23" s="1866">
        <v>4397</v>
      </c>
      <c r="DU23" s="1866">
        <f t="shared" si="39"/>
        <v>6872</v>
      </c>
      <c r="DV23" s="1829">
        <v>2494</v>
      </c>
      <c r="DW23" s="1829">
        <v>4369</v>
      </c>
      <c r="DX23" s="1830">
        <f t="shared" si="40"/>
        <v>6863</v>
      </c>
      <c r="DY23" s="1863">
        <v>2480</v>
      </c>
      <c r="DZ23" s="1863">
        <v>4398</v>
      </c>
      <c r="EA23" s="1863">
        <f t="shared" si="41"/>
        <v>6878</v>
      </c>
      <c r="EB23" s="1831">
        <v>2450</v>
      </c>
      <c r="EC23" s="1832">
        <v>4391</v>
      </c>
      <c r="ED23" s="1832">
        <f t="shared" si="42"/>
        <v>6841</v>
      </c>
      <c r="EE23" s="1863">
        <v>2423</v>
      </c>
      <c r="EF23" s="1863">
        <v>4363</v>
      </c>
      <c r="EG23" s="1863">
        <f t="shared" si="43"/>
        <v>6786</v>
      </c>
      <c r="EH23" s="1865">
        <v>2413</v>
      </c>
      <c r="EI23" s="1866">
        <v>4348</v>
      </c>
      <c r="EJ23" s="1866">
        <f t="shared" si="44"/>
        <v>6761</v>
      </c>
      <c r="EK23" s="1866">
        <v>2434</v>
      </c>
      <c r="EL23" s="1866">
        <v>4365</v>
      </c>
      <c r="EM23" s="1866">
        <f t="shared" si="45"/>
        <v>6799</v>
      </c>
      <c r="EN23" s="1866">
        <v>2403</v>
      </c>
      <c r="EO23" s="1866">
        <v>4296</v>
      </c>
      <c r="EP23" s="1866">
        <f t="shared" si="46"/>
        <v>6699</v>
      </c>
      <c r="EQ23" s="1866">
        <v>2444</v>
      </c>
      <c r="ER23" s="1866">
        <v>4385</v>
      </c>
      <c r="ES23" s="1866">
        <f t="shared" si="47"/>
        <v>6829</v>
      </c>
      <c r="ET23" s="1863">
        <v>2419</v>
      </c>
      <c r="EU23" s="1863">
        <v>4326</v>
      </c>
      <c r="EV23" s="1863">
        <f t="shared" si="48"/>
        <v>6745</v>
      </c>
      <c r="EW23" s="1863">
        <v>2394</v>
      </c>
      <c r="EX23" s="1863">
        <v>4266</v>
      </c>
      <c r="EY23" s="1863">
        <f t="shared" si="49"/>
        <v>6660</v>
      </c>
      <c r="EZ23" s="1863">
        <v>2427</v>
      </c>
      <c r="FA23" s="1863">
        <v>4307</v>
      </c>
      <c r="FB23" s="1863">
        <f t="shared" si="50"/>
        <v>6734</v>
      </c>
      <c r="FC23" s="1865">
        <v>2453</v>
      </c>
      <c r="FD23" s="1866">
        <v>4339</v>
      </c>
      <c r="FE23" s="1866">
        <f t="shared" si="51"/>
        <v>6792</v>
      </c>
      <c r="FF23" s="1829">
        <v>2426</v>
      </c>
      <c r="FG23" s="1829">
        <v>4272</v>
      </c>
      <c r="FH23" s="1830">
        <f t="shared" si="52"/>
        <v>6698</v>
      </c>
      <c r="FI23" s="1863">
        <v>2420</v>
      </c>
      <c r="FJ23" s="1863">
        <v>4256</v>
      </c>
      <c r="FK23" s="1863">
        <f t="shared" si="53"/>
        <v>6676</v>
      </c>
      <c r="FL23" s="1831">
        <v>2434</v>
      </c>
      <c r="FM23" s="1832">
        <v>4251</v>
      </c>
      <c r="FN23" s="1832">
        <f t="shared" si="54"/>
        <v>6685</v>
      </c>
      <c r="FO23" s="1863">
        <v>2396</v>
      </c>
      <c r="FP23" s="1863">
        <v>4179</v>
      </c>
      <c r="FQ23" s="1863">
        <f t="shared" si="55"/>
        <v>6575</v>
      </c>
      <c r="FR23" s="1835">
        <v>2402</v>
      </c>
      <c r="FS23" s="1866">
        <v>4178</v>
      </c>
      <c r="FT23" s="1866">
        <f t="shared" si="56"/>
        <v>6580</v>
      </c>
      <c r="FU23" s="1866">
        <v>2393</v>
      </c>
      <c r="FV23" s="1866">
        <v>4172</v>
      </c>
      <c r="FW23" s="1866">
        <f t="shared" si="57"/>
        <v>6565</v>
      </c>
      <c r="FX23" s="1866">
        <v>2373</v>
      </c>
      <c r="FY23" s="1866">
        <v>4179</v>
      </c>
      <c r="FZ23" s="1866">
        <f t="shared" si="58"/>
        <v>6552</v>
      </c>
      <c r="GA23" s="1866">
        <v>2426</v>
      </c>
      <c r="GB23" s="1866">
        <v>4182</v>
      </c>
      <c r="GC23" s="1866">
        <f t="shared" si="59"/>
        <v>6608</v>
      </c>
      <c r="GD23" s="1863">
        <v>2394</v>
      </c>
      <c r="GE23" s="1863">
        <v>4157</v>
      </c>
      <c r="GF23" s="1863">
        <f t="shared" si="60"/>
        <v>6551</v>
      </c>
      <c r="GG23" s="1863">
        <v>2396</v>
      </c>
      <c r="GH23" s="1863">
        <v>4155</v>
      </c>
      <c r="GI23" s="1863">
        <f t="shared" si="61"/>
        <v>6551</v>
      </c>
      <c r="GJ23" s="1863">
        <v>2361</v>
      </c>
      <c r="GK23" s="1863">
        <v>4074</v>
      </c>
      <c r="GL23" s="1863">
        <f t="shared" si="62"/>
        <v>6435</v>
      </c>
      <c r="GM23" s="1865">
        <v>2371</v>
      </c>
      <c r="GN23" s="1866">
        <v>4053</v>
      </c>
      <c r="GO23" s="1866">
        <f t="shared" si="63"/>
        <v>6424</v>
      </c>
      <c r="GP23" s="1829">
        <v>2369</v>
      </c>
      <c r="GQ23" s="1829">
        <v>4038</v>
      </c>
      <c r="GR23" s="1830">
        <f t="shared" si="64"/>
        <v>6407</v>
      </c>
      <c r="GS23" s="1863">
        <v>2361</v>
      </c>
      <c r="GT23" s="1863">
        <v>4034</v>
      </c>
      <c r="GU23" s="1863">
        <f t="shared" si="65"/>
        <v>6395</v>
      </c>
      <c r="GV23" s="1831">
        <v>2365</v>
      </c>
      <c r="GW23" s="1832">
        <v>4018</v>
      </c>
      <c r="GX23" s="1832">
        <f t="shared" si="66"/>
        <v>6383</v>
      </c>
      <c r="GY23" s="1863">
        <v>2365</v>
      </c>
      <c r="GZ23" s="1863">
        <v>3983</v>
      </c>
      <c r="HA23" s="1863">
        <f t="shared" si="67"/>
        <v>6348</v>
      </c>
      <c r="HB23" s="1835">
        <v>2390</v>
      </c>
      <c r="HC23" s="1866">
        <v>4051</v>
      </c>
      <c r="HD23" s="1866">
        <f t="shared" si="68"/>
        <v>6441</v>
      </c>
      <c r="HE23" s="1866">
        <v>2427</v>
      </c>
      <c r="HF23" s="1866">
        <v>4008</v>
      </c>
      <c r="HG23" s="1866">
        <f t="shared" si="69"/>
        <v>6435</v>
      </c>
      <c r="HH23" s="1866">
        <v>2422</v>
      </c>
      <c r="HI23" s="1866">
        <v>4012</v>
      </c>
      <c r="HJ23" s="1866">
        <f t="shared" si="70"/>
        <v>6434</v>
      </c>
      <c r="HK23" s="1866">
        <v>2438</v>
      </c>
      <c r="HL23" s="1866">
        <v>4016</v>
      </c>
      <c r="HM23" s="1866">
        <f t="shared" si="71"/>
        <v>6454</v>
      </c>
      <c r="HN23" s="1863">
        <v>2440</v>
      </c>
      <c r="HO23" s="1863">
        <v>4001</v>
      </c>
      <c r="HP23" s="1863">
        <f t="shared" si="72"/>
        <v>6441</v>
      </c>
      <c r="HQ23" s="1863">
        <v>2419</v>
      </c>
      <c r="HR23" s="1863">
        <v>3986</v>
      </c>
      <c r="HS23" s="1863">
        <f t="shared" si="73"/>
        <v>6405</v>
      </c>
      <c r="HT23" s="1863">
        <v>2462</v>
      </c>
      <c r="HU23" s="1863">
        <v>3978</v>
      </c>
      <c r="HV23" s="1863">
        <f t="shared" si="74"/>
        <v>6440</v>
      </c>
      <c r="HW23" s="1867">
        <v>2462</v>
      </c>
      <c r="HX23" s="1868">
        <v>3982</v>
      </c>
      <c r="HY23" s="1866">
        <f t="shared" si="75"/>
        <v>6444</v>
      </c>
      <c r="HZ23" s="1829">
        <v>2476</v>
      </c>
      <c r="IA23" s="1829">
        <v>3998</v>
      </c>
      <c r="IB23" s="1830">
        <f t="shared" si="76"/>
        <v>6474</v>
      </c>
      <c r="IC23" s="1863">
        <v>2468</v>
      </c>
      <c r="ID23" s="1863">
        <v>3968</v>
      </c>
      <c r="IE23" s="1863">
        <f t="shared" si="77"/>
        <v>6436</v>
      </c>
      <c r="IF23" s="1831">
        <v>2463</v>
      </c>
      <c r="IG23" s="1832">
        <v>3957</v>
      </c>
      <c r="IH23" s="1832">
        <f t="shared" si="78"/>
        <v>6420</v>
      </c>
      <c r="II23" s="1812">
        <v>2486</v>
      </c>
      <c r="IJ23" s="1812">
        <v>3996</v>
      </c>
      <c r="IK23" s="1812">
        <f t="shared" si="79"/>
        <v>6482</v>
      </c>
      <c r="IL23" s="1812"/>
    </row>
    <row r="24" spans="1:246" ht="24.75" hidden="1">
      <c r="A24" s="1933" t="s">
        <v>1753</v>
      </c>
      <c r="B24" s="1863">
        <v>5569</v>
      </c>
      <c r="C24" s="1863">
        <v>615</v>
      </c>
      <c r="D24" s="1863">
        <f t="shared" si="0"/>
        <v>6184</v>
      </c>
      <c r="E24" s="1864">
        <v>6148</v>
      </c>
      <c r="F24" s="1864">
        <v>719</v>
      </c>
      <c r="G24" s="1864">
        <f t="shared" si="1"/>
        <v>6867</v>
      </c>
      <c r="H24" s="1864">
        <v>6188</v>
      </c>
      <c r="I24" s="1869">
        <v>732</v>
      </c>
      <c r="J24" s="1864">
        <f t="shared" si="2"/>
        <v>6920</v>
      </c>
      <c r="K24" s="1825">
        <v>6221</v>
      </c>
      <c r="L24" s="1825">
        <v>927</v>
      </c>
      <c r="M24" s="1825">
        <f t="shared" si="3"/>
        <v>7148</v>
      </c>
      <c r="N24" s="1827">
        <v>5940</v>
      </c>
      <c r="O24" s="1827">
        <v>1239</v>
      </c>
      <c r="P24" s="1827">
        <f t="shared" si="4"/>
        <v>7179</v>
      </c>
      <c r="Q24" s="1863">
        <v>5922</v>
      </c>
      <c r="R24" s="1863">
        <v>1396</v>
      </c>
      <c r="S24" s="1863">
        <f t="shared" si="5"/>
        <v>7318</v>
      </c>
      <c r="T24" s="1863">
        <v>6175</v>
      </c>
      <c r="U24" s="1863">
        <v>1522</v>
      </c>
      <c r="V24" s="1863">
        <f t="shared" si="6"/>
        <v>7697</v>
      </c>
      <c r="W24" s="1825">
        <v>6755</v>
      </c>
      <c r="X24" s="1825">
        <v>1561</v>
      </c>
      <c r="Y24" s="1825">
        <f t="shared" si="7"/>
        <v>8316</v>
      </c>
      <c r="Z24" s="1825">
        <v>6802</v>
      </c>
      <c r="AA24" s="1825">
        <v>1914</v>
      </c>
      <c r="AB24" s="1825">
        <f t="shared" si="8"/>
        <v>8716</v>
      </c>
      <c r="AC24" s="1828">
        <v>7051</v>
      </c>
      <c r="AD24" s="1828">
        <v>1994</v>
      </c>
      <c r="AE24" s="1828">
        <f t="shared" si="9"/>
        <v>9045</v>
      </c>
      <c r="AF24" s="1830">
        <v>6942</v>
      </c>
      <c r="AG24" s="1830">
        <v>2227</v>
      </c>
      <c r="AH24" s="1830">
        <f t="shared" si="10"/>
        <v>9169</v>
      </c>
      <c r="AI24" s="1830">
        <v>7052</v>
      </c>
      <c r="AJ24" s="1830">
        <v>2256</v>
      </c>
      <c r="AK24" s="1830">
        <f t="shared" si="11"/>
        <v>9308</v>
      </c>
      <c r="AL24" s="1863">
        <v>7047</v>
      </c>
      <c r="AM24" s="1863">
        <v>2346</v>
      </c>
      <c r="AN24" s="1863">
        <f t="shared" si="12"/>
        <v>9393</v>
      </c>
      <c r="AO24" s="1830">
        <v>7335</v>
      </c>
      <c r="AP24" s="1830">
        <v>2448</v>
      </c>
      <c r="AQ24" s="1830">
        <f t="shared" si="13"/>
        <v>9783</v>
      </c>
      <c r="AR24" s="1830">
        <v>7091</v>
      </c>
      <c r="AS24" s="1830">
        <v>2405</v>
      </c>
      <c r="AT24" s="1830">
        <f t="shared" si="14"/>
        <v>9496</v>
      </c>
      <c r="AU24" s="1830">
        <v>6963</v>
      </c>
      <c r="AV24" s="1830">
        <v>2380</v>
      </c>
      <c r="AW24" s="1830">
        <f t="shared" si="15"/>
        <v>9343</v>
      </c>
      <c r="AX24" s="1830">
        <v>7115</v>
      </c>
      <c r="AY24" s="1830">
        <v>2415</v>
      </c>
      <c r="AZ24" s="1830">
        <f t="shared" si="16"/>
        <v>9530</v>
      </c>
      <c r="BA24" s="1863">
        <v>7112</v>
      </c>
      <c r="BB24" s="1863">
        <v>2430</v>
      </c>
      <c r="BC24" s="1863">
        <f t="shared" si="17"/>
        <v>9542</v>
      </c>
      <c r="BD24" s="1831">
        <v>7042</v>
      </c>
      <c r="BE24" s="1832">
        <v>2388</v>
      </c>
      <c r="BF24" s="1832">
        <f t="shared" si="18"/>
        <v>9430</v>
      </c>
      <c r="BG24" s="1863">
        <v>6974</v>
      </c>
      <c r="BH24" s="1863">
        <v>2393</v>
      </c>
      <c r="BI24" s="1863">
        <f t="shared" si="19"/>
        <v>9367</v>
      </c>
      <c r="BJ24" s="1865">
        <v>6805</v>
      </c>
      <c r="BK24" s="1866">
        <v>2389</v>
      </c>
      <c r="BL24" s="1866">
        <f t="shared" si="20"/>
        <v>9194</v>
      </c>
      <c r="BM24" s="1866">
        <v>6955</v>
      </c>
      <c r="BN24" s="1866">
        <v>2414</v>
      </c>
      <c r="BO24" s="1866">
        <f t="shared" si="21"/>
        <v>9369</v>
      </c>
      <c r="BP24" s="1866">
        <v>6886</v>
      </c>
      <c r="BQ24" s="1866">
        <v>2408</v>
      </c>
      <c r="BR24" s="1866">
        <f t="shared" si="22"/>
        <v>9294</v>
      </c>
      <c r="BS24" s="1866">
        <v>7324</v>
      </c>
      <c r="BT24" s="1866">
        <v>2549</v>
      </c>
      <c r="BU24" s="1866">
        <f t="shared" si="23"/>
        <v>9873</v>
      </c>
      <c r="BV24" s="1863">
        <v>7186</v>
      </c>
      <c r="BW24" s="1863">
        <v>2460</v>
      </c>
      <c r="BX24" s="1863">
        <f t="shared" si="24"/>
        <v>9646</v>
      </c>
      <c r="BY24" s="1863">
        <v>7331</v>
      </c>
      <c r="BZ24" s="1863">
        <v>2546</v>
      </c>
      <c r="CA24" s="1863">
        <v>7080</v>
      </c>
      <c r="CB24" s="1863">
        <v>2449</v>
      </c>
      <c r="CC24" s="1863">
        <f t="shared" si="25"/>
        <v>9529</v>
      </c>
      <c r="CD24" s="1863">
        <v>6941</v>
      </c>
      <c r="CE24" s="1863">
        <v>2393</v>
      </c>
      <c r="CF24" s="1863">
        <f t="shared" si="26"/>
        <v>9334</v>
      </c>
      <c r="CG24" s="1865">
        <v>6774</v>
      </c>
      <c r="CH24" s="1866">
        <v>2361</v>
      </c>
      <c r="CI24" s="1866">
        <f t="shared" si="27"/>
        <v>9135</v>
      </c>
      <c r="CJ24" s="1863">
        <v>6757</v>
      </c>
      <c r="CK24" s="1863">
        <v>2360</v>
      </c>
      <c r="CL24" s="1830">
        <v>6807</v>
      </c>
      <c r="CM24" s="1830">
        <v>2357</v>
      </c>
      <c r="CN24" s="1830">
        <f t="shared" si="28"/>
        <v>9164</v>
      </c>
      <c r="CO24" s="1863">
        <v>7099</v>
      </c>
      <c r="CP24" s="1863">
        <v>2463</v>
      </c>
      <c r="CQ24" s="1863">
        <f t="shared" si="29"/>
        <v>9562</v>
      </c>
      <c r="CR24" s="1831">
        <v>6708</v>
      </c>
      <c r="CS24" s="1832">
        <v>2291</v>
      </c>
      <c r="CT24" s="1832">
        <f t="shared" si="30"/>
        <v>8999</v>
      </c>
      <c r="CU24" s="1863">
        <v>6519</v>
      </c>
      <c r="CV24" s="1863">
        <v>2235</v>
      </c>
      <c r="CW24" s="1863">
        <f t="shared" si="31"/>
        <v>8754</v>
      </c>
      <c r="CX24" s="1865">
        <v>6373</v>
      </c>
      <c r="CY24" s="1866">
        <v>2242</v>
      </c>
      <c r="CZ24" s="1866">
        <f t="shared" si="32"/>
        <v>8615</v>
      </c>
      <c r="DA24" s="1866">
        <v>5986</v>
      </c>
      <c r="DB24" s="1866">
        <v>2109</v>
      </c>
      <c r="DC24" s="1866">
        <f t="shared" si="33"/>
        <v>8095</v>
      </c>
      <c r="DD24" s="1866">
        <v>5994</v>
      </c>
      <c r="DE24" s="1866">
        <v>2087</v>
      </c>
      <c r="DF24" s="1866">
        <f t="shared" si="34"/>
        <v>8081</v>
      </c>
      <c r="DG24" s="1866">
        <v>5828</v>
      </c>
      <c r="DH24" s="1866">
        <v>2047</v>
      </c>
      <c r="DI24" s="1866">
        <f t="shared" si="35"/>
        <v>7875</v>
      </c>
      <c r="DJ24" s="1863">
        <v>5627</v>
      </c>
      <c r="DK24" s="1863">
        <v>1972</v>
      </c>
      <c r="DL24" s="1863">
        <f t="shared" si="36"/>
        <v>7599</v>
      </c>
      <c r="DM24" s="1863">
        <v>5500</v>
      </c>
      <c r="DN24" s="1863">
        <v>1927</v>
      </c>
      <c r="DO24" s="1863">
        <f t="shared" si="37"/>
        <v>7427</v>
      </c>
      <c r="DP24" s="1863">
        <v>5594</v>
      </c>
      <c r="DQ24" s="1863">
        <v>1981</v>
      </c>
      <c r="DR24" s="1863">
        <f t="shared" si="38"/>
        <v>7575</v>
      </c>
      <c r="DS24" s="1865">
        <v>5365</v>
      </c>
      <c r="DT24" s="1866">
        <v>1901</v>
      </c>
      <c r="DU24" s="1866">
        <f t="shared" si="39"/>
        <v>7266</v>
      </c>
      <c r="DV24" s="1830">
        <v>5220</v>
      </c>
      <c r="DW24" s="1830">
        <v>1879</v>
      </c>
      <c r="DX24" s="1830">
        <f t="shared" si="40"/>
        <v>7099</v>
      </c>
      <c r="DY24" s="1863">
        <v>5032</v>
      </c>
      <c r="DZ24" s="1863">
        <v>1773</v>
      </c>
      <c r="EA24" s="1863">
        <f t="shared" si="41"/>
        <v>6805</v>
      </c>
      <c r="EB24" s="1831">
        <v>5011</v>
      </c>
      <c r="EC24" s="1832">
        <v>1740</v>
      </c>
      <c r="ED24" s="1832">
        <f t="shared" si="42"/>
        <v>6751</v>
      </c>
      <c r="EE24" s="1863">
        <v>4716</v>
      </c>
      <c r="EF24" s="1863">
        <v>1666</v>
      </c>
      <c r="EG24" s="1863">
        <f t="shared" si="43"/>
        <v>6382</v>
      </c>
      <c r="EH24" s="1865">
        <v>4520</v>
      </c>
      <c r="EI24" s="1866">
        <v>1586</v>
      </c>
      <c r="EJ24" s="1866">
        <f t="shared" si="44"/>
        <v>6106</v>
      </c>
      <c r="EK24" s="1866">
        <v>4457</v>
      </c>
      <c r="EL24" s="1866">
        <v>1534</v>
      </c>
      <c r="EM24" s="1866">
        <f t="shared" si="45"/>
        <v>5991</v>
      </c>
      <c r="EN24" s="1866">
        <v>4339</v>
      </c>
      <c r="EO24" s="1866">
        <v>1502</v>
      </c>
      <c r="EP24" s="1866">
        <f t="shared" si="46"/>
        <v>5841</v>
      </c>
      <c r="EQ24" s="1866">
        <v>4311</v>
      </c>
      <c r="ER24" s="1866">
        <v>1473</v>
      </c>
      <c r="ES24" s="1866">
        <f t="shared" si="47"/>
        <v>5784</v>
      </c>
      <c r="ET24" s="1863">
        <v>4177</v>
      </c>
      <c r="EU24" s="1863">
        <v>1425</v>
      </c>
      <c r="EV24" s="1863">
        <f t="shared" si="48"/>
        <v>5602</v>
      </c>
      <c r="EW24" s="1863">
        <v>4209</v>
      </c>
      <c r="EX24" s="1863">
        <v>1455</v>
      </c>
      <c r="EY24" s="1863">
        <f t="shared" si="49"/>
        <v>5664</v>
      </c>
      <c r="EZ24" s="1863">
        <v>4105</v>
      </c>
      <c r="FA24" s="1863">
        <v>1426</v>
      </c>
      <c r="FB24" s="1863">
        <f t="shared" si="50"/>
        <v>5531</v>
      </c>
      <c r="FC24" s="1865">
        <v>3983</v>
      </c>
      <c r="FD24" s="1866">
        <v>1433</v>
      </c>
      <c r="FE24" s="1866">
        <f t="shared" si="51"/>
        <v>5416</v>
      </c>
      <c r="FF24" s="1830">
        <v>3946</v>
      </c>
      <c r="FG24" s="1830">
        <v>1388</v>
      </c>
      <c r="FH24" s="1830">
        <f t="shared" si="52"/>
        <v>5334</v>
      </c>
      <c r="FI24" s="1863">
        <v>3868</v>
      </c>
      <c r="FJ24" s="1863">
        <v>1354</v>
      </c>
      <c r="FK24" s="1863">
        <f t="shared" si="53"/>
        <v>5222</v>
      </c>
      <c r="FL24" s="1831">
        <v>3824</v>
      </c>
      <c r="FM24" s="1832">
        <v>1345</v>
      </c>
      <c r="FN24" s="1832">
        <f t="shared" si="54"/>
        <v>5169</v>
      </c>
      <c r="FO24" s="1863">
        <v>3739</v>
      </c>
      <c r="FP24" s="1863">
        <v>1314</v>
      </c>
      <c r="FQ24" s="1863">
        <f t="shared" si="55"/>
        <v>5053</v>
      </c>
      <c r="FR24" s="1835">
        <v>3711</v>
      </c>
      <c r="FS24" s="1866">
        <v>1331</v>
      </c>
      <c r="FT24" s="1866">
        <f t="shared" si="56"/>
        <v>5042</v>
      </c>
      <c r="FU24" s="1866">
        <v>3625</v>
      </c>
      <c r="FV24" s="1866">
        <v>1351</v>
      </c>
      <c r="FW24" s="1866">
        <f t="shared" si="57"/>
        <v>4976</v>
      </c>
      <c r="FX24" s="1866">
        <v>3542</v>
      </c>
      <c r="FY24" s="1866">
        <v>1375</v>
      </c>
      <c r="FZ24" s="1866">
        <f t="shared" si="58"/>
        <v>4917</v>
      </c>
      <c r="GA24" s="1866">
        <v>3595</v>
      </c>
      <c r="GB24" s="1866">
        <v>1426</v>
      </c>
      <c r="GC24" s="1866">
        <f t="shared" si="59"/>
        <v>5021</v>
      </c>
      <c r="GD24" s="1863">
        <v>3471</v>
      </c>
      <c r="GE24" s="1863">
        <v>1464</v>
      </c>
      <c r="GF24" s="1863">
        <f t="shared" si="60"/>
        <v>4935</v>
      </c>
      <c r="GG24" s="1863">
        <v>3350</v>
      </c>
      <c r="GH24" s="1863">
        <v>1445</v>
      </c>
      <c r="GI24" s="1863">
        <f t="shared" si="61"/>
        <v>4795</v>
      </c>
      <c r="GJ24" s="1863">
        <v>3314</v>
      </c>
      <c r="GK24" s="1863">
        <v>1448</v>
      </c>
      <c r="GL24" s="1863">
        <f t="shared" si="62"/>
        <v>4762</v>
      </c>
      <c r="GM24" s="1865">
        <v>3213</v>
      </c>
      <c r="GN24" s="1866">
        <v>1443</v>
      </c>
      <c r="GO24" s="1866">
        <f t="shared" si="63"/>
        <v>4656</v>
      </c>
      <c r="GP24" s="1830">
        <v>3215</v>
      </c>
      <c r="GQ24" s="1830">
        <v>1425</v>
      </c>
      <c r="GR24" s="1830">
        <f t="shared" si="64"/>
        <v>4640</v>
      </c>
      <c r="GS24" s="1863">
        <v>3151</v>
      </c>
      <c r="GT24" s="1863">
        <v>1394</v>
      </c>
      <c r="GU24" s="1863">
        <f t="shared" si="65"/>
        <v>4545</v>
      </c>
      <c r="GV24" s="1831">
        <v>3134</v>
      </c>
      <c r="GW24" s="1832">
        <v>1348</v>
      </c>
      <c r="GX24" s="1832">
        <f t="shared" si="66"/>
        <v>4482</v>
      </c>
      <c r="GY24" s="1863">
        <v>3070</v>
      </c>
      <c r="GZ24" s="1863">
        <v>1345</v>
      </c>
      <c r="HA24" s="1863">
        <f t="shared" si="67"/>
        <v>4415</v>
      </c>
      <c r="HB24" s="1835">
        <v>3085</v>
      </c>
      <c r="HC24" s="1866">
        <v>1364</v>
      </c>
      <c r="HD24" s="1866">
        <f t="shared" si="68"/>
        <v>4449</v>
      </c>
      <c r="HE24" s="1866">
        <v>2999</v>
      </c>
      <c r="HF24" s="1866">
        <v>1350</v>
      </c>
      <c r="HG24" s="1866">
        <f t="shared" si="69"/>
        <v>4349</v>
      </c>
      <c r="HH24" s="1866">
        <v>2941</v>
      </c>
      <c r="HI24" s="1866">
        <v>1324</v>
      </c>
      <c r="HJ24" s="1866">
        <f t="shared" si="70"/>
        <v>4265</v>
      </c>
      <c r="HK24" s="1866">
        <v>2917</v>
      </c>
      <c r="HL24" s="1866">
        <v>1384</v>
      </c>
      <c r="HM24" s="1866">
        <f t="shared" si="71"/>
        <v>4301</v>
      </c>
      <c r="HN24" s="1863">
        <v>2846</v>
      </c>
      <c r="HO24" s="1863">
        <v>1334</v>
      </c>
      <c r="HP24" s="1863">
        <f t="shared" si="72"/>
        <v>4180</v>
      </c>
      <c r="HQ24" s="1863">
        <v>2772</v>
      </c>
      <c r="HR24" s="1863">
        <v>1288</v>
      </c>
      <c r="HS24" s="1863">
        <f t="shared" si="73"/>
        <v>4060</v>
      </c>
      <c r="HT24" s="1863">
        <v>2800</v>
      </c>
      <c r="HU24" s="1863">
        <v>1283</v>
      </c>
      <c r="HV24" s="1863">
        <f t="shared" si="74"/>
        <v>4083</v>
      </c>
      <c r="HW24" s="1867">
        <v>2813</v>
      </c>
      <c r="HX24" s="1868">
        <v>1297</v>
      </c>
      <c r="HY24" s="1866">
        <f t="shared" si="75"/>
        <v>4110</v>
      </c>
      <c r="HZ24" s="1830">
        <v>2731</v>
      </c>
      <c r="IA24" s="1830">
        <v>1278</v>
      </c>
      <c r="IB24" s="1830">
        <f t="shared" si="76"/>
        <v>4009</v>
      </c>
      <c r="IC24" s="1863">
        <v>2655</v>
      </c>
      <c r="ID24" s="1863">
        <v>1244</v>
      </c>
      <c r="IE24" s="1863">
        <f t="shared" si="77"/>
        <v>3899</v>
      </c>
      <c r="IF24" s="1831">
        <v>2649</v>
      </c>
      <c r="IG24" s="1832">
        <v>1238</v>
      </c>
      <c r="IH24" s="1832">
        <f t="shared" si="78"/>
        <v>3887</v>
      </c>
      <c r="II24" s="1812">
        <v>2747</v>
      </c>
      <c r="IJ24" s="1812">
        <v>1337</v>
      </c>
      <c r="IK24" s="1812">
        <f t="shared" si="79"/>
        <v>4084</v>
      </c>
      <c r="IL24" s="1812"/>
    </row>
    <row r="25" spans="1:246" ht="24.75" hidden="1">
      <c r="A25" s="1933" t="s">
        <v>1752</v>
      </c>
      <c r="B25" s="1863">
        <v>2629</v>
      </c>
      <c r="C25" s="1863">
        <v>2565</v>
      </c>
      <c r="D25" s="1863">
        <f t="shared" si="0"/>
        <v>5194</v>
      </c>
      <c r="E25" s="1864">
        <v>3121</v>
      </c>
      <c r="F25" s="1864">
        <v>3594</v>
      </c>
      <c r="G25" s="1864">
        <f t="shared" si="1"/>
        <v>6715</v>
      </c>
      <c r="H25" s="1864">
        <v>3111</v>
      </c>
      <c r="I25" s="1864">
        <v>3618</v>
      </c>
      <c r="J25" s="1864">
        <f t="shared" si="2"/>
        <v>6729</v>
      </c>
      <c r="K25" s="1825">
        <v>3387</v>
      </c>
      <c r="L25" s="1825">
        <v>3715</v>
      </c>
      <c r="M25" s="1825">
        <f t="shared" si="3"/>
        <v>7102</v>
      </c>
      <c r="N25" s="1826">
        <v>3127</v>
      </c>
      <c r="O25" s="1826">
        <v>3557</v>
      </c>
      <c r="P25" s="1827">
        <f t="shared" si="4"/>
        <v>6684</v>
      </c>
      <c r="Q25" s="1863">
        <v>3028</v>
      </c>
      <c r="R25" s="1863">
        <v>3490</v>
      </c>
      <c r="S25" s="1863">
        <f t="shared" si="5"/>
        <v>6518</v>
      </c>
      <c r="T25" s="1863">
        <v>3236</v>
      </c>
      <c r="U25" s="1863">
        <v>3676</v>
      </c>
      <c r="V25" s="1863">
        <f t="shared" si="6"/>
        <v>6912</v>
      </c>
      <c r="W25" s="1825">
        <v>3160</v>
      </c>
      <c r="X25" s="1825">
        <v>3599</v>
      </c>
      <c r="Y25" s="1825">
        <f t="shared" si="7"/>
        <v>6759</v>
      </c>
      <c r="Z25" s="1825">
        <v>3734</v>
      </c>
      <c r="AA25" s="1825">
        <v>3970</v>
      </c>
      <c r="AB25" s="1825">
        <f t="shared" si="8"/>
        <v>7704</v>
      </c>
      <c r="AC25" s="1828">
        <v>3387</v>
      </c>
      <c r="AD25" s="1828">
        <v>4073</v>
      </c>
      <c r="AE25" s="1828">
        <f t="shared" si="9"/>
        <v>7460</v>
      </c>
      <c r="AF25" s="1829">
        <v>3287</v>
      </c>
      <c r="AG25" s="1829">
        <v>3872</v>
      </c>
      <c r="AH25" s="1830">
        <f t="shared" si="10"/>
        <v>7159</v>
      </c>
      <c r="AI25" s="1829">
        <v>3402</v>
      </c>
      <c r="AJ25" s="1829">
        <v>4006</v>
      </c>
      <c r="AK25" s="1830">
        <f t="shared" si="11"/>
        <v>7408</v>
      </c>
      <c r="AL25" s="1863">
        <v>3368</v>
      </c>
      <c r="AM25" s="1863">
        <v>3955</v>
      </c>
      <c r="AN25" s="1863">
        <f t="shared" si="12"/>
        <v>7323</v>
      </c>
      <c r="AO25" s="1829">
        <v>3529</v>
      </c>
      <c r="AP25" s="1829">
        <v>4068</v>
      </c>
      <c r="AQ25" s="1830">
        <f t="shared" si="13"/>
        <v>7597</v>
      </c>
      <c r="AR25" s="1829">
        <v>3414</v>
      </c>
      <c r="AS25" s="1829">
        <v>3966</v>
      </c>
      <c r="AT25" s="1830">
        <f t="shared" si="14"/>
        <v>7380</v>
      </c>
      <c r="AU25" s="1829">
        <v>3357</v>
      </c>
      <c r="AV25" s="1829">
        <v>3892</v>
      </c>
      <c r="AW25" s="1830">
        <f t="shared" si="15"/>
        <v>7249</v>
      </c>
      <c r="AX25" s="1829">
        <v>3446</v>
      </c>
      <c r="AY25" s="1829">
        <v>4014</v>
      </c>
      <c r="AZ25" s="1830">
        <f t="shared" si="16"/>
        <v>7460</v>
      </c>
      <c r="BA25" s="1863">
        <v>3487</v>
      </c>
      <c r="BB25" s="1863">
        <v>4038</v>
      </c>
      <c r="BC25" s="1863">
        <f t="shared" si="17"/>
        <v>7525</v>
      </c>
      <c r="BD25" s="1838">
        <v>3456</v>
      </c>
      <c r="BE25" s="1839">
        <v>3911</v>
      </c>
      <c r="BF25" s="1832">
        <f t="shared" si="18"/>
        <v>7367</v>
      </c>
      <c r="BG25" s="1863">
        <v>3470</v>
      </c>
      <c r="BH25" s="1863">
        <v>3924</v>
      </c>
      <c r="BI25" s="1863">
        <f t="shared" si="19"/>
        <v>7394</v>
      </c>
      <c r="BJ25" s="1865">
        <v>3422</v>
      </c>
      <c r="BK25" s="1866">
        <v>3874</v>
      </c>
      <c r="BL25" s="1866">
        <f t="shared" si="20"/>
        <v>7296</v>
      </c>
      <c r="BM25" s="1866">
        <v>3432</v>
      </c>
      <c r="BN25" s="1866">
        <v>3958</v>
      </c>
      <c r="BO25" s="1866">
        <f t="shared" si="21"/>
        <v>7390</v>
      </c>
      <c r="BP25" s="1866">
        <v>3387</v>
      </c>
      <c r="BQ25" s="1866">
        <v>3891</v>
      </c>
      <c r="BR25" s="1866">
        <f t="shared" si="22"/>
        <v>7278</v>
      </c>
      <c r="BS25" s="1866">
        <v>3605</v>
      </c>
      <c r="BT25" s="1866">
        <v>4080</v>
      </c>
      <c r="BU25" s="1866">
        <f t="shared" si="23"/>
        <v>7685</v>
      </c>
      <c r="BV25" s="1863">
        <v>3538</v>
      </c>
      <c r="BW25" s="1863">
        <v>4012</v>
      </c>
      <c r="BX25" s="1863">
        <f t="shared" si="24"/>
        <v>7550</v>
      </c>
      <c r="BY25" s="1863">
        <v>3583</v>
      </c>
      <c r="BZ25" s="1863">
        <v>4068</v>
      </c>
      <c r="CA25" s="1863">
        <v>3496</v>
      </c>
      <c r="CB25" s="1863">
        <v>3956</v>
      </c>
      <c r="CC25" s="1863">
        <f t="shared" si="25"/>
        <v>7452</v>
      </c>
      <c r="CD25" s="1863">
        <v>3478</v>
      </c>
      <c r="CE25" s="1863">
        <v>3933</v>
      </c>
      <c r="CF25" s="1863">
        <f t="shared" si="26"/>
        <v>7411</v>
      </c>
      <c r="CG25" s="1865">
        <v>3485</v>
      </c>
      <c r="CH25" s="1866">
        <v>3904</v>
      </c>
      <c r="CI25" s="1866">
        <f t="shared" si="27"/>
        <v>7389</v>
      </c>
      <c r="CJ25" s="1863">
        <v>3465</v>
      </c>
      <c r="CK25" s="1863">
        <v>3892</v>
      </c>
      <c r="CL25" s="1829">
        <v>3430</v>
      </c>
      <c r="CM25" s="1829">
        <v>4538</v>
      </c>
      <c r="CN25" s="1830">
        <f t="shared" si="28"/>
        <v>7968</v>
      </c>
      <c r="CO25" s="1863">
        <v>3666</v>
      </c>
      <c r="CP25" s="1863">
        <v>4832</v>
      </c>
      <c r="CQ25" s="1863">
        <f t="shared" si="29"/>
        <v>8498</v>
      </c>
      <c r="CR25" s="1838">
        <v>3405</v>
      </c>
      <c r="CS25" s="1839">
        <v>4557</v>
      </c>
      <c r="CT25" s="1832">
        <f t="shared" si="30"/>
        <v>7962</v>
      </c>
      <c r="CU25" s="1863">
        <v>3383</v>
      </c>
      <c r="CV25" s="1863">
        <v>4511</v>
      </c>
      <c r="CW25" s="1863">
        <f t="shared" si="31"/>
        <v>7894</v>
      </c>
      <c r="CX25" s="1865">
        <v>3253</v>
      </c>
      <c r="CY25" s="1866">
        <v>4408</v>
      </c>
      <c r="CZ25" s="1866">
        <f t="shared" si="32"/>
        <v>7661</v>
      </c>
      <c r="DA25" s="1866">
        <v>3092</v>
      </c>
      <c r="DB25" s="1866">
        <v>4170</v>
      </c>
      <c r="DC25" s="1866">
        <f t="shared" si="33"/>
        <v>7262</v>
      </c>
      <c r="DD25" s="1866">
        <v>3091</v>
      </c>
      <c r="DE25" s="1866">
        <v>4263</v>
      </c>
      <c r="DF25" s="1866">
        <f t="shared" si="34"/>
        <v>7354</v>
      </c>
      <c r="DG25" s="1866">
        <v>2964</v>
      </c>
      <c r="DH25" s="1866">
        <v>4041</v>
      </c>
      <c r="DI25" s="1866">
        <f t="shared" si="35"/>
        <v>7005</v>
      </c>
      <c r="DJ25" s="1863">
        <v>2900</v>
      </c>
      <c r="DK25" s="1863">
        <v>4001</v>
      </c>
      <c r="DL25" s="1863">
        <f t="shared" si="36"/>
        <v>6901</v>
      </c>
      <c r="DM25" s="1863">
        <v>2839</v>
      </c>
      <c r="DN25" s="1863">
        <v>3872</v>
      </c>
      <c r="DO25" s="1863">
        <f t="shared" si="37"/>
        <v>6711</v>
      </c>
      <c r="DP25" s="1863">
        <v>2798</v>
      </c>
      <c r="DQ25" s="1863">
        <v>3837</v>
      </c>
      <c r="DR25" s="1863">
        <f t="shared" si="38"/>
        <v>6635</v>
      </c>
      <c r="DS25" s="1865">
        <v>2730</v>
      </c>
      <c r="DT25" s="1866">
        <v>3809</v>
      </c>
      <c r="DU25" s="1866">
        <f t="shared" si="39"/>
        <v>6539</v>
      </c>
      <c r="DV25" s="1829">
        <v>2659</v>
      </c>
      <c r="DW25" s="1829">
        <v>3702</v>
      </c>
      <c r="DX25" s="1830">
        <f t="shared" si="40"/>
        <v>6361</v>
      </c>
      <c r="DY25" s="1863">
        <v>2611</v>
      </c>
      <c r="DZ25" s="1863">
        <v>3619</v>
      </c>
      <c r="EA25" s="1863">
        <f t="shared" si="41"/>
        <v>6230</v>
      </c>
      <c r="EB25" s="1838">
        <v>2636</v>
      </c>
      <c r="EC25" s="1839">
        <v>3640</v>
      </c>
      <c r="ED25" s="1832">
        <f t="shared" si="42"/>
        <v>6276</v>
      </c>
      <c r="EE25" s="1863">
        <v>2462</v>
      </c>
      <c r="EF25" s="1863">
        <v>3411</v>
      </c>
      <c r="EG25" s="1863">
        <f t="shared" si="43"/>
        <v>5873</v>
      </c>
      <c r="EH25" s="1865">
        <v>2381</v>
      </c>
      <c r="EI25" s="1866">
        <v>3280</v>
      </c>
      <c r="EJ25" s="1866">
        <f t="shared" si="44"/>
        <v>5661</v>
      </c>
      <c r="EK25" s="1866">
        <v>2432</v>
      </c>
      <c r="EL25" s="1866">
        <v>3331</v>
      </c>
      <c r="EM25" s="1866">
        <f t="shared" si="45"/>
        <v>5763</v>
      </c>
      <c r="EN25" s="1866">
        <v>2381</v>
      </c>
      <c r="EO25" s="1866">
        <v>3272</v>
      </c>
      <c r="EP25" s="1866">
        <f t="shared" si="46"/>
        <v>5653</v>
      </c>
      <c r="EQ25" s="1866">
        <v>2388</v>
      </c>
      <c r="ER25" s="1866">
        <v>3298</v>
      </c>
      <c r="ES25" s="1866">
        <f t="shared" si="47"/>
        <v>5686</v>
      </c>
      <c r="ET25" s="1863">
        <v>2296</v>
      </c>
      <c r="EU25" s="1863">
        <v>3153</v>
      </c>
      <c r="EV25" s="1863">
        <f t="shared" si="48"/>
        <v>5449</v>
      </c>
      <c r="EW25" s="1863">
        <v>2366</v>
      </c>
      <c r="EX25" s="1863">
        <v>3163</v>
      </c>
      <c r="EY25" s="1863">
        <f t="shared" si="49"/>
        <v>5529</v>
      </c>
      <c r="EZ25" s="1863">
        <v>2280</v>
      </c>
      <c r="FA25" s="1863">
        <v>3045</v>
      </c>
      <c r="FB25" s="1863">
        <f t="shared" si="50"/>
        <v>5325</v>
      </c>
      <c r="FC25" s="1865">
        <v>2258</v>
      </c>
      <c r="FD25" s="1866">
        <v>3080</v>
      </c>
      <c r="FE25" s="1866">
        <f t="shared" si="51"/>
        <v>5338</v>
      </c>
      <c r="FF25" s="1829">
        <v>2204</v>
      </c>
      <c r="FG25" s="1829">
        <v>2945</v>
      </c>
      <c r="FH25" s="1830">
        <f t="shared" si="52"/>
        <v>5149</v>
      </c>
      <c r="FI25" s="1863">
        <v>2175</v>
      </c>
      <c r="FJ25" s="1863">
        <v>2924</v>
      </c>
      <c r="FK25" s="1863">
        <f t="shared" si="53"/>
        <v>5099</v>
      </c>
      <c r="FL25" s="1838">
        <v>2176</v>
      </c>
      <c r="FM25" s="1839">
        <v>2848</v>
      </c>
      <c r="FN25" s="1832">
        <f t="shared" si="54"/>
        <v>5024</v>
      </c>
      <c r="FO25" s="1863">
        <v>2136</v>
      </c>
      <c r="FP25" s="1863">
        <v>2851</v>
      </c>
      <c r="FQ25" s="1863">
        <f t="shared" si="55"/>
        <v>4987</v>
      </c>
      <c r="FR25" s="1835">
        <v>2120</v>
      </c>
      <c r="FS25" s="1866">
        <v>2738</v>
      </c>
      <c r="FT25" s="1866">
        <f t="shared" si="56"/>
        <v>4858</v>
      </c>
      <c r="FU25" s="1866">
        <v>2096</v>
      </c>
      <c r="FV25" s="1866">
        <v>2734</v>
      </c>
      <c r="FW25" s="1866">
        <f t="shared" si="57"/>
        <v>4830</v>
      </c>
      <c r="FX25" s="1866">
        <v>2035</v>
      </c>
      <c r="FY25" s="1866">
        <v>2608</v>
      </c>
      <c r="FZ25" s="1866">
        <f t="shared" si="58"/>
        <v>4643</v>
      </c>
      <c r="GA25" s="1866">
        <v>2105</v>
      </c>
      <c r="GB25" s="1866">
        <v>2720</v>
      </c>
      <c r="GC25" s="1866">
        <f t="shared" si="59"/>
        <v>4825</v>
      </c>
      <c r="GD25" s="1863">
        <v>2033</v>
      </c>
      <c r="GE25" s="1863">
        <v>2623</v>
      </c>
      <c r="GF25" s="1863">
        <f t="shared" si="60"/>
        <v>4656</v>
      </c>
      <c r="GG25" s="1863">
        <v>1988</v>
      </c>
      <c r="GH25" s="1863">
        <v>2599</v>
      </c>
      <c r="GI25" s="1863">
        <f t="shared" si="61"/>
        <v>4587</v>
      </c>
      <c r="GJ25" s="1863">
        <v>1990</v>
      </c>
      <c r="GK25" s="1863">
        <v>2657</v>
      </c>
      <c r="GL25" s="1863">
        <f t="shared" si="62"/>
        <v>4647</v>
      </c>
      <c r="GM25" s="1865">
        <v>1933</v>
      </c>
      <c r="GN25" s="1866">
        <v>2617</v>
      </c>
      <c r="GO25" s="1866">
        <f t="shared" si="63"/>
        <v>4550</v>
      </c>
      <c r="GP25" s="1829">
        <v>1938</v>
      </c>
      <c r="GQ25" s="1829">
        <v>2613</v>
      </c>
      <c r="GR25" s="1830">
        <f t="shared" si="64"/>
        <v>4551</v>
      </c>
      <c r="GS25" s="1863">
        <v>1915</v>
      </c>
      <c r="GT25" s="1863">
        <v>2532</v>
      </c>
      <c r="GU25" s="1863">
        <f t="shared" si="65"/>
        <v>4447</v>
      </c>
      <c r="GV25" s="1838">
        <v>1926</v>
      </c>
      <c r="GW25" s="1839">
        <v>2512</v>
      </c>
      <c r="GX25" s="1832">
        <f t="shared" si="66"/>
        <v>4438</v>
      </c>
      <c r="GY25" s="1863">
        <v>1888</v>
      </c>
      <c r="GZ25" s="1863">
        <v>2477</v>
      </c>
      <c r="HA25" s="1863">
        <f t="shared" si="67"/>
        <v>4365</v>
      </c>
      <c r="HB25" s="1835">
        <v>1893</v>
      </c>
      <c r="HC25" s="1866">
        <v>2445</v>
      </c>
      <c r="HD25" s="1866">
        <f t="shared" si="68"/>
        <v>4338</v>
      </c>
      <c r="HE25" s="1866">
        <v>1821</v>
      </c>
      <c r="HF25" s="1866">
        <v>2411</v>
      </c>
      <c r="HG25" s="1866">
        <f t="shared" si="69"/>
        <v>4232</v>
      </c>
      <c r="HH25" s="1866">
        <v>1835</v>
      </c>
      <c r="HI25" s="1866">
        <v>2369</v>
      </c>
      <c r="HJ25" s="1866">
        <f t="shared" si="70"/>
        <v>4204</v>
      </c>
      <c r="HK25" s="1866">
        <v>1827</v>
      </c>
      <c r="HL25" s="1866">
        <v>2305</v>
      </c>
      <c r="HM25" s="1866">
        <f t="shared" si="71"/>
        <v>4132</v>
      </c>
      <c r="HN25" s="1863">
        <v>1809</v>
      </c>
      <c r="HO25" s="1863">
        <v>2219</v>
      </c>
      <c r="HP25" s="1863">
        <f t="shared" si="72"/>
        <v>4028</v>
      </c>
      <c r="HQ25" s="1863">
        <v>1792</v>
      </c>
      <c r="HR25" s="1863">
        <v>2159</v>
      </c>
      <c r="HS25" s="1863">
        <f t="shared" si="73"/>
        <v>3951</v>
      </c>
      <c r="HT25" s="1863">
        <v>1822</v>
      </c>
      <c r="HU25" s="1863">
        <v>2193</v>
      </c>
      <c r="HV25" s="1863">
        <f t="shared" si="74"/>
        <v>4015</v>
      </c>
      <c r="HW25" s="1867">
        <v>1811</v>
      </c>
      <c r="HX25" s="1868">
        <v>2127</v>
      </c>
      <c r="HY25" s="1866">
        <f t="shared" si="75"/>
        <v>3938</v>
      </c>
      <c r="HZ25" s="1829">
        <v>1761</v>
      </c>
      <c r="IA25" s="1829">
        <v>2026</v>
      </c>
      <c r="IB25" s="1830">
        <f t="shared" si="76"/>
        <v>3787</v>
      </c>
      <c r="IC25" s="1863">
        <v>1771</v>
      </c>
      <c r="ID25" s="1863">
        <v>2019</v>
      </c>
      <c r="IE25" s="1863">
        <f t="shared" si="77"/>
        <v>3790</v>
      </c>
      <c r="IF25" s="1838">
        <v>1779</v>
      </c>
      <c r="IG25" s="1839">
        <v>1989</v>
      </c>
      <c r="IH25" s="1832">
        <f t="shared" si="78"/>
        <v>3768</v>
      </c>
      <c r="II25" s="1812">
        <v>1758</v>
      </c>
      <c r="IJ25" s="1812">
        <v>1983</v>
      </c>
      <c r="IK25" s="1812">
        <f t="shared" si="79"/>
        <v>3741</v>
      </c>
      <c r="IL25" s="1812"/>
    </row>
    <row r="26" spans="1:246" ht="24.75" hidden="1">
      <c r="A26" s="1933" t="s">
        <v>1604</v>
      </c>
      <c r="B26" s="1863">
        <v>2960</v>
      </c>
      <c r="C26" s="1863">
        <v>2071</v>
      </c>
      <c r="D26" s="1863">
        <f t="shared" si="0"/>
        <v>5031</v>
      </c>
      <c r="E26" s="1864">
        <v>2960</v>
      </c>
      <c r="F26" s="1864">
        <v>2045</v>
      </c>
      <c r="G26" s="1864">
        <f t="shared" si="1"/>
        <v>5005</v>
      </c>
      <c r="H26" s="1864">
        <v>2984</v>
      </c>
      <c r="I26" s="1864">
        <v>2040</v>
      </c>
      <c r="J26" s="1864">
        <f t="shared" si="2"/>
        <v>5024</v>
      </c>
      <c r="K26" s="1825">
        <v>2946</v>
      </c>
      <c r="L26" s="1825">
        <v>2006</v>
      </c>
      <c r="M26" s="1825">
        <f t="shared" si="3"/>
        <v>4952</v>
      </c>
      <c r="N26" s="1827">
        <v>2943</v>
      </c>
      <c r="O26" s="1827">
        <v>2053</v>
      </c>
      <c r="P26" s="1827">
        <f t="shared" si="4"/>
        <v>4996</v>
      </c>
      <c r="Q26" s="1863">
        <v>2907</v>
      </c>
      <c r="R26" s="1863">
        <v>2019</v>
      </c>
      <c r="S26" s="1863">
        <f t="shared" si="5"/>
        <v>4926</v>
      </c>
      <c r="T26" s="1863">
        <v>2936</v>
      </c>
      <c r="U26" s="1863">
        <v>2020</v>
      </c>
      <c r="V26" s="1863">
        <f t="shared" si="6"/>
        <v>4956</v>
      </c>
      <c r="W26" s="1825">
        <v>2929</v>
      </c>
      <c r="X26" s="1825">
        <v>2059</v>
      </c>
      <c r="Y26" s="1825">
        <f t="shared" si="7"/>
        <v>4988</v>
      </c>
      <c r="Z26" s="1825">
        <v>3022</v>
      </c>
      <c r="AA26" s="1825">
        <v>2047</v>
      </c>
      <c r="AB26" s="1825">
        <f t="shared" si="8"/>
        <v>5069</v>
      </c>
      <c r="AC26" s="1828">
        <v>3044</v>
      </c>
      <c r="AD26" s="1828">
        <v>2042</v>
      </c>
      <c r="AE26" s="1828">
        <f t="shared" si="9"/>
        <v>5086</v>
      </c>
      <c r="AF26" s="1830">
        <v>3013</v>
      </c>
      <c r="AG26" s="1830">
        <v>2035</v>
      </c>
      <c r="AH26" s="1830">
        <f t="shared" si="10"/>
        <v>5048</v>
      </c>
      <c r="AI26" s="1830">
        <v>3013</v>
      </c>
      <c r="AJ26" s="1830">
        <v>2418</v>
      </c>
      <c r="AK26" s="1830">
        <f t="shared" si="11"/>
        <v>5431</v>
      </c>
      <c r="AL26" s="1863">
        <v>3013</v>
      </c>
      <c r="AM26" s="1863">
        <v>2487</v>
      </c>
      <c r="AN26" s="1863">
        <f t="shared" si="12"/>
        <v>5500</v>
      </c>
      <c r="AO26" s="1830">
        <v>2949</v>
      </c>
      <c r="AP26" s="1830">
        <v>2516</v>
      </c>
      <c r="AQ26" s="1830">
        <f t="shared" si="13"/>
        <v>5465</v>
      </c>
      <c r="AR26" s="1830">
        <v>2750</v>
      </c>
      <c r="AS26" s="1830">
        <v>2369</v>
      </c>
      <c r="AT26" s="1830">
        <f t="shared" si="14"/>
        <v>5119</v>
      </c>
      <c r="AU26" s="1830">
        <v>2656</v>
      </c>
      <c r="AV26" s="1830">
        <v>2308</v>
      </c>
      <c r="AW26" s="1830">
        <f t="shared" si="15"/>
        <v>4964</v>
      </c>
      <c r="AX26" s="1830">
        <v>2566</v>
      </c>
      <c r="AY26" s="1830">
        <v>2242</v>
      </c>
      <c r="AZ26" s="1830">
        <f t="shared" si="16"/>
        <v>4808</v>
      </c>
      <c r="BA26" s="1863">
        <v>2528</v>
      </c>
      <c r="BB26" s="1863">
        <v>2233</v>
      </c>
      <c r="BC26" s="1863">
        <f t="shared" si="17"/>
        <v>4761</v>
      </c>
      <c r="BD26" s="1831">
        <v>2509</v>
      </c>
      <c r="BE26" s="1832">
        <v>2306</v>
      </c>
      <c r="BF26" s="1832">
        <f t="shared" si="18"/>
        <v>4815</v>
      </c>
      <c r="BG26" s="1863">
        <v>2459</v>
      </c>
      <c r="BH26" s="1863">
        <v>2239</v>
      </c>
      <c r="BI26" s="1863">
        <f t="shared" si="19"/>
        <v>4698</v>
      </c>
      <c r="BJ26" s="1865">
        <v>2383</v>
      </c>
      <c r="BK26" s="1866">
        <v>2206</v>
      </c>
      <c r="BL26" s="1866">
        <f t="shared" si="20"/>
        <v>4589</v>
      </c>
      <c r="BM26" s="1866">
        <v>2348</v>
      </c>
      <c r="BN26" s="1866">
        <v>2144</v>
      </c>
      <c r="BO26" s="1866">
        <f t="shared" si="21"/>
        <v>4492</v>
      </c>
      <c r="BP26" s="1866">
        <v>2262</v>
      </c>
      <c r="BQ26" s="1866">
        <v>2089</v>
      </c>
      <c r="BR26" s="1866">
        <f t="shared" si="22"/>
        <v>4351</v>
      </c>
      <c r="BS26" s="1866">
        <v>2156</v>
      </c>
      <c r="BT26" s="1866">
        <v>1991</v>
      </c>
      <c r="BU26" s="1866">
        <f t="shared" si="23"/>
        <v>4147</v>
      </c>
      <c r="BV26" s="1863">
        <v>2014</v>
      </c>
      <c r="BW26" s="1863">
        <v>1869</v>
      </c>
      <c r="BX26" s="1863">
        <f t="shared" si="24"/>
        <v>3883</v>
      </c>
      <c r="BY26" s="1863">
        <v>2150</v>
      </c>
      <c r="BZ26" s="1863">
        <v>1991</v>
      </c>
      <c r="CA26" s="1863">
        <v>1895</v>
      </c>
      <c r="CB26" s="1863">
        <v>1754</v>
      </c>
      <c r="CC26" s="1863">
        <f t="shared" si="25"/>
        <v>3649</v>
      </c>
      <c r="CD26" s="1863">
        <v>1803</v>
      </c>
      <c r="CE26" s="1863">
        <v>1691</v>
      </c>
      <c r="CF26" s="1863">
        <f t="shared" si="26"/>
        <v>3494</v>
      </c>
      <c r="CG26" s="1865">
        <v>1686</v>
      </c>
      <c r="CH26" s="1866">
        <v>1605</v>
      </c>
      <c r="CI26" s="1866">
        <f t="shared" si="27"/>
        <v>3291</v>
      </c>
      <c r="CJ26" s="1863">
        <v>1681</v>
      </c>
      <c r="CK26" s="1863">
        <v>1605</v>
      </c>
      <c r="CL26" s="1830">
        <v>1611</v>
      </c>
      <c r="CM26" s="1830">
        <v>1591</v>
      </c>
      <c r="CN26" s="1830">
        <f t="shared" si="28"/>
        <v>3202</v>
      </c>
      <c r="CO26" s="1863">
        <v>1589</v>
      </c>
      <c r="CP26" s="1863">
        <v>1538</v>
      </c>
      <c r="CQ26" s="1863">
        <f t="shared" si="29"/>
        <v>3127</v>
      </c>
      <c r="CR26" s="1831">
        <v>1540</v>
      </c>
      <c r="CS26" s="1832">
        <v>1540</v>
      </c>
      <c r="CT26" s="1832">
        <f t="shared" si="30"/>
        <v>3080</v>
      </c>
      <c r="CU26" s="1863">
        <v>1478</v>
      </c>
      <c r="CV26" s="1863">
        <v>1509</v>
      </c>
      <c r="CW26" s="1863">
        <f t="shared" si="31"/>
        <v>2987</v>
      </c>
      <c r="CX26" s="1865">
        <v>1418</v>
      </c>
      <c r="CY26" s="1866">
        <v>1457</v>
      </c>
      <c r="CZ26" s="1866">
        <f t="shared" si="32"/>
        <v>2875</v>
      </c>
      <c r="DA26" s="1866">
        <v>1384</v>
      </c>
      <c r="DB26" s="1866">
        <v>1409</v>
      </c>
      <c r="DC26" s="1866">
        <f t="shared" si="33"/>
        <v>2793</v>
      </c>
      <c r="DD26" s="1866">
        <v>1376</v>
      </c>
      <c r="DE26" s="1866">
        <v>1401</v>
      </c>
      <c r="DF26" s="1866">
        <f t="shared" si="34"/>
        <v>2777</v>
      </c>
      <c r="DG26" s="1866">
        <v>1316</v>
      </c>
      <c r="DH26" s="1866">
        <v>1341</v>
      </c>
      <c r="DI26" s="1866">
        <f t="shared" si="35"/>
        <v>2657</v>
      </c>
      <c r="DJ26" s="1863">
        <v>1272</v>
      </c>
      <c r="DK26" s="1863">
        <v>1309</v>
      </c>
      <c r="DL26" s="1863">
        <f t="shared" si="36"/>
        <v>2581</v>
      </c>
      <c r="DM26" s="1863">
        <v>1216</v>
      </c>
      <c r="DN26" s="1863">
        <v>1249</v>
      </c>
      <c r="DO26" s="1863">
        <f t="shared" si="37"/>
        <v>2465</v>
      </c>
      <c r="DP26" s="1863">
        <v>1197</v>
      </c>
      <c r="DQ26" s="1863">
        <v>1219</v>
      </c>
      <c r="DR26" s="1863">
        <f t="shared" si="38"/>
        <v>2416</v>
      </c>
      <c r="DS26" s="1865">
        <v>1149</v>
      </c>
      <c r="DT26" s="1866">
        <v>1173</v>
      </c>
      <c r="DU26" s="1866">
        <f t="shared" si="39"/>
        <v>2322</v>
      </c>
      <c r="DV26" s="1830">
        <v>1123</v>
      </c>
      <c r="DW26" s="1830">
        <v>1144</v>
      </c>
      <c r="DX26" s="1830">
        <f t="shared" si="40"/>
        <v>2267</v>
      </c>
      <c r="DY26" s="1863">
        <v>1115</v>
      </c>
      <c r="DZ26" s="1863">
        <v>1143</v>
      </c>
      <c r="EA26" s="1863">
        <f t="shared" si="41"/>
        <v>2258</v>
      </c>
      <c r="EB26" s="1831">
        <v>1107</v>
      </c>
      <c r="EC26" s="1832">
        <v>1118</v>
      </c>
      <c r="ED26" s="1832">
        <f t="shared" si="42"/>
        <v>2225</v>
      </c>
      <c r="EE26" s="1863">
        <v>1082</v>
      </c>
      <c r="EF26" s="1863">
        <v>1081</v>
      </c>
      <c r="EG26" s="1863">
        <f t="shared" si="43"/>
        <v>2163</v>
      </c>
      <c r="EH26" s="1865">
        <v>1051</v>
      </c>
      <c r="EI26" s="1866">
        <v>1079</v>
      </c>
      <c r="EJ26" s="1866">
        <f t="shared" si="44"/>
        <v>2130</v>
      </c>
      <c r="EK26" s="1866">
        <v>1041</v>
      </c>
      <c r="EL26" s="1866">
        <v>1054</v>
      </c>
      <c r="EM26" s="1866">
        <f t="shared" si="45"/>
        <v>2095</v>
      </c>
      <c r="EN26" s="1866">
        <v>1023</v>
      </c>
      <c r="EO26" s="1866">
        <v>1021</v>
      </c>
      <c r="EP26" s="1866">
        <f t="shared" si="46"/>
        <v>2044</v>
      </c>
      <c r="EQ26" s="1866">
        <v>996</v>
      </c>
      <c r="ER26" s="1866">
        <v>1008</v>
      </c>
      <c r="ES26" s="1866">
        <f t="shared" si="47"/>
        <v>2004</v>
      </c>
      <c r="ET26" s="1863">
        <v>972</v>
      </c>
      <c r="EU26" s="1863">
        <v>984</v>
      </c>
      <c r="EV26" s="1863">
        <f t="shared" si="48"/>
        <v>1956</v>
      </c>
      <c r="EW26" s="1863">
        <v>964</v>
      </c>
      <c r="EX26" s="1863">
        <v>973</v>
      </c>
      <c r="EY26" s="1863">
        <f t="shared" si="49"/>
        <v>1937</v>
      </c>
      <c r="EZ26" s="1863">
        <v>978</v>
      </c>
      <c r="FA26" s="1863">
        <v>998</v>
      </c>
      <c r="FB26" s="1863">
        <f t="shared" si="50"/>
        <v>1976</v>
      </c>
      <c r="FC26" s="1865">
        <v>981</v>
      </c>
      <c r="FD26" s="1866">
        <v>1002</v>
      </c>
      <c r="FE26" s="1866">
        <f t="shared" si="51"/>
        <v>1983</v>
      </c>
      <c r="FF26" s="1830">
        <v>974</v>
      </c>
      <c r="FG26" s="1830">
        <v>989</v>
      </c>
      <c r="FH26" s="1830">
        <f t="shared" si="52"/>
        <v>1963</v>
      </c>
      <c r="FI26" s="1863">
        <v>973</v>
      </c>
      <c r="FJ26" s="1863">
        <v>980</v>
      </c>
      <c r="FK26" s="1863">
        <f t="shared" si="53"/>
        <v>1953</v>
      </c>
      <c r="FL26" s="1831">
        <v>959</v>
      </c>
      <c r="FM26" s="1832">
        <v>983</v>
      </c>
      <c r="FN26" s="1832">
        <f t="shared" si="54"/>
        <v>1942</v>
      </c>
      <c r="FO26" s="1863">
        <v>972</v>
      </c>
      <c r="FP26" s="1863">
        <v>999</v>
      </c>
      <c r="FQ26" s="1863">
        <f t="shared" si="55"/>
        <v>1971</v>
      </c>
      <c r="FR26" s="1835">
        <v>956</v>
      </c>
      <c r="FS26" s="1866">
        <v>975</v>
      </c>
      <c r="FT26" s="1866">
        <f t="shared" si="56"/>
        <v>1931</v>
      </c>
      <c r="FU26" s="1866">
        <v>952</v>
      </c>
      <c r="FV26" s="1866">
        <v>968</v>
      </c>
      <c r="FW26" s="1866">
        <f t="shared" si="57"/>
        <v>1920</v>
      </c>
      <c r="FX26" s="1866">
        <v>939</v>
      </c>
      <c r="FY26" s="1866">
        <v>953</v>
      </c>
      <c r="FZ26" s="1866">
        <f t="shared" si="58"/>
        <v>1892</v>
      </c>
      <c r="GA26" s="1866">
        <v>941</v>
      </c>
      <c r="GB26" s="1866">
        <v>949</v>
      </c>
      <c r="GC26" s="1866">
        <f t="shared" si="59"/>
        <v>1890</v>
      </c>
      <c r="GD26" s="1863">
        <v>940</v>
      </c>
      <c r="GE26" s="1863">
        <v>955</v>
      </c>
      <c r="GF26" s="1863">
        <f t="shared" si="60"/>
        <v>1895</v>
      </c>
      <c r="GG26" s="1863">
        <v>971</v>
      </c>
      <c r="GH26" s="1863">
        <v>970</v>
      </c>
      <c r="GI26" s="1863">
        <f t="shared" si="61"/>
        <v>1941</v>
      </c>
      <c r="GJ26" s="1863">
        <v>973</v>
      </c>
      <c r="GK26" s="1863">
        <v>978</v>
      </c>
      <c r="GL26" s="1863">
        <f t="shared" si="62"/>
        <v>1951</v>
      </c>
      <c r="GM26" s="1865">
        <v>962</v>
      </c>
      <c r="GN26" s="1866">
        <v>981</v>
      </c>
      <c r="GO26" s="1866">
        <f t="shared" si="63"/>
        <v>1943</v>
      </c>
      <c r="GP26" s="1830">
        <v>966</v>
      </c>
      <c r="GQ26" s="1830">
        <v>987</v>
      </c>
      <c r="GR26" s="1830">
        <f t="shared" si="64"/>
        <v>1953</v>
      </c>
      <c r="GS26" s="1863">
        <v>973</v>
      </c>
      <c r="GT26" s="1863">
        <v>1008</v>
      </c>
      <c r="GU26" s="1863">
        <f t="shared" si="65"/>
        <v>1981</v>
      </c>
      <c r="GV26" s="1831">
        <v>987</v>
      </c>
      <c r="GW26" s="1832">
        <v>1013</v>
      </c>
      <c r="GX26" s="1832">
        <f t="shared" si="66"/>
        <v>2000</v>
      </c>
      <c r="GY26" s="1863">
        <v>990</v>
      </c>
      <c r="GZ26" s="1863">
        <v>1023</v>
      </c>
      <c r="HA26" s="1863">
        <f t="shared" si="67"/>
        <v>2013</v>
      </c>
      <c r="HB26" s="1835">
        <v>992</v>
      </c>
      <c r="HC26" s="1866">
        <v>1010</v>
      </c>
      <c r="HD26" s="1866">
        <f t="shared" si="68"/>
        <v>2002</v>
      </c>
      <c r="HE26" s="1866">
        <v>993</v>
      </c>
      <c r="HF26" s="1866">
        <v>1015</v>
      </c>
      <c r="HG26" s="1866">
        <f t="shared" si="69"/>
        <v>2008</v>
      </c>
      <c r="HH26" s="1866">
        <v>984</v>
      </c>
      <c r="HI26" s="1866">
        <v>1004</v>
      </c>
      <c r="HJ26" s="1866">
        <f t="shared" si="70"/>
        <v>1988</v>
      </c>
      <c r="HK26" s="1866">
        <v>983</v>
      </c>
      <c r="HL26" s="1866">
        <v>1005</v>
      </c>
      <c r="HM26" s="1866">
        <f t="shared" si="71"/>
        <v>1988</v>
      </c>
      <c r="HN26" s="1863">
        <v>980</v>
      </c>
      <c r="HO26" s="1863">
        <v>994</v>
      </c>
      <c r="HP26" s="1863">
        <f t="shared" si="72"/>
        <v>1974</v>
      </c>
      <c r="HQ26" s="1863">
        <v>986</v>
      </c>
      <c r="HR26" s="1863">
        <v>1000</v>
      </c>
      <c r="HS26" s="1863">
        <f t="shared" si="73"/>
        <v>1986</v>
      </c>
      <c r="HT26" s="1863">
        <v>998</v>
      </c>
      <c r="HU26" s="1863">
        <v>1002</v>
      </c>
      <c r="HV26" s="1863">
        <f t="shared" si="74"/>
        <v>2000</v>
      </c>
      <c r="HW26" s="1867">
        <v>994</v>
      </c>
      <c r="HX26" s="1868">
        <v>982</v>
      </c>
      <c r="HY26" s="1866">
        <f t="shared" si="75"/>
        <v>1976</v>
      </c>
      <c r="HZ26" s="1830">
        <v>999</v>
      </c>
      <c r="IA26" s="1830">
        <v>996</v>
      </c>
      <c r="IB26" s="1830">
        <f t="shared" si="76"/>
        <v>1995</v>
      </c>
      <c r="IC26" s="1863">
        <v>1010</v>
      </c>
      <c r="ID26" s="1863">
        <v>1008</v>
      </c>
      <c r="IE26" s="1863">
        <f t="shared" si="77"/>
        <v>2018</v>
      </c>
      <c r="IF26" s="1831">
        <v>1024</v>
      </c>
      <c r="IG26" s="1832">
        <v>1002</v>
      </c>
      <c r="IH26" s="1832">
        <f t="shared" si="78"/>
        <v>2026</v>
      </c>
      <c r="II26" s="1812">
        <v>1038</v>
      </c>
      <c r="IJ26" s="1812">
        <v>1004</v>
      </c>
      <c r="IK26" s="1812">
        <f t="shared" si="79"/>
        <v>2042</v>
      </c>
      <c r="IL26" s="1812"/>
    </row>
    <row r="27" spans="1:246" hidden="1">
      <c r="A27" s="1933" t="s">
        <v>1585</v>
      </c>
      <c r="B27" s="1870">
        <v>15233</v>
      </c>
      <c r="C27" s="1870">
        <v>4454</v>
      </c>
      <c r="D27" s="1870">
        <f t="shared" si="0"/>
        <v>19687</v>
      </c>
      <c r="E27" s="1871">
        <v>25168</v>
      </c>
      <c r="F27" s="1871">
        <v>7069</v>
      </c>
      <c r="G27" s="1871">
        <f t="shared" si="1"/>
        <v>32237</v>
      </c>
      <c r="H27" s="1871">
        <v>25495</v>
      </c>
      <c r="I27" s="1871">
        <v>11686</v>
      </c>
      <c r="J27" s="1871">
        <f t="shared" si="2"/>
        <v>37181</v>
      </c>
      <c r="K27" s="1843">
        <v>28344</v>
      </c>
      <c r="L27" s="1843">
        <v>15396</v>
      </c>
      <c r="M27" s="1843">
        <f t="shared" si="3"/>
        <v>43740</v>
      </c>
      <c r="N27" s="1844">
        <v>29177</v>
      </c>
      <c r="O27" s="1844">
        <v>16582</v>
      </c>
      <c r="P27" s="1844">
        <f t="shared" si="4"/>
        <v>45759</v>
      </c>
      <c r="Q27" s="1870">
        <v>29781</v>
      </c>
      <c r="R27" s="1870">
        <v>18878</v>
      </c>
      <c r="S27" s="1870">
        <f t="shared" si="5"/>
        <v>48659</v>
      </c>
      <c r="T27" s="1870">
        <v>30319</v>
      </c>
      <c r="U27" s="1870">
        <v>19161</v>
      </c>
      <c r="V27" s="1870">
        <f t="shared" si="6"/>
        <v>49480</v>
      </c>
      <c r="W27" s="1843">
        <v>30520</v>
      </c>
      <c r="X27" s="1843">
        <v>19889</v>
      </c>
      <c r="Y27" s="1843">
        <f t="shared" si="7"/>
        <v>50409</v>
      </c>
      <c r="Z27" s="1843">
        <v>30190</v>
      </c>
      <c r="AA27" s="1843">
        <v>20300</v>
      </c>
      <c r="AB27" s="1843">
        <f t="shared" si="8"/>
        <v>50490</v>
      </c>
      <c r="AC27" s="1845">
        <v>30781</v>
      </c>
      <c r="AD27" s="1845">
        <v>21510</v>
      </c>
      <c r="AE27" s="1845">
        <f t="shared" si="9"/>
        <v>52291</v>
      </c>
      <c r="AF27" s="1846">
        <v>30621</v>
      </c>
      <c r="AG27" s="1846">
        <v>21785</v>
      </c>
      <c r="AH27" s="1846">
        <f t="shared" si="10"/>
        <v>52406</v>
      </c>
      <c r="AI27" s="1846">
        <v>30676</v>
      </c>
      <c r="AJ27" s="1846">
        <v>21895</v>
      </c>
      <c r="AK27" s="1846">
        <f t="shared" si="11"/>
        <v>52571</v>
      </c>
      <c r="AL27" s="1870">
        <v>30670</v>
      </c>
      <c r="AM27" s="1870">
        <v>22455</v>
      </c>
      <c r="AN27" s="1870">
        <f t="shared" si="12"/>
        <v>53125</v>
      </c>
      <c r="AO27" s="1846">
        <v>30395</v>
      </c>
      <c r="AP27" s="1846">
        <v>22467</v>
      </c>
      <c r="AQ27" s="1846">
        <f t="shared" si="13"/>
        <v>52862</v>
      </c>
      <c r="AR27" s="1846">
        <v>29269</v>
      </c>
      <c r="AS27" s="1846">
        <v>21792</v>
      </c>
      <c r="AT27" s="1846">
        <f t="shared" si="14"/>
        <v>51061</v>
      </c>
      <c r="AU27" s="1846">
        <v>28527</v>
      </c>
      <c r="AV27" s="1846">
        <v>21846</v>
      </c>
      <c r="AW27" s="1846">
        <f t="shared" si="15"/>
        <v>50373</v>
      </c>
      <c r="AX27" s="1846">
        <v>28443</v>
      </c>
      <c r="AY27" s="1846">
        <v>21706</v>
      </c>
      <c r="AZ27" s="1846">
        <f t="shared" si="16"/>
        <v>50149</v>
      </c>
      <c r="BA27" s="1870">
        <v>28115</v>
      </c>
      <c r="BB27" s="1870">
        <v>21282</v>
      </c>
      <c r="BC27" s="1870">
        <f t="shared" si="17"/>
        <v>49397</v>
      </c>
      <c r="BD27" s="1847">
        <v>27906</v>
      </c>
      <c r="BE27" s="1848">
        <v>21421</v>
      </c>
      <c r="BF27" s="1848">
        <f t="shared" si="18"/>
        <v>49327</v>
      </c>
      <c r="BG27" s="1870">
        <v>27518</v>
      </c>
      <c r="BH27" s="1870">
        <v>22532</v>
      </c>
      <c r="BI27" s="1870">
        <f t="shared" si="19"/>
        <v>50050</v>
      </c>
      <c r="BJ27" s="1872">
        <v>27174</v>
      </c>
      <c r="BK27" s="1873">
        <v>22396</v>
      </c>
      <c r="BL27" s="1873">
        <f t="shared" si="20"/>
        <v>49570</v>
      </c>
      <c r="BM27" s="1873">
        <v>27170</v>
      </c>
      <c r="BN27" s="1873">
        <v>22618</v>
      </c>
      <c r="BO27" s="1873">
        <f t="shared" si="21"/>
        <v>49788</v>
      </c>
      <c r="BP27" s="1873">
        <v>26666</v>
      </c>
      <c r="BQ27" s="1873">
        <v>22417</v>
      </c>
      <c r="BR27" s="1873">
        <f t="shared" si="22"/>
        <v>49083</v>
      </c>
      <c r="BS27" s="1873">
        <v>27344</v>
      </c>
      <c r="BT27" s="1873">
        <v>23284</v>
      </c>
      <c r="BU27" s="1873">
        <f t="shared" si="23"/>
        <v>50628</v>
      </c>
      <c r="BV27" s="1870">
        <v>26960</v>
      </c>
      <c r="BW27" s="1870">
        <v>23268</v>
      </c>
      <c r="BX27" s="1870">
        <f t="shared" si="24"/>
        <v>50228</v>
      </c>
      <c r="BY27" s="1870">
        <v>27316</v>
      </c>
      <c r="BZ27" s="1870">
        <v>23253</v>
      </c>
      <c r="CA27" s="1870">
        <v>26501</v>
      </c>
      <c r="CB27" s="1870">
        <v>23063</v>
      </c>
      <c r="CC27" s="1870">
        <f t="shared" si="25"/>
        <v>49564</v>
      </c>
      <c r="CD27" s="1870">
        <v>26204</v>
      </c>
      <c r="CE27" s="1870">
        <v>23134</v>
      </c>
      <c r="CF27" s="1870">
        <f t="shared" si="26"/>
        <v>49338</v>
      </c>
      <c r="CG27" s="1872">
        <v>25796</v>
      </c>
      <c r="CH27" s="1873">
        <v>23209</v>
      </c>
      <c r="CI27" s="1873">
        <f t="shared" si="27"/>
        <v>49005</v>
      </c>
      <c r="CJ27" s="1870">
        <v>25721</v>
      </c>
      <c r="CK27" s="1870">
        <v>23159</v>
      </c>
      <c r="CL27" s="1846">
        <v>25567</v>
      </c>
      <c r="CM27" s="1846">
        <v>23163</v>
      </c>
      <c r="CN27" s="1846">
        <f t="shared" si="28"/>
        <v>48730</v>
      </c>
      <c r="CO27" s="1870">
        <v>26736</v>
      </c>
      <c r="CP27" s="1870">
        <v>23813</v>
      </c>
      <c r="CQ27" s="1870">
        <f t="shared" si="29"/>
        <v>50549</v>
      </c>
      <c r="CR27" s="1847">
        <v>26107</v>
      </c>
      <c r="CS27" s="1848">
        <v>24019</v>
      </c>
      <c r="CT27" s="1848">
        <f t="shared" si="30"/>
        <v>50126</v>
      </c>
      <c r="CU27" s="1870">
        <v>25942</v>
      </c>
      <c r="CV27" s="1870">
        <v>23948</v>
      </c>
      <c r="CW27" s="1870">
        <f t="shared" si="31"/>
        <v>49890</v>
      </c>
      <c r="CX27" s="1872">
        <v>25832</v>
      </c>
      <c r="CY27" s="1873">
        <v>24156</v>
      </c>
      <c r="CZ27" s="1873">
        <f t="shared" si="32"/>
        <v>49988</v>
      </c>
      <c r="DA27" s="1873">
        <v>25165</v>
      </c>
      <c r="DB27" s="1873">
        <v>23740</v>
      </c>
      <c r="DC27" s="1873">
        <f t="shared" si="33"/>
        <v>48905</v>
      </c>
      <c r="DD27" s="1873">
        <v>25917</v>
      </c>
      <c r="DE27" s="1873">
        <v>24448</v>
      </c>
      <c r="DF27" s="1873">
        <f t="shared" si="34"/>
        <v>50365</v>
      </c>
      <c r="DG27" s="1873">
        <v>25338</v>
      </c>
      <c r="DH27" s="1873">
        <v>24256</v>
      </c>
      <c r="DI27" s="1873">
        <f t="shared" si="35"/>
        <v>49594</v>
      </c>
      <c r="DJ27" s="1870">
        <v>25005</v>
      </c>
      <c r="DK27" s="1870">
        <v>24080</v>
      </c>
      <c r="DL27" s="1870">
        <f t="shared" si="36"/>
        <v>49085</v>
      </c>
      <c r="DM27" s="1870">
        <v>24772</v>
      </c>
      <c r="DN27" s="1870">
        <v>24193</v>
      </c>
      <c r="DO27" s="1870">
        <f t="shared" si="37"/>
        <v>48965</v>
      </c>
      <c r="DP27" s="1870">
        <v>24992</v>
      </c>
      <c r="DQ27" s="1870">
        <v>24601</v>
      </c>
      <c r="DR27" s="1870">
        <f t="shared" si="38"/>
        <v>49593</v>
      </c>
      <c r="DS27" s="1872">
        <v>24439</v>
      </c>
      <c r="DT27" s="1873">
        <v>24261</v>
      </c>
      <c r="DU27" s="1873">
        <f t="shared" si="39"/>
        <v>48700</v>
      </c>
      <c r="DV27" s="1846">
        <v>24263</v>
      </c>
      <c r="DW27" s="1846">
        <v>24124</v>
      </c>
      <c r="DX27" s="1846">
        <f t="shared" si="40"/>
        <v>48387</v>
      </c>
      <c r="DY27" s="1870">
        <v>24228</v>
      </c>
      <c r="DZ27" s="1870">
        <v>24127</v>
      </c>
      <c r="EA27" s="1870">
        <f t="shared" si="41"/>
        <v>48355</v>
      </c>
      <c r="EB27" s="1847">
        <v>24670</v>
      </c>
      <c r="EC27" s="1848">
        <v>24169</v>
      </c>
      <c r="ED27" s="1848">
        <f t="shared" si="42"/>
        <v>48839</v>
      </c>
      <c r="EE27" s="1870">
        <v>24326</v>
      </c>
      <c r="EF27" s="1870">
        <v>24070</v>
      </c>
      <c r="EG27" s="1870">
        <f t="shared" si="43"/>
        <v>48396</v>
      </c>
      <c r="EH27" s="1872">
        <v>23930</v>
      </c>
      <c r="EI27" s="1873">
        <v>23824</v>
      </c>
      <c r="EJ27" s="1873">
        <f t="shared" si="44"/>
        <v>47754</v>
      </c>
      <c r="EK27" s="1873">
        <v>24020</v>
      </c>
      <c r="EL27" s="1873">
        <v>23994</v>
      </c>
      <c r="EM27" s="1873">
        <f t="shared" si="45"/>
        <v>48014</v>
      </c>
      <c r="EN27" s="1873">
        <v>23877</v>
      </c>
      <c r="EO27" s="1873">
        <v>23892</v>
      </c>
      <c r="EP27" s="1873">
        <f t="shared" si="46"/>
        <v>47769</v>
      </c>
      <c r="EQ27" s="1873">
        <v>23717</v>
      </c>
      <c r="ER27" s="1873">
        <v>23949</v>
      </c>
      <c r="ES27" s="1873">
        <f t="shared" si="47"/>
        <v>47666</v>
      </c>
      <c r="ET27" s="1870">
        <v>23451</v>
      </c>
      <c r="EU27" s="1870">
        <v>23998</v>
      </c>
      <c r="EV27" s="1870">
        <f t="shared" si="48"/>
        <v>47449</v>
      </c>
      <c r="EW27" s="1870">
        <v>23126</v>
      </c>
      <c r="EX27" s="1870">
        <v>23805</v>
      </c>
      <c r="EY27" s="1870">
        <f t="shared" si="49"/>
        <v>46931</v>
      </c>
      <c r="EZ27" s="1870">
        <v>23008</v>
      </c>
      <c r="FA27" s="1870">
        <v>23865</v>
      </c>
      <c r="FB27" s="1870">
        <f t="shared" si="50"/>
        <v>46873</v>
      </c>
      <c r="FC27" s="1872">
        <v>22795</v>
      </c>
      <c r="FD27" s="1873">
        <v>23837</v>
      </c>
      <c r="FE27" s="1873">
        <f t="shared" si="51"/>
        <v>46632</v>
      </c>
      <c r="FF27" s="1846">
        <v>22566</v>
      </c>
      <c r="FG27" s="1846">
        <v>23494</v>
      </c>
      <c r="FH27" s="1846">
        <f t="shared" si="52"/>
        <v>46060</v>
      </c>
      <c r="FI27" s="1870">
        <v>22684</v>
      </c>
      <c r="FJ27" s="1870">
        <v>23680</v>
      </c>
      <c r="FK27" s="1870">
        <f t="shared" si="53"/>
        <v>46364</v>
      </c>
      <c r="FL27" s="1847">
        <v>22730</v>
      </c>
      <c r="FM27" s="1848">
        <v>23838</v>
      </c>
      <c r="FN27" s="1848">
        <f t="shared" si="54"/>
        <v>46568</v>
      </c>
      <c r="FO27" s="1870">
        <v>22411</v>
      </c>
      <c r="FP27" s="1870">
        <v>23572</v>
      </c>
      <c r="FQ27" s="1870">
        <f t="shared" si="55"/>
        <v>45983</v>
      </c>
      <c r="FR27" s="1851">
        <v>22314</v>
      </c>
      <c r="FS27" s="1873">
        <v>23622</v>
      </c>
      <c r="FT27" s="1873">
        <f t="shared" si="56"/>
        <v>45936</v>
      </c>
      <c r="FU27" s="1873">
        <v>22154</v>
      </c>
      <c r="FV27" s="1873">
        <v>23528</v>
      </c>
      <c r="FW27" s="1873">
        <f t="shared" si="57"/>
        <v>45682</v>
      </c>
      <c r="FX27" s="1873">
        <v>21952</v>
      </c>
      <c r="FY27" s="1873">
        <v>23519</v>
      </c>
      <c r="FZ27" s="1873">
        <f t="shared" si="58"/>
        <v>45471</v>
      </c>
      <c r="GA27" s="1873">
        <v>22199</v>
      </c>
      <c r="GB27" s="1873">
        <v>23604</v>
      </c>
      <c r="GC27" s="1873">
        <f t="shared" si="59"/>
        <v>45803</v>
      </c>
      <c r="GD27" s="1870">
        <v>21826</v>
      </c>
      <c r="GE27" s="1870">
        <v>23488</v>
      </c>
      <c r="GF27" s="1870">
        <f t="shared" si="60"/>
        <v>45314</v>
      </c>
      <c r="GG27" s="1870">
        <v>21555</v>
      </c>
      <c r="GH27" s="1870">
        <v>23268</v>
      </c>
      <c r="GI27" s="1870">
        <f t="shared" si="61"/>
        <v>44823</v>
      </c>
      <c r="GJ27" s="1870">
        <v>21440</v>
      </c>
      <c r="GK27" s="1870">
        <v>23011</v>
      </c>
      <c r="GL27" s="1870">
        <f t="shared" si="62"/>
        <v>44451</v>
      </c>
      <c r="GM27" s="1872"/>
      <c r="GN27" s="1873"/>
      <c r="GO27" s="1873">
        <f t="shared" si="63"/>
        <v>0</v>
      </c>
      <c r="GP27" s="1846"/>
      <c r="GQ27" s="1846"/>
      <c r="GR27" s="1846">
        <f t="shared" si="64"/>
        <v>0</v>
      </c>
      <c r="GS27" s="1870"/>
      <c r="GT27" s="1870"/>
      <c r="GU27" s="1870">
        <f t="shared" si="65"/>
        <v>0</v>
      </c>
      <c r="GV27" s="1847"/>
      <c r="GW27" s="1848"/>
      <c r="GX27" s="1848">
        <f t="shared" si="66"/>
        <v>0</v>
      </c>
      <c r="GY27" s="1870"/>
      <c r="GZ27" s="1870"/>
      <c r="HA27" s="1870">
        <f t="shared" si="67"/>
        <v>0</v>
      </c>
      <c r="HB27" s="1851"/>
      <c r="HC27" s="1873"/>
      <c r="HD27" s="1873">
        <f t="shared" si="68"/>
        <v>0</v>
      </c>
      <c r="HE27" s="1873"/>
      <c r="HF27" s="1873"/>
      <c r="HG27" s="1873">
        <f t="shared" si="69"/>
        <v>0</v>
      </c>
      <c r="HH27" s="1873"/>
      <c r="HI27" s="1873"/>
      <c r="HJ27" s="1873">
        <f t="shared" si="70"/>
        <v>0</v>
      </c>
      <c r="HK27" s="1873"/>
      <c r="HL27" s="1873"/>
      <c r="HM27" s="1873">
        <f t="shared" si="71"/>
        <v>0</v>
      </c>
      <c r="HN27" s="1870"/>
      <c r="HO27" s="1870"/>
      <c r="HP27" s="1870">
        <f t="shared" si="72"/>
        <v>0</v>
      </c>
      <c r="HQ27" s="1870"/>
      <c r="HR27" s="1870"/>
      <c r="HS27" s="1870">
        <f t="shared" si="73"/>
        <v>0</v>
      </c>
      <c r="HT27" s="1870"/>
      <c r="HU27" s="1870"/>
      <c r="HV27" s="1870">
        <f t="shared" si="74"/>
        <v>0</v>
      </c>
      <c r="HW27" s="1874"/>
      <c r="HX27" s="1875"/>
      <c r="HY27" s="1873">
        <f t="shared" si="75"/>
        <v>0</v>
      </c>
      <c r="HZ27" s="1846"/>
      <c r="IA27" s="1846"/>
      <c r="IB27" s="1846">
        <f t="shared" si="76"/>
        <v>0</v>
      </c>
      <c r="IC27" s="1870"/>
      <c r="ID27" s="1870"/>
      <c r="IE27" s="1870">
        <f t="shared" si="77"/>
        <v>0</v>
      </c>
      <c r="IF27" s="1847"/>
      <c r="IG27" s="1848"/>
      <c r="IH27" s="1848">
        <f t="shared" si="78"/>
        <v>0</v>
      </c>
      <c r="II27" s="1811"/>
      <c r="IJ27" s="1811"/>
      <c r="IK27" s="1811">
        <f t="shared" si="79"/>
        <v>0</v>
      </c>
      <c r="IL27" s="1811"/>
    </row>
    <row r="28" spans="1:246" hidden="1">
      <c r="A28" s="1933" t="s">
        <v>1591</v>
      </c>
      <c r="B28" s="1870">
        <v>1747</v>
      </c>
      <c r="C28" s="1870">
        <v>917</v>
      </c>
      <c r="D28" s="1870">
        <f t="shared" si="0"/>
        <v>2664</v>
      </c>
      <c r="E28" s="1871">
        <v>1899</v>
      </c>
      <c r="F28" s="1871">
        <v>926</v>
      </c>
      <c r="G28" s="1871">
        <f t="shared" si="1"/>
        <v>2825</v>
      </c>
      <c r="H28" s="1871">
        <v>1995</v>
      </c>
      <c r="I28" s="1871">
        <v>1021</v>
      </c>
      <c r="J28" s="1871">
        <f t="shared" si="2"/>
        <v>3016</v>
      </c>
      <c r="K28" s="1843">
        <v>2093</v>
      </c>
      <c r="L28" s="1843">
        <v>1131</v>
      </c>
      <c r="M28" s="1843">
        <f t="shared" si="3"/>
        <v>3224</v>
      </c>
      <c r="N28" s="1844">
        <v>2056</v>
      </c>
      <c r="O28" s="1844">
        <v>1224</v>
      </c>
      <c r="P28" s="1844">
        <f t="shared" si="4"/>
        <v>3280</v>
      </c>
      <c r="Q28" s="1870">
        <v>2096</v>
      </c>
      <c r="R28" s="1870">
        <v>1341</v>
      </c>
      <c r="S28" s="1870">
        <f t="shared" si="5"/>
        <v>3437</v>
      </c>
      <c r="T28" s="1870">
        <v>2214</v>
      </c>
      <c r="U28" s="1870">
        <v>1388</v>
      </c>
      <c r="V28" s="1870">
        <f t="shared" si="6"/>
        <v>3602</v>
      </c>
      <c r="W28" s="1843">
        <v>2284</v>
      </c>
      <c r="X28" s="1843">
        <v>1386</v>
      </c>
      <c r="Y28" s="1843">
        <f t="shared" si="7"/>
        <v>3670</v>
      </c>
      <c r="Z28" s="1843">
        <v>2347</v>
      </c>
      <c r="AA28" s="1843">
        <v>1555</v>
      </c>
      <c r="AB28" s="1843">
        <f t="shared" si="8"/>
        <v>3902</v>
      </c>
      <c r="AC28" s="1845">
        <v>2413</v>
      </c>
      <c r="AD28" s="1845">
        <v>1593</v>
      </c>
      <c r="AE28" s="1845">
        <f t="shared" si="9"/>
        <v>4006</v>
      </c>
      <c r="AF28" s="1846">
        <v>2330</v>
      </c>
      <c r="AG28" s="1846">
        <v>1655</v>
      </c>
      <c r="AH28" s="1846">
        <f t="shared" si="10"/>
        <v>3985</v>
      </c>
      <c r="AI28" s="1846">
        <v>2412</v>
      </c>
      <c r="AJ28" s="1846">
        <v>1500</v>
      </c>
      <c r="AK28" s="1846">
        <f t="shared" si="11"/>
        <v>3912</v>
      </c>
      <c r="AL28" s="1870">
        <v>2513</v>
      </c>
      <c r="AM28" s="1870">
        <v>1592</v>
      </c>
      <c r="AN28" s="1870">
        <f t="shared" si="12"/>
        <v>4105</v>
      </c>
      <c r="AO28" s="1846">
        <v>2492</v>
      </c>
      <c r="AP28" s="1846">
        <v>1713</v>
      </c>
      <c r="AQ28" s="1846">
        <f t="shared" si="13"/>
        <v>4205</v>
      </c>
      <c r="AR28" s="1846">
        <v>2268</v>
      </c>
      <c r="AS28" s="1846">
        <v>1509</v>
      </c>
      <c r="AT28" s="1846">
        <f t="shared" si="14"/>
        <v>3777</v>
      </c>
      <c r="AU28" s="1846">
        <v>2172</v>
      </c>
      <c r="AV28" s="1846">
        <v>1444</v>
      </c>
      <c r="AW28" s="1846">
        <f t="shared" si="15"/>
        <v>3616</v>
      </c>
      <c r="AX28" s="1846">
        <v>2107</v>
      </c>
      <c r="AY28" s="1846">
        <v>1485</v>
      </c>
      <c r="AZ28" s="1846">
        <f t="shared" si="16"/>
        <v>3592</v>
      </c>
      <c r="BA28" s="1870">
        <v>2219</v>
      </c>
      <c r="BB28" s="1870">
        <v>1523</v>
      </c>
      <c r="BC28" s="1870">
        <f t="shared" si="17"/>
        <v>3742</v>
      </c>
      <c r="BD28" s="1847">
        <v>2207</v>
      </c>
      <c r="BE28" s="1848">
        <v>1558</v>
      </c>
      <c r="BF28" s="1848">
        <f t="shared" si="18"/>
        <v>3765</v>
      </c>
      <c r="BG28" s="1870">
        <v>2098</v>
      </c>
      <c r="BH28" s="1870">
        <v>1536</v>
      </c>
      <c r="BI28" s="1870">
        <f t="shared" si="19"/>
        <v>3634</v>
      </c>
      <c r="BJ28" s="1872">
        <v>2052</v>
      </c>
      <c r="BK28" s="1873">
        <v>1545</v>
      </c>
      <c r="BL28" s="1873">
        <f t="shared" si="20"/>
        <v>3597</v>
      </c>
      <c r="BM28" s="1873">
        <v>2108</v>
      </c>
      <c r="BN28" s="1873">
        <v>1623</v>
      </c>
      <c r="BO28" s="1873">
        <f t="shared" si="21"/>
        <v>3731</v>
      </c>
      <c r="BP28" s="1873">
        <v>2092</v>
      </c>
      <c r="BQ28" s="1873">
        <v>1624</v>
      </c>
      <c r="BR28" s="1873">
        <f t="shared" si="22"/>
        <v>3716</v>
      </c>
      <c r="BS28" s="1873">
        <v>2105</v>
      </c>
      <c r="BT28" s="1873">
        <v>1635</v>
      </c>
      <c r="BU28" s="1873">
        <f t="shared" si="23"/>
        <v>3740</v>
      </c>
      <c r="BV28" s="1870">
        <v>2116</v>
      </c>
      <c r="BW28" s="1870">
        <v>1702</v>
      </c>
      <c r="BX28" s="1870">
        <f t="shared" si="24"/>
        <v>3818</v>
      </c>
      <c r="BY28" s="1870">
        <v>2124</v>
      </c>
      <c r="BZ28" s="1870">
        <v>1648</v>
      </c>
      <c r="CA28" s="1870">
        <v>2071</v>
      </c>
      <c r="CB28" s="1870">
        <v>1674</v>
      </c>
      <c r="CC28" s="1870">
        <f t="shared" si="25"/>
        <v>3745</v>
      </c>
      <c r="CD28" s="1870">
        <v>2044</v>
      </c>
      <c r="CE28" s="1870">
        <v>1706</v>
      </c>
      <c r="CF28" s="1870">
        <f t="shared" si="26"/>
        <v>3750</v>
      </c>
      <c r="CG28" s="1872">
        <v>1971</v>
      </c>
      <c r="CH28" s="1873">
        <v>1643</v>
      </c>
      <c r="CI28" s="1873">
        <f t="shared" si="27"/>
        <v>3614</v>
      </c>
      <c r="CJ28" s="1870">
        <v>1961</v>
      </c>
      <c r="CK28" s="1870">
        <v>1632</v>
      </c>
      <c r="CL28" s="1846">
        <v>1988</v>
      </c>
      <c r="CM28" s="1846">
        <v>1706</v>
      </c>
      <c r="CN28" s="1846">
        <f t="shared" si="28"/>
        <v>3694</v>
      </c>
      <c r="CO28" s="1870">
        <v>2278</v>
      </c>
      <c r="CP28" s="1870">
        <v>1865</v>
      </c>
      <c r="CQ28" s="1870">
        <f t="shared" si="29"/>
        <v>4143</v>
      </c>
      <c r="CR28" s="1847">
        <v>2040</v>
      </c>
      <c r="CS28" s="1848">
        <v>1793</v>
      </c>
      <c r="CT28" s="1848">
        <f t="shared" si="30"/>
        <v>3833</v>
      </c>
      <c r="CU28" s="1870">
        <v>1998</v>
      </c>
      <c r="CV28" s="1870">
        <v>1702</v>
      </c>
      <c r="CW28" s="1870">
        <f t="shared" si="31"/>
        <v>3700</v>
      </c>
      <c r="CX28" s="1872">
        <v>1936</v>
      </c>
      <c r="CY28" s="1873">
        <v>1648</v>
      </c>
      <c r="CZ28" s="1873">
        <f t="shared" si="32"/>
        <v>3584</v>
      </c>
      <c r="DA28" s="1873">
        <v>1848</v>
      </c>
      <c r="DB28" s="1873">
        <v>1597</v>
      </c>
      <c r="DC28" s="1873">
        <f t="shared" si="33"/>
        <v>3445</v>
      </c>
      <c r="DD28" s="1873">
        <v>1851</v>
      </c>
      <c r="DE28" s="1873">
        <v>1591</v>
      </c>
      <c r="DF28" s="1873">
        <f t="shared" si="34"/>
        <v>3442</v>
      </c>
      <c r="DG28" s="1873">
        <v>1821</v>
      </c>
      <c r="DH28" s="1873">
        <v>1616</v>
      </c>
      <c r="DI28" s="1873">
        <f t="shared" si="35"/>
        <v>3437</v>
      </c>
      <c r="DJ28" s="1870">
        <v>1775</v>
      </c>
      <c r="DK28" s="1870">
        <v>1585</v>
      </c>
      <c r="DL28" s="1870">
        <f t="shared" si="36"/>
        <v>3360</v>
      </c>
      <c r="DM28" s="1870">
        <v>1639</v>
      </c>
      <c r="DN28" s="1870">
        <v>1431</v>
      </c>
      <c r="DO28" s="1870">
        <f t="shared" si="37"/>
        <v>3070</v>
      </c>
      <c r="DP28" s="1870"/>
      <c r="DQ28" s="1870"/>
      <c r="DR28" s="1870">
        <f t="shared" si="38"/>
        <v>0</v>
      </c>
      <c r="DS28" s="1872"/>
      <c r="DT28" s="1873"/>
      <c r="DU28" s="1873">
        <f t="shared" si="39"/>
        <v>0</v>
      </c>
      <c r="DV28" s="1846"/>
      <c r="DW28" s="1846"/>
      <c r="DX28" s="1846">
        <f t="shared" si="40"/>
        <v>0</v>
      </c>
      <c r="DY28" s="1870"/>
      <c r="DZ28" s="1870"/>
      <c r="EA28" s="1870">
        <f t="shared" si="41"/>
        <v>0</v>
      </c>
      <c r="EB28" s="1847"/>
      <c r="EC28" s="1848"/>
      <c r="ED28" s="1848">
        <f t="shared" si="42"/>
        <v>0</v>
      </c>
      <c r="EE28" s="1870"/>
      <c r="EF28" s="1870"/>
      <c r="EG28" s="1870">
        <f t="shared" si="43"/>
        <v>0</v>
      </c>
      <c r="EH28" s="1872"/>
      <c r="EI28" s="1873"/>
      <c r="EJ28" s="1873">
        <f t="shared" si="44"/>
        <v>0</v>
      </c>
      <c r="EK28" s="1873"/>
      <c r="EL28" s="1873"/>
      <c r="EM28" s="1873">
        <f t="shared" si="45"/>
        <v>0</v>
      </c>
      <c r="EN28" s="1873"/>
      <c r="EO28" s="1873"/>
      <c r="EP28" s="1873">
        <f t="shared" si="46"/>
        <v>0</v>
      </c>
      <c r="EQ28" s="1873"/>
      <c r="ER28" s="1873"/>
      <c r="ES28" s="1873">
        <f t="shared" si="47"/>
        <v>0</v>
      </c>
      <c r="ET28" s="1870"/>
      <c r="EU28" s="1870"/>
      <c r="EV28" s="1870">
        <f t="shared" si="48"/>
        <v>0</v>
      </c>
      <c r="EW28" s="1870"/>
      <c r="EX28" s="1870"/>
      <c r="EY28" s="1870">
        <f t="shared" si="49"/>
        <v>0</v>
      </c>
      <c r="EZ28" s="1870"/>
      <c r="FA28" s="1870"/>
      <c r="FB28" s="1870">
        <f t="shared" si="50"/>
        <v>0</v>
      </c>
      <c r="FC28" s="1872"/>
      <c r="FD28" s="1873"/>
      <c r="FE28" s="1873">
        <f t="shared" si="51"/>
        <v>0</v>
      </c>
      <c r="FF28" s="1846"/>
      <c r="FG28" s="1846"/>
      <c r="FH28" s="1846">
        <f t="shared" si="52"/>
        <v>0</v>
      </c>
      <c r="FI28" s="1870"/>
      <c r="FJ28" s="1870"/>
      <c r="FK28" s="1870">
        <f t="shared" si="53"/>
        <v>0</v>
      </c>
      <c r="FL28" s="1847"/>
      <c r="FM28" s="1848"/>
      <c r="FN28" s="1848">
        <f t="shared" si="54"/>
        <v>0</v>
      </c>
      <c r="FO28" s="1870"/>
      <c r="FP28" s="1870"/>
      <c r="FQ28" s="1870">
        <f t="shared" si="55"/>
        <v>0</v>
      </c>
      <c r="FR28" s="1851"/>
      <c r="FS28" s="1873"/>
      <c r="FT28" s="1873">
        <f t="shared" si="56"/>
        <v>0</v>
      </c>
      <c r="FU28" s="1873"/>
      <c r="FV28" s="1873"/>
      <c r="FW28" s="1873">
        <f t="shared" si="57"/>
        <v>0</v>
      </c>
      <c r="FX28" s="1873"/>
      <c r="FY28" s="1873"/>
      <c r="FZ28" s="1873">
        <f t="shared" si="58"/>
        <v>0</v>
      </c>
      <c r="GA28" s="1873"/>
      <c r="GB28" s="1873"/>
      <c r="GC28" s="1873">
        <f t="shared" si="59"/>
        <v>0</v>
      </c>
      <c r="GD28" s="1870"/>
      <c r="GE28" s="1870"/>
      <c r="GF28" s="1870">
        <f t="shared" si="60"/>
        <v>0</v>
      </c>
      <c r="GG28" s="1870"/>
      <c r="GH28" s="1870"/>
      <c r="GI28" s="1870">
        <f t="shared" si="61"/>
        <v>0</v>
      </c>
      <c r="GJ28" s="1870"/>
      <c r="GK28" s="1870"/>
      <c r="GL28" s="1870">
        <f t="shared" si="62"/>
        <v>0</v>
      </c>
      <c r="GM28" s="1872"/>
      <c r="GN28" s="1873"/>
      <c r="GO28" s="1873">
        <f t="shared" si="63"/>
        <v>0</v>
      </c>
      <c r="GP28" s="1846"/>
      <c r="GQ28" s="1846"/>
      <c r="GR28" s="1846">
        <f t="shared" si="64"/>
        <v>0</v>
      </c>
      <c r="GS28" s="1870"/>
      <c r="GT28" s="1870"/>
      <c r="GU28" s="1870">
        <f t="shared" si="65"/>
        <v>0</v>
      </c>
      <c r="GV28" s="1847"/>
      <c r="GW28" s="1848"/>
      <c r="GX28" s="1848">
        <f t="shared" si="66"/>
        <v>0</v>
      </c>
      <c r="GY28" s="1870"/>
      <c r="GZ28" s="1870"/>
      <c r="HA28" s="1870">
        <f t="shared" si="67"/>
        <v>0</v>
      </c>
      <c r="HB28" s="1851"/>
      <c r="HC28" s="1873"/>
      <c r="HD28" s="1873">
        <f t="shared" si="68"/>
        <v>0</v>
      </c>
      <c r="HE28" s="1873"/>
      <c r="HF28" s="1873"/>
      <c r="HG28" s="1873">
        <f t="shared" si="69"/>
        <v>0</v>
      </c>
      <c r="HH28" s="1873"/>
      <c r="HI28" s="1873"/>
      <c r="HJ28" s="1873">
        <f t="shared" si="70"/>
        <v>0</v>
      </c>
      <c r="HK28" s="1873"/>
      <c r="HL28" s="1873"/>
      <c r="HM28" s="1873">
        <f t="shared" si="71"/>
        <v>0</v>
      </c>
      <c r="HN28" s="1870"/>
      <c r="HO28" s="1870"/>
      <c r="HP28" s="1870">
        <f t="shared" si="72"/>
        <v>0</v>
      </c>
      <c r="HQ28" s="1870"/>
      <c r="HR28" s="1870"/>
      <c r="HS28" s="1870">
        <f t="shared" si="73"/>
        <v>0</v>
      </c>
      <c r="HT28" s="1870"/>
      <c r="HU28" s="1870"/>
      <c r="HV28" s="1870">
        <f t="shared" si="74"/>
        <v>0</v>
      </c>
      <c r="HW28" s="1874"/>
      <c r="HX28" s="1875"/>
      <c r="HY28" s="1873">
        <f t="shared" si="75"/>
        <v>0</v>
      </c>
      <c r="HZ28" s="1846"/>
      <c r="IA28" s="1846"/>
      <c r="IB28" s="1846">
        <f t="shared" si="76"/>
        <v>0</v>
      </c>
      <c r="IC28" s="1870"/>
      <c r="ID28" s="1870"/>
      <c r="IE28" s="1870">
        <f t="shared" si="77"/>
        <v>0</v>
      </c>
      <c r="IF28" s="1847"/>
      <c r="IG28" s="1848"/>
      <c r="IH28" s="1848">
        <f t="shared" si="78"/>
        <v>0</v>
      </c>
      <c r="II28" s="1811"/>
      <c r="IJ28" s="1811"/>
      <c r="IK28" s="1811">
        <f t="shared" si="79"/>
        <v>0</v>
      </c>
      <c r="IL28" s="1811"/>
    </row>
    <row r="29" spans="1:246" hidden="1">
      <c r="A29" s="1933" t="s">
        <v>1594</v>
      </c>
      <c r="B29" s="1870">
        <v>907</v>
      </c>
      <c r="C29" s="1870">
        <v>397</v>
      </c>
      <c r="D29" s="1870">
        <f t="shared" si="0"/>
        <v>1304</v>
      </c>
      <c r="E29" s="1871">
        <v>952</v>
      </c>
      <c r="F29" s="1871">
        <v>392</v>
      </c>
      <c r="G29" s="1871">
        <f t="shared" si="1"/>
        <v>1344</v>
      </c>
      <c r="H29" s="1876">
        <v>970</v>
      </c>
      <c r="I29" s="1876">
        <v>443</v>
      </c>
      <c r="J29" s="1871">
        <f t="shared" si="2"/>
        <v>1413</v>
      </c>
      <c r="K29" s="1843">
        <v>1029</v>
      </c>
      <c r="L29" s="1843">
        <v>466</v>
      </c>
      <c r="M29" s="1843">
        <f t="shared" si="3"/>
        <v>1495</v>
      </c>
      <c r="N29" s="1855">
        <v>1031</v>
      </c>
      <c r="O29" s="1855">
        <v>482</v>
      </c>
      <c r="P29" s="1844">
        <f t="shared" si="4"/>
        <v>1513</v>
      </c>
      <c r="Q29" s="1870">
        <v>981</v>
      </c>
      <c r="R29" s="1870">
        <v>474</v>
      </c>
      <c r="S29" s="1870">
        <f t="shared" si="5"/>
        <v>1455</v>
      </c>
      <c r="T29" s="1870">
        <v>1040</v>
      </c>
      <c r="U29" s="1870">
        <v>495</v>
      </c>
      <c r="V29" s="1870">
        <f t="shared" si="6"/>
        <v>1535</v>
      </c>
      <c r="W29" s="1843">
        <v>1037</v>
      </c>
      <c r="X29" s="1843">
        <v>489</v>
      </c>
      <c r="Y29" s="1843">
        <f t="shared" si="7"/>
        <v>1526</v>
      </c>
      <c r="Z29" s="1843">
        <v>1052</v>
      </c>
      <c r="AA29" s="1843">
        <v>519</v>
      </c>
      <c r="AB29" s="1843">
        <f t="shared" si="8"/>
        <v>1571</v>
      </c>
      <c r="AC29" s="1845">
        <v>1091</v>
      </c>
      <c r="AD29" s="1845">
        <v>557</v>
      </c>
      <c r="AE29" s="1845">
        <f t="shared" si="9"/>
        <v>1648</v>
      </c>
      <c r="AF29" s="1856">
        <v>1076</v>
      </c>
      <c r="AG29" s="1856">
        <v>579</v>
      </c>
      <c r="AH29" s="1846">
        <f t="shared" si="10"/>
        <v>1655</v>
      </c>
      <c r="AI29" s="1856">
        <v>1134</v>
      </c>
      <c r="AJ29" s="1856">
        <v>547</v>
      </c>
      <c r="AK29" s="1846">
        <f t="shared" si="11"/>
        <v>1681</v>
      </c>
      <c r="AL29" s="1870">
        <v>1182</v>
      </c>
      <c r="AM29" s="1870">
        <v>574</v>
      </c>
      <c r="AN29" s="1870">
        <f t="shared" si="12"/>
        <v>1756</v>
      </c>
      <c r="AO29" s="1856">
        <v>1161</v>
      </c>
      <c r="AP29" s="1856">
        <v>555</v>
      </c>
      <c r="AQ29" s="1846">
        <f t="shared" si="13"/>
        <v>1716</v>
      </c>
      <c r="AR29" s="1856">
        <v>1075</v>
      </c>
      <c r="AS29" s="1856">
        <v>520</v>
      </c>
      <c r="AT29" s="1846">
        <f t="shared" si="14"/>
        <v>1595</v>
      </c>
      <c r="AU29" s="1856">
        <v>980</v>
      </c>
      <c r="AV29" s="1856">
        <v>502</v>
      </c>
      <c r="AW29" s="1846">
        <f t="shared" si="15"/>
        <v>1482</v>
      </c>
      <c r="AX29" s="1856">
        <v>1001</v>
      </c>
      <c r="AY29" s="1856">
        <v>500</v>
      </c>
      <c r="AZ29" s="1846">
        <f t="shared" si="16"/>
        <v>1501</v>
      </c>
      <c r="BA29" s="1870">
        <v>995</v>
      </c>
      <c r="BB29" s="1870">
        <v>496</v>
      </c>
      <c r="BC29" s="1870">
        <f t="shared" si="17"/>
        <v>1491</v>
      </c>
      <c r="BD29" s="1847">
        <v>1036</v>
      </c>
      <c r="BE29" s="1848">
        <v>529</v>
      </c>
      <c r="BF29" s="1848">
        <f t="shared" si="18"/>
        <v>1565</v>
      </c>
      <c r="BG29" s="1870">
        <v>1038</v>
      </c>
      <c r="BH29" s="1870">
        <v>556</v>
      </c>
      <c r="BI29" s="1870">
        <f t="shared" si="19"/>
        <v>1594</v>
      </c>
      <c r="BJ29" s="1872">
        <v>924</v>
      </c>
      <c r="BK29" s="1873">
        <v>465</v>
      </c>
      <c r="BL29" s="1873">
        <f t="shared" si="20"/>
        <v>1389</v>
      </c>
      <c r="BM29" s="1873">
        <v>938</v>
      </c>
      <c r="BN29" s="1873">
        <v>497</v>
      </c>
      <c r="BO29" s="1873">
        <f t="shared" si="21"/>
        <v>1435</v>
      </c>
      <c r="BP29" s="1873">
        <v>908</v>
      </c>
      <c r="BQ29" s="1873">
        <v>484</v>
      </c>
      <c r="BR29" s="1873">
        <f t="shared" si="22"/>
        <v>1392</v>
      </c>
      <c r="BS29" s="1873">
        <v>1687</v>
      </c>
      <c r="BT29" s="1873">
        <v>533</v>
      </c>
      <c r="BU29" s="1873">
        <f t="shared" si="23"/>
        <v>2220</v>
      </c>
      <c r="BV29" s="1870">
        <v>1013</v>
      </c>
      <c r="BW29" s="1870">
        <v>528</v>
      </c>
      <c r="BX29" s="1870">
        <f t="shared" si="24"/>
        <v>1541</v>
      </c>
      <c r="BY29" s="1870">
        <v>1700</v>
      </c>
      <c r="BZ29" s="1870">
        <v>540</v>
      </c>
      <c r="CA29" s="1870">
        <v>1793</v>
      </c>
      <c r="CB29" s="1870">
        <v>508</v>
      </c>
      <c r="CC29" s="1870">
        <f t="shared" si="25"/>
        <v>2301</v>
      </c>
      <c r="CD29" s="1870">
        <v>1218</v>
      </c>
      <c r="CE29" s="1870">
        <v>503</v>
      </c>
      <c r="CF29" s="1870">
        <f t="shared" si="26"/>
        <v>1721</v>
      </c>
      <c r="CG29" s="1872">
        <v>1214</v>
      </c>
      <c r="CH29" s="1873">
        <v>643</v>
      </c>
      <c r="CI29" s="1873">
        <f t="shared" si="27"/>
        <v>1857</v>
      </c>
      <c r="CJ29" s="1870">
        <v>1103</v>
      </c>
      <c r="CK29" s="1870">
        <v>500</v>
      </c>
      <c r="CL29" s="1856">
        <v>884</v>
      </c>
      <c r="CM29" s="1856">
        <v>513</v>
      </c>
      <c r="CN29" s="1846">
        <f t="shared" si="28"/>
        <v>1397</v>
      </c>
      <c r="CO29" s="1870">
        <v>1411</v>
      </c>
      <c r="CP29" s="1870">
        <v>543</v>
      </c>
      <c r="CQ29" s="1870">
        <f t="shared" si="29"/>
        <v>1954</v>
      </c>
      <c r="CR29" s="1847">
        <v>1005</v>
      </c>
      <c r="CS29" s="1848">
        <v>499</v>
      </c>
      <c r="CT29" s="1848">
        <f t="shared" si="30"/>
        <v>1504</v>
      </c>
      <c r="CU29" s="1870">
        <v>1173</v>
      </c>
      <c r="CV29" s="1870">
        <v>538</v>
      </c>
      <c r="CW29" s="1870">
        <f t="shared" si="31"/>
        <v>1711</v>
      </c>
      <c r="CX29" s="1872">
        <v>1316</v>
      </c>
      <c r="CY29" s="1873">
        <v>531</v>
      </c>
      <c r="CZ29" s="1873">
        <f t="shared" si="32"/>
        <v>1847</v>
      </c>
      <c r="DA29" s="1873">
        <v>1103</v>
      </c>
      <c r="DB29" s="1873">
        <v>509</v>
      </c>
      <c r="DC29" s="1873">
        <f t="shared" si="33"/>
        <v>1612</v>
      </c>
      <c r="DD29" s="1873">
        <v>1100</v>
      </c>
      <c r="DE29" s="1873">
        <v>533</v>
      </c>
      <c r="DF29" s="1873">
        <f t="shared" si="34"/>
        <v>1633</v>
      </c>
      <c r="DG29" s="1873">
        <v>1083</v>
      </c>
      <c r="DH29" s="1873">
        <v>513</v>
      </c>
      <c r="DI29" s="1873">
        <f t="shared" si="35"/>
        <v>1596</v>
      </c>
      <c r="DJ29" s="1870">
        <v>1034</v>
      </c>
      <c r="DK29" s="1870">
        <v>488</v>
      </c>
      <c r="DL29" s="1870">
        <f t="shared" si="36"/>
        <v>1522</v>
      </c>
      <c r="DM29" s="1870">
        <v>1015</v>
      </c>
      <c r="DN29" s="1870">
        <v>472</v>
      </c>
      <c r="DO29" s="1870">
        <f t="shared" si="37"/>
        <v>1487</v>
      </c>
      <c r="DP29" s="1870">
        <v>983</v>
      </c>
      <c r="DQ29" s="1870">
        <v>452</v>
      </c>
      <c r="DR29" s="1870">
        <f t="shared" si="38"/>
        <v>1435</v>
      </c>
      <c r="DS29" s="1872"/>
      <c r="DT29" s="1873"/>
      <c r="DU29" s="1873">
        <f t="shared" si="39"/>
        <v>0</v>
      </c>
      <c r="DV29" s="1856"/>
      <c r="DW29" s="1856"/>
      <c r="DX29" s="1846">
        <f t="shared" si="40"/>
        <v>0</v>
      </c>
      <c r="DY29" s="1870"/>
      <c r="DZ29" s="1870"/>
      <c r="EA29" s="1870">
        <f t="shared" si="41"/>
        <v>0</v>
      </c>
      <c r="EB29" s="1847"/>
      <c r="EC29" s="1848"/>
      <c r="ED29" s="1848">
        <f t="shared" si="42"/>
        <v>0</v>
      </c>
      <c r="EE29" s="1870"/>
      <c r="EF29" s="1870"/>
      <c r="EG29" s="1870">
        <f t="shared" si="43"/>
        <v>0</v>
      </c>
      <c r="EH29" s="1872"/>
      <c r="EI29" s="1873"/>
      <c r="EJ29" s="1873">
        <f t="shared" si="44"/>
        <v>0</v>
      </c>
      <c r="EK29" s="1873"/>
      <c r="EL29" s="1873"/>
      <c r="EM29" s="1873">
        <f t="shared" si="45"/>
        <v>0</v>
      </c>
      <c r="EN29" s="1873"/>
      <c r="EO29" s="1873"/>
      <c r="EP29" s="1873">
        <f t="shared" si="46"/>
        <v>0</v>
      </c>
      <c r="EQ29" s="1873"/>
      <c r="ER29" s="1873"/>
      <c r="ES29" s="1873">
        <f t="shared" si="47"/>
        <v>0</v>
      </c>
      <c r="ET29" s="1870"/>
      <c r="EU29" s="1870"/>
      <c r="EV29" s="1870">
        <f t="shared" si="48"/>
        <v>0</v>
      </c>
      <c r="EW29" s="1870"/>
      <c r="EX29" s="1870"/>
      <c r="EY29" s="1870">
        <f t="shared" si="49"/>
        <v>0</v>
      </c>
      <c r="EZ29" s="1870"/>
      <c r="FA29" s="1870"/>
      <c r="FB29" s="1870">
        <f t="shared" si="50"/>
        <v>0</v>
      </c>
      <c r="FC29" s="1872"/>
      <c r="FD29" s="1873"/>
      <c r="FE29" s="1873">
        <f t="shared" si="51"/>
        <v>0</v>
      </c>
      <c r="FF29" s="1856"/>
      <c r="FG29" s="1856"/>
      <c r="FH29" s="1846">
        <f t="shared" si="52"/>
        <v>0</v>
      </c>
      <c r="FI29" s="1870"/>
      <c r="FJ29" s="1870"/>
      <c r="FK29" s="1870">
        <f t="shared" si="53"/>
        <v>0</v>
      </c>
      <c r="FL29" s="1847"/>
      <c r="FM29" s="1848"/>
      <c r="FN29" s="1848">
        <f t="shared" si="54"/>
        <v>0</v>
      </c>
      <c r="FO29" s="1870"/>
      <c r="FP29" s="1870"/>
      <c r="FQ29" s="1870">
        <f t="shared" si="55"/>
        <v>0</v>
      </c>
      <c r="FR29" s="1851"/>
      <c r="FS29" s="1873"/>
      <c r="FT29" s="1873">
        <f t="shared" si="56"/>
        <v>0</v>
      </c>
      <c r="FU29" s="1873"/>
      <c r="FV29" s="1873"/>
      <c r="FW29" s="1873">
        <f t="shared" si="57"/>
        <v>0</v>
      </c>
      <c r="FX29" s="1873"/>
      <c r="FY29" s="1873"/>
      <c r="FZ29" s="1873">
        <f t="shared" si="58"/>
        <v>0</v>
      </c>
      <c r="GA29" s="1873"/>
      <c r="GB29" s="1873"/>
      <c r="GC29" s="1873">
        <f t="shared" si="59"/>
        <v>0</v>
      </c>
      <c r="GD29" s="1870"/>
      <c r="GE29" s="1870"/>
      <c r="GF29" s="1870">
        <f t="shared" si="60"/>
        <v>0</v>
      </c>
      <c r="GG29" s="1870"/>
      <c r="GH29" s="1870"/>
      <c r="GI29" s="1870">
        <f t="shared" si="61"/>
        <v>0</v>
      </c>
      <c r="GJ29" s="1870"/>
      <c r="GK29" s="1870"/>
      <c r="GL29" s="1870">
        <f t="shared" si="62"/>
        <v>0</v>
      </c>
      <c r="GM29" s="1872"/>
      <c r="GN29" s="1873"/>
      <c r="GO29" s="1873">
        <f t="shared" si="63"/>
        <v>0</v>
      </c>
      <c r="GP29" s="1856"/>
      <c r="GQ29" s="1856"/>
      <c r="GR29" s="1846">
        <f t="shared" si="64"/>
        <v>0</v>
      </c>
      <c r="GS29" s="1870"/>
      <c r="GT29" s="1870"/>
      <c r="GU29" s="1870">
        <f t="shared" si="65"/>
        <v>0</v>
      </c>
      <c r="GV29" s="1847"/>
      <c r="GW29" s="1848"/>
      <c r="GX29" s="1848">
        <f t="shared" si="66"/>
        <v>0</v>
      </c>
      <c r="GY29" s="1870"/>
      <c r="GZ29" s="1870"/>
      <c r="HA29" s="1870">
        <f t="shared" si="67"/>
        <v>0</v>
      </c>
      <c r="HB29" s="1851"/>
      <c r="HC29" s="1873"/>
      <c r="HD29" s="1873">
        <f t="shared" si="68"/>
        <v>0</v>
      </c>
      <c r="HE29" s="1873"/>
      <c r="HF29" s="1873"/>
      <c r="HG29" s="1873">
        <f t="shared" si="69"/>
        <v>0</v>
      </c>
      <c r="HH29" s="1873"/>
      <c r="HI29" s="1873"/>
      <c r="HJ29" s="1873">
        <f t="shared" si="70"/>
        <v>0</v>
      </c>
      <c r="HK29" s="1873"/>
      <c r="HL29" s="1873"/>
      <c r="HM29" s="1873">
        <f t="shared" si="71"/>
        <v>0</v>
      </c>
      <c r="HN29" s="1870"/>
      <c r="HO29" s="1870"/>
      <c r="HP29" s="1870">
        <f t="shared" si="72"/>
        <v>0</v>
      </c>
      <c r="HQ29" s="1870"/>
      <c r="HR29" s="1870"/>
      <c r="HS29" s="1870">
        <f t="shared" si="73"/>
        <v>0</v>
      </c>
      <c r="HT29" s="1870"/>
      <c r="HU29" s="1870"/>
      <c r="HV29" s="1870">
        <f t="shared" si="74"/>
        <v>0</v>
      </c>
      <c r="HW29" s="1874"/>
      <c r="HX29" s="1875"/>
      <c r="HY29" s="1873">
        <f t="shared" si="75"/>
        <v>0</v>
      </c>
      <c r="HZ29" s="1856"/>
      <c r="IA29" s="1856"/>
      <c r="IB29" s="1846">
        <f t="shared" si="76"/>
        <v>0</v>
      </c>
      <c r="IC29" s="1870"/>
      <c r="ID29" s="1870"/>
      <c r="IE29" s="1870">
        <f t="shared" si="77"/>
        <v>0</v>
      </c>
      <c r="IF29" s="1847"/>
      <c r="IG29" s="1848"/>
      <c r="IH29" s="1848">
        <f t="shared" si="78"/>
        <v>0</v>
      </c>
      <c r="II29" s="1811"/>
      <c r="IJ29" s="1811"/>
      <c r="IK29" s="1811">
        <f t="shared" si="79"/>
        <v>0</v>
      </c>
      <c r="IL29" s="1811"/>
    </row>
    <row r="30" spans="1:246" hidden="1">
      <c r="A30" s="1933" t="s">
        <v>1595</v>
      </c>
      <c r="B30" s="1870">
        <v>1934</v>
      </c>
      <c r="C30" s="1870">
        <v>381</v>
      </c>
      <c r="D30" s="1870">
        <f t="shared" si="0"/>
        <v>2315</v>
      </c>
      <c r="E30" s="1871">
        <v>3922</v>
      </c>
      <c r="F30" s="1871">
        <v>697</v>
      </c>
      <c r="G30" s="1871">
        <f t="shared" si="1"/>
        <v>4619</v>
      </c>
      <c r="H30" s="1871">
        <v>4113</v>
      </c>
      <c r="I30" s="1871">
        <v>1051</v>
      </c>
      <c r="J30" s="1871">
        <f t="shared" si="2"/>
        <v>5164</v>
      </c>
      <c r="K30" s="1843">
        <v>2392</v>
      </c>
      <c r="L30" s="1843">
        <v>902</v>
      </c>
      <c r="M30" s="1843">
        <f t="shared" si="3"/>
        <v>3294</v>
      </c>
      <c r="N30" s="1844">
        <v>6030</v>
      </c>
      <c r="O30" s="1844">
        <v>1603</v>
      </c>
      <c r="P30" s="1844">
        <f t="shared" si="4"/>
        <v>7633</v>
      </c>
      <c r="Q30" s="1870">
        <v>4111</v>
      </c>
      <c r="R30" s="1870">
        <v>1495</v>
      </c>
      <c r="S30" s="1870">
        <f t="shared" si="5"/>
        <v>5606</v>
      </c>
      <c r="T30" s="1870">
        <v>4302</v>
      </c>
      <c r="U30" s="1870">
        <v>1593</v>
      </c>
      <c r="V30" s="1870">
        <f t="shared" si="6"/>
        <v>5895</v>
      </c>
      <c r="W30" s="1843">
        <v>4274</v>
      </c>
      <c r="X30" s="1843">
        <v>1599</v>
      </c>
      <c r="Y30" s="1843">
        <f t="shared" si="7"/>
        <v>5873</v>
      </c>
      <c r="Z30" s="1843">
        <v>4666</v>
      </c>
      <c r="AA30" s="1843">
        <v>1986</v>
      </c>
      <c r="AB30" s="1843">
        <f t="shared" si="8"/>
        <v>6652</v>
      </c>
      <c r="AC30" s="1845"/>
      <c r="AD30" s="1845"/>
      <c r="AE30" s="1845">
        <f t="shared" si="9"/>
        <v>0</v>
      </c>
      <c r="AF30" s="1857"/>
      <c r="AG30" s="1857"/>
      <c r="AH30" s="1846">
        <f t="shared" si="10"/>
        <v>0</v>
      </c>
      <c r="AI30" s="1856"/>
      <c r="AJ30" s="1856"/>
      <c r="AK30" s="1846">
        <f t="shared" si="11"/>
        <v>0</v>
      </c>
      <c r="AL30" s="1870"/>
      <c r="AM30" s="1870"/>
      <c r="AN30" s="1870">
        <f t="shared" si="12"/>
        <v>0</v>
      </c>
      <c r="AO30" s="1856"/>
      <c r="AP30" s="1856"/>
      <c r="AQ30" s="1846">
        <f t="shared" si="13"/>
        <v>0</v>
      </c>
      <c r="AR30" s="1856"/>
      <c r="AS30" s="1856"/>
      <c r="AT30" s="1846">
        <f t="shared" si="14"/>
        <v>0</v>
      </c>
      <c r="AU30" s="1856"/>
      <c r="AV30" s="1856"/>
      <c r="AW30" s="1846">
        <f t="shared" si="15"/>
        <v>0</v>
      </c>
      <c r="AX30" s="1856"/>
      <c r="AY30" s="1856"/>
      <c r="AZ30" s="1846">
        <f t="shared" si="16"/>
        <v>0</v>
      </c>
      <c r="BA30" s="1870"/>
      <c r="BB30" s="1870"/>
      <c r="BC30" s="1870">
        <f t="shared" si="17"/>
        <v>0</v>
      </c>
      <c r="BD30" s="1858"/>
      <c r="BE30" s="1859"/>
      <c r="BF30" s="1848">
        <f t="shared" si="18"/>
        <v>0</v>
      </c>
      <c r="BG30" s="1870"/>
      <c r="BH30" s="1870"/>
      <c r="BI30" s="1870">
        <f t="shared" si="19"/>
        <v>0</v>
      </c>
      <c r="BJ30" s="1872"/>
      <c r="BK30" s="1873"/>
      <c r="BL30" s="1873">
        <f t="shared" si="20"/>
        <v>0</v>
      </c>
      <c r="BM30" s="1873"/>
      <c r="BN30" s="1873"/>
      <c r="BO30" s="1873">
        <f t="shared" si="21"/>
        <v>0</v>
      </c>
      <c r="BP30" s="1873"/>
      <c r="BQ30" s="1873"/>
      <c r="BR30" s="1873">
        <f t="shared" si="22"/>
        <v>0</v>
      </c>
      <c r="BS30" s="1873"/>
      <c r="BT30" s="1873"/>
      <c r="BU30" s="1873">
        <f t="shared" si="23"/>
        <v>0</v>
      </c>
      <c r="BV30" s="1870"/>
      <c r="BW30" s="1870"/>
      <c r="BX30" s="1870">
        <f t="shared" si="24"/>
        <v>0</v>
      </c>
      <c r="BY30" s="1870"/>
      <c r="BZ30" s="1870"/>
      <c r="CA30" s="1870"/>
      <c r="CB30" s="1870"/>
      <c r="CC30" s="1870">
        <f t="shared" si="25"/>
        <v>0</v>
      </c>
      <c r="CD30" s="1870"/>
      <c r="CE30" s="1870"/>
      <c r="CF30" s="1870">
        <f t="shared" si="26"/>
        <v>0</v>
      </c>
      <c r="CG30" s="1872"/>
      <c r="CH30" s="1873"/>
      <c r="CI30" s="1873">
        <f t="shared" si="27"/>
        <v>0</v>
      </c>
      <c r="CJ30" s="1870"/>
      <c r="CK30" s="1870"/>
      <c r="CL30" s="1856"/>
      <c r="CM30" s="1856"/>
      <c r="CN30" s="1846">
        <f t="shared" si="28"/>
        <v>0</v>
      </c>
      <c r="CO30" s="1870"/>
      <c r="CP30" s="1870"/>
      <c r="CQ30" s="1870">
        <f t="shared" si="29"/>
        <v>0</v>
      </c>
      <c r="CR30" s="1858"/>
      <c r="CS30" s="1859"/>
      <c r="CT30" s="1848">
        <f t="shared" si="30"/>
        <v>0</v>
      </c>
      <c r="CU30" s="1870"/>
      <c r="CV30" s="1870"/>
      <c r="CW30" s="1870">
        <f t="shared" si="31"/>
        <v>0</v>
      </c>
      <c r="CX30" s="1872"/>
      <c r="CY30" s="1873"/>
      <c r="CZ30" s="1873">
        <f t="shared" si="32"/>
        <v>0</v>
      </c>
      <c r="DA30" s="1873"/>
      <c r="DB30" s="1873"/>
      <c r="DC30" s="1873">
        <f t="shared" si="33"/>
        <v>0</v>
      </c>
      <c r="DD30" s="1873"/>
      <c r="DE30" s="1873"/>
      <c r="DF30" s="1873">
        <f t="shared" si="34"/>
        <v>0</v>
      </c>
      <c r="DG30" s="1873"/>
      <c r="DH30" s="1873"/>
      <c r="DI30" s="1873">
        <f t="shared" si="35"/>
        <v>0</v>
      </c>
      <c r="DJ30" s="1870"/>
      <c r="DK30" s="1870"/>
      <c r="DL30" s="1870">
        <f t="shared" si="36"/>
        <v>0</v>
      </c>
      <c r="DM30" s="1870"/>
      <c r="DN30" s="1870"/>
      <c r="DO30" s="1870">
        <f t="shared" si="37"/>
        <v>0</v>
      </c>
      <c r="DP30" s="1870"/>
      <c r="DQ30" s="1870"/>
      <c r="DR30" s="1870">
        <f t="shared" si="38"/>
        <v>0</v>
      </c>
      <c r="DS30" s="1872"/>
      <c r="DT30" s="1873"/>
      <c r="DU30" s="1873">
        <f t="shared" si="39"/>
        <v>0</v>
      </c>
      <c r="DV30" s="1856"/>
      <c r="DW30" s="1856"/>
      <c r="DX30" s="1846">
        <f t="shared" si="40"/>
        <v>0</v>
      </c>
      <c r="DY30" s="1870"/>
      <c r="DZ30" s="1870"/>
      <c r="EA30" s="1870">
        <f t="shared" si="41"/>
        <v>0</v>
      </c>
      <c r="EB30" s="1858"/>
      <c r="EC30" s="1859"/>
      <c r="ED30" s="1848">
        <f t="shared" si="42"/>
        <v>0</v>
      </c>
      <c r="EE30" s="1870"/>
      <c r="EF30" s="1870"/>
      <c r="EG30" s="1870">
        <f t="shared" si="43"/>
        <v>0</v>
      </c>
      <c r="EH30" s="1872"/>
      <c r="EI30" s="1873"/>
      <c r="EJ30" s="1873">
        <f t="shared" si="44"/>
        <v>0</v>
      </c>
      <c r="EK30" s="1873"/>
      <c r="EL30" s="1873"/>
      <c r="EM30" s="1873">
        <f t="shared" si="45"/>
        <v>0</v>
      </c>
      <c r="EN30" s="1873"/>
      <c r="EO30" s="1873"/>
      <c r="EP30" s="1873">
        <f t="shared" si="46"/>
        <v>0</v>
      </c>
      <c r="EQ30" s="1873"/>
      <c r="ER30" s="1873"/>
      <c r="ES30" s="1873">
        <f t="shared" si="47"/>
        <v>0</v>
      </c>
      <c r="ET30" s="1870"/>
      <c r="EU30" s="1870"/>
      <c r="EV30" s="1870">
        <f t="shared" si="48"/>
        <v>0</v>
      </c>
      <c r="EW30" s="1870"/>
      <c r="EX30" s="1870"/>
      <c r="EY30" s="1870">
        <f t="shared" si="49"/>
        <v>0</v>
      </c>
      <c r="EZ30" s="1870"/>
      <c r="FA30" s="1870"/>
      <c r="FB30" s="1870">
        <f t="shared" si="50"/>
        <v>0</v>
      </c>
      <c r="FC30" s="1872"/>
      <c r="FD30" s="1873"/>
      <c r="FE30" s="1873">
        <f t="shared" si="51"/>
        <v>0</v>
      </c>
      <c r="FF30" s="1856"/>
      <c r="FG30" s="1856"/>
      <c r="FH30" s="1846">
        <f t="shared" si="52"/>
        <v>0</v>
      </c>
      <c r="FI30" s="1870"/>
      <c r="FJ30" s="1870"/>
      <c r="FK30" s="1870">
        <f t="shared" si="53"/>
        <v>0</v>
      </c>
      <c r="FL30" s="1858"/>
      <c r="FM30" s="1859"/>
      <c r="FN30" s="1848">
        <f t="shared" si="54"/>
        <v>0</v>
      </c>
      <c r="FO30" s="1870"/>
      <c r="FP30" s="1870"/>
      <c r="FQ30" s="1870">
        <f t="shared" si="55"/>
        <v>0</v>
      </c>
      <c r="FR30" s="1851"/>
      <c r="FS30" s="1873"/>
      <c r="FT30" s="1873">
        <f t="shared" si="56"/>
        <v>0</v>
      </c>
      <c r="FU30" s="1873"/>
      <c r="FV30" s="1873"/>
      <c r="FW30" s="1873">
        <f t="shared" si="57"/>
        <v>0</v>
      </c>
      <c r="FX30" s="1873"/>
      <c r="FY30" s="1873"/>
      <c r="FZ30" s="1873">
        <f t="shared" si="58"/>
        <v>0</v>
      </c>
      <c r="GA30" s="1873"/>
      <c r="GB30" s="1873"/>
      <c r="GC30" s="1873">
        <f t="shared" si="59"/>
        <v>0</v>
      </c>
      <c r="GD30" s="1870"/>
      <c r="GE30" s="1870"/>
      <c r="GF30" s="1870">
        <f t="shared" si="60"/>
        <v>0</v>
      </c>
      <c r="GG30" s="1870"/>
      <c r="GH30" s="1870"/>
      <c r="GI30" s="1870">
        <f t="shared" si="61"/>
        <v>0</v>
      </c>
      <c r="GJ30" s="1870"/>
      <c r="GK30" s="1870"/>
      <c r="GL30" s="1870">
        <f t="shared" si="62"/>
        <v>0</v>
      </c>
      <c r="GM30" s="1872"/>
      <c r="GN30" s="1873"/>
      <c r="GO30" s="1873">
        <f t="shared" si="63"/>
        <v>0</v>
      </c>
      <c r="GP30" s="1856"/>
      <c r="GQ30" s="1856"/>
      <c r="GR30" s="1846">
        <f t="shared" si="64"/>
        <v>0</v>
      </c>
      <c r="GS30" s="1870"/>
      <c r="GT30" s="1870"/>
      <c r="GU30" s="1870">
        <f t="shared" si="65"/>
        <v>0</v>
      </c>
      <c r="GV30" s="1858"/>
      <c r="GW30" s="1859"/>
      <c r="GX30" s="1848">
        <f t="shared" si="66"/>
        <v>0</v>
      </c>
      <c r="GY30" s="1870"/>
      <c r="GZ30" s="1870"/>
      <c r="HA30" s="1870">
        <f t="shared" si="67"/>
        <v>0</v>
      </c>
      <c r="HB30" s="1851"/>
      <c r="HC30" s="1873"/>
      <c r="HD30" s="1873">
        <f t="shared" si="68"/>
        <v>0</v>
      </c>
      <c r="HE30" s="1873"/>
      <c r="HF30" s="1873"/>
      <c r="HG30" s="1873">
        <f t="shared" si="69"/>
        <v>0</v>
      </c>
      <c r="HH30" s="1873"/>
      <c r="HI30" s="1873"/>
      <c r="HJ30" s="1873">
        <f t="shared" si="70"/>
        <v>0</v>
      </c>
      <c r="HK30" s="1873"/>
      <c r="HL30" s="1873"/>
      <c r="HM30" s="1873">
        <f t="shared" si="71"/>
        <v>0</v>
      </c>
      <c r="HN30" s="1870"/>
      <c r="HO30" s="1870"/>
      <c r="HP30" s="1870">
        <f t="shared" si="72"/>
        <v>0</v>
      </c>
      <c r="HQ30" s="1870"/>
      <c r="HR30" s="1870"/>
      <c r="HS30" s="1870">
        <f t="shared" si="73"/>
        <v>0</v>
      </c>
      <c r="HT30" s="1870"/>
      <c r="HU30" s="1870"/>
      <c r="HV30" s="1870">
        <f t="shared" si="74"/>
        <v>0</v>
      </c>
      <c r="HW30" s="1874"/>
      <c r="HX30" s="1875"/>
      <c r="HY30" s="1873">
        <f t="shared" si="75"/>
        <v>0</v>
      </c>
      <c r="HZ30" s="1856"/>
      <c r="IA30" s="1856"/>
      <c r="IB30" s="1846">
        <f t="shared" si="76"/>
        <v>0</v>
      </c>
      <c r="IC30" s="1870"/>
      <c r="ID30" s="1870"/>
      <c r="IE30" s="1870">
        <f t="shared" si="77"/>
        <v>0</v>
      </c>
      <c r="IF30" s="1858"/>
      <c r="IG30" s="1859"/>
      <c r="IH30" s="1848">
        <f t="shared" si="78"/>
        <v>0</v>
      </c>
      <c r="II30" s="1811"/>
      <c r="IJ30" s="1811"/>
      <c r="IK30" s="1811">
        <f t="shared" si="79"/>
        <v>0</v>
      </c>
      <c r="IL30" s="1811"/>
    </row>
    <row r="31" spans="1:246" ht="15.75" hidden="1" thickBot="1">
      <c r="A31" s="1933" t="s">
        <v>1597</v>
      </c>
      <c r="B31" s="1870">
        <v>601</v>
      </c>
      <c r="C31" s="1870">
        <v>327</v>
      </c>
      <c r="D31" s="1870">
        <f t="shared" si="0"/>
        <v>928</v>
      </c>
      <c r="E31" s="1871">
        <v>664</v>
      </c>
      <c r="F31" s="1871">
        <v>404</v>
      </c>
      <c r="G31" s="1871">
        <f t="shared" si="1"/>
        <v>1068</v>
      </c>
      <c r="H31" s="1876">
        <v>672</v>
      </c>
      <c r="I31" s="1876">
        <v>435</v>
      </c>
      <c r="J31" s="1871">
        <f t="shared" si="2"/>
        <v>1107</v>
      </c>
      <c r="K31" s="1843">
        <v>680</v>
      </c>
      <c r="L31" s="1843">
        <v>437</v>
      </c>
      <c r="M31" s="1843">
        <f t="shared" si="3"/>
        <v>1117</v>
      </c>
      <c r="N31" s="1855">
        <v>675</v>
      </c>
      <c r="O31" s="1855">
        <v>440</v>
      </c>
      <c r="P31" s="1844">
        <f t="shared" si="4"/>
        <v>1115</v>
      </c>
      <c r="Q31" s="1870">
        <v>725</v>
      </c>
      <c r="R31" s="1870">
        <v>481</v>
      </c>
      <c r="S31" s="1870">
        <f t="shared" si="5"/>
        <v>1206</v>
      </c>
      <c r="T31" s="1870">
        <v>769</v>
      </c>
      <c r="U31" s="1870">
        <v>505</v>
      </c>
      <c r="V31" s="1870">
        <f t="shared" si="6"/>
        <v>1274</v>
      </c>
      <c r="W31" s="1843">
        <v>779</v>
      </c>
      <c r="X31" s="1843">
        <v>519</v>
      </c>
      <c r="Y31" s="1843">
        <f t="shared" si="7"/>
        <v>1298</v>
      </c>
      <c r="Z31" s="1843">
        <v>740</v>
      </c>
      <c r="AA31" s="1843">
        <v>548</v>
      </c>
      <c r="AB31" s="1843">
        <f t="shared" si="8"/>
        <v>1288</v>
      </c>
      <c r="AC31" s="1845">
        <v>817</v>
      </c>
      <c r="AD31" s="1845">
        <v>559</v>
      </c>
      <c r="AE31" s="1845">
        <f t="shared" si="9"/>
        <v>1376</v>
      </c>
      <c r="AF31" s="1856">
        <v>777</v>
      </c>
      <c r="AG31" s="1856">
        <v>564</v>
      </c>
      <c r="AH31" s="1846">
        <f t="shared" si="10"/>
        <v>1341</v>
      </c>
      <c r="AI31" s="1856">
        <v>810</v>
      </c>
      <c r="AJ31" s="1856">
        <v>510</v>
      </c>
      <c r="AK31" s="1846">
        <f t="shared" si="11"/>
        <v>1320</v>
      </c>
      <c r="AL31" s="1870">
        <v>860</v>
      </c>
      <c r="AM31" s="1870">
        <v>526</v>
      </c>
      <c r="AN31" s="1870">
        <f t="shared" si="12"/>
        <v>1386</v>
      </c>
      <c r="AO31" s="1856">
        <v>821</v>
      </c>
      <c r="AP31" s="1856">
        <v>539</v>
      </c>
      <c r="AQ31" s="1846">
        <f t="shared" si="13"/>
        <v>1360</v>
      </c>
      <c r="AR31" s="1856">
        <v>872</v>
      </c>
      <c r="AS31" s="1856">
        <v>611</v>
      </c>
      <c r="AT31" s="1846">
        <f t="shared" si="14"/>
        <v>1483</v>
      </c>
      <c r="AU31" s="1856">
        <v>946</v>
      </c>
      <c r="AV31" s="1856">
        <v>618</v>
      </c>
      <c r="AW31" s="1846">
        <f t="shared" si="15"/>
        <v>1564</v>
      </c>
      <c r="AX31" s="1856">
        <v>833</v>
      </c>
      <c r="AY31" s="1856">
        <v>626</v>
      </c>
      <c r="AZ31" s="1846">
        <f t="shared" si="16"/>
        <v>1459</v>
      </c>
      <c r="BA31" s="1870">
        <v>860</v>
      </c>
      <c r="BB31" s="1870">
        <v>657</v>
      </c>
      <c r="BC31" s="1870">
        <f t="shared" si="17"/>
        <v>1517</v>
      </c>
      <c r="BD31" s="1847">
        <v>836</v>
      </c>
      <c r="BE31" s="1848">
        <v>662</v>
      </c>
      <c r="BF31" s="1848">
        <f t="shared" si="18"/>
        <v>1498</v>
      </c>
      <c r="BG31" s="1870">
        <v>904</v>
      </c>
      <c r="BH31" s="1870">
        <v>735</v>
      </c>
      <c r="BI31" s="1870">
        <f t="shared" si="19"/>
        <v>1639</v>
      </c>
      <c r="BJ31" s="1872">
        <v>842</v>
      </c>
      <c r="BK31" s="1873">
        <v>681</v>
      </c>
      <c r="BL31" s="1873">
        <f t="shared" si="20"/>
        <v>1523</v>
      </c>
      <c r="BM31" s="1873">
        <v>843</v>
      </c>
      <c r="BN31" s="1873">
        <v>746</v>
      </c>
      <c r="BO31" s="1873">
        <f t="shared" si="21"/>
        <v>1589</v>
      </c>
      <c r="BP31" s="1873">
        <v>814</v>
      </c>
      <c r="BQ31" s="1873">
        <v>737</v>
      </c>
      <c r="BR31" s="1873">
        <f t="shared" si="22"/>
        <v>1551</v>
      </c>
      <c r="BS31" s="1873">
        <v>853</v>
      </c>
      <c r="BT31" s="1873">
        <v>769</v>
      </c>
      <c r="BU31" s="1873">
        <f t="shared" si="23"/>
        <v>1622</v>
      </c>
      <c r="BV31" s="1870">
        <v>820</v>
      </c>
      <c r="BW31" s="1870">
        <v>752</v>
      </c>
      <c r="BX31" s="1870">
        <f t="shared" si="24"/>
        <v>1572</v>
      </c>
      <c r="BY31" s="1870">
        <v>843</v>
      </c>
      <c r="BZ31" s="1870">
        <v>758</v>
      </c>
      <c r="CA31" s="1870">
        <v>840</v>
      </c>
      <c r="CB31" s="1870">
        <v>762</v>
      </c>
      <c r="CC31" s="1870">
        <f t="shared" si="25"/>
        <v>1602</v>
      </c>
      <c r="CD31" s="1870">
        <v>812</v>
      </c>
      <c r="CE31" s="1870">
        <v>767</v>
      </c>
      <c r="CF31" s="1870">
        <f t="shared" si="26"/>
        <v>1579</v>
      </c>
      <c r="CG31" s="1872">
        <v>771</v>
      </c>
      <c r="CH31" s="1873">
        <v>732</v>
      </c>
      <c r="CI31" s="1873">
        <f t="shared" si="27"/>
        <v>1503</v>
      </c>
      <c r="CJ31" s="1870">
        <v>767</v>
      </c>
      <c r="CK31" s="1870">
        <v>732</v>
      </c>
      <c r="CL31" s="1856">
        <v>761</v>
      </c>
      <c r="CM31" s="1856">
        <v>723</v>
      </c>
      <c r="CN31" s="1846">
        <f t="shared" si="28"/>
        <v>1484</v>
      </c>
      <c r="CO31" s="1870">
        <v>841</v>
      </c>
      <c r="CP31" s="1870">
        <v>733</v>
      </c>
      <c r="CQ31" s="1870">
        <f t="shared" si="29"/>
        <v>1574</v>
      </c>
      <c r="CR31" s="1847">
        <v>809</v>
      </c>
      <c r="CS31" s="1848">
        <v>743</v>
      </c>
      <c r="CT31" s="1848">
        <f t="shared" si="30"/>
        <v>1552</v>
      </c>
      <c r="CU31" s="1870">
        <v>811</v>
      </c>
      <c r="CV31" s="1870">
        <v>699</v>
      </c>
      <c r="CW31" s="1870">
        <f t="shared" si="31"/>
        <v>1510</v>
      </c>
      <c r="CX31" s="1872">
        <v>760</v>
      </c>
      <c r="CY31" s="1873">
        <v>677</v>
      </c>
      <c r="CZ31" s="1873">
        <f t="shared" si="32"/>
        <v>1437</v>
      </c>
      <c r="DA31" s="1873">
        <v>749</v>
      </c>
      <c r="DB31" s="1873">
        <v>692</v>
      </c>
      <c r="DC31" s="1873">
        <f t="shared" si="33"/>
        <v>1441</v>
      </c>
      <c r="DD31" s="1873">
        <v>770</v>
      </c>
      <c r="DE31" s="1873">
        <v>677</v>
      </c>
      <c r="DF31" s="1873">
        <f t="shared" si="34"/>
        <v>1447</v>
      </c>
      <c r="DG31" s="1873">
        <v>753</v>
      </c>
      <c r="DH31" s="1873">
        <v>675</v>
      </c>
      <c r="DI31" s="1873">
        <f t="shared" si="35"/>
        <v>1428</v>
      </c>
      <c r="DJ31" s="1870">
        <v>722</v>
      </c>
      <c r="DK31" s="1870">
        <v>676</v>
      </c>
      <c r="DL31" s="1870">
        <f t="shared" si="36"/>
        <v>1398</v>
      </c>
      <c r="DM31" s="1870">
        <v>728</v>
      </c>
      <c r="DN31" s="1870">
        <v>659</v>
      </c>
      <c r="DO31" s="1870">
        <f t="shared" si="37"/>
        <v>1387</v>
      </c>
      <c r="DP31" s="1870">
        <v>741</v>
      </c>
      <c r="DQ31" s="1870">
        <v>644</v>
      </c>
      <c r="DR31" s="1870">
        <f t="shared" si="38"/>
        <v>1385</v>
      </c>
      <c r="DS31" s="1872">
        <v>750</v>
      </c>
      <c r="DT31" s="1873">
        <v>638</v>
      </c>
      <c r="DU31" s="1873">
        <f t="shared" si="39"/>
        <v>1388</v>
      </c>
      <c r="DV31" s="1856">
        <v>697</v>
      </c>
      <c r="DW31" s="1856">
        <v>608</v>
      </c>
      <c r="DX31" s="1846">
        <f t="shared" si="40"/>
        <v>1305</v>
      </c>
      <c r="DY31" s="1870">
        <v>685</v>
      </c>
      <c r="DZ31" s="1870">
        <v>600</v>
      </c>
      <c r="EA31" s="1870">
        <f t="shared" si="41"/>
        <v>1285</v>
      </c>
      <c r="EB31" s="1847">
        <v>765</v>
      </c>
      <c r="EC31" s="1848">
        <v>613</v>
      </c>
      <c r="ED31" s="1848">
        <f t="shared" si="42"/>
        <v>1378</v>
      </c>
      <c r="EE31" s="1870">
        <v>692</v>
      </c>
      <c r="EF31" s="1870">
        <v>594</v>
      </c>
      <c r="EG31" s="1870">
        <f t="shared" si="43"/>
        <v>1286</v>
      </c>
      <c r="EH31" s="1872">
        <v>656</v>
      </c>
      <c r="EI31" s="1873">
        <v>602</v>
      </c>
      <c r="EJ31" s="1873">
        <f t="shared" si="44"/>
        <v>1258</v>
      </c>
      <c r="EK31" s="1873">
        <v>674</v>
      </c>
      <c r="EL31" s="1873">
        <v>617</v>
      </c>
      <c r="EM31" s="1873">
        <f t="shared" si="45"/>
        <v>1291</v>
      </c>
      <c r="EN31" s="1873">
        <v>642</v>
      </c>
      <c r="EO31" s="1873">
        <v>588</v>
      </c>
      <c r="EP31" s="1873">
        <f t="shared" si="46"/>
        <v>1230</v>
      </c>
      <c r="EQ31" s="1873">
        <v>644</v>
      </c>
      <c r="ER31" s="1873">
        <v>591</v>
      </c>
      <c r="ES31" s="1873">
        <f t="shared" si="47"/>
        <v>1235</v>
      </c>
      <c r="ET31" s="1870">
        <v>654</v>
      </c>
      <c r="EU31" s="1870">
        <v>614</v>
      </c>
      <c r="EV31" s="1870">
        <f t="shared" si="48"/>
        <v>1268</v>
      </c>
      <c r="EW31" s="1870">
        <v>638</v>
      </c>
      <c r="EX31" s="1870">
        <v>598</v>
      </c>
      <c r="EY31" s="1870">
        <f t="shared" si="49"/>
        <v>1236</v>
      </c>
      <c r="EZ31" s="1870">
        <v>595</v>
      </c>
      <c r="FA31" s="1870">
        <v>569</v>
      </c>
      <c r="FB31" s="1870">
        <f t="shared" si="50"/>
        <v>1164</v>
      </c>
      <c r="FC31" s="1872">
        <v>612</v>
      </c>
      <c r="FD31" s="1873">
        <v>594</v>
      </c>
      <c r="FE31" s="1873">
        <f t="shared" si="51"/>
        <v>1206</v>
      </c>
      <c r="FF31" s="1856">
        <v>594</v>
      </c>
      <c r="FG31" s="1856">
        <v>563</v>
      </c>
      <c r="FH31" s="1846">
        <f t="shared" si="52"/>
        <v>1157</v>
      </c>
      <c r="FI31" s="1870">
        <v>580</v>
      </c>
      <c r="FJ31" s="1870">
        <v>571</v>
      </c>
      <c r="FK31" s="1870">
        <f t="shared" si="53"/>
        <v>1151</v>
      </c>
      <c r="FL31" s="1847">
        <v>596</v>
      </c>
      <c r="FM31" s="1848">
        <v>573</v>
      </c>
      <c r="FN31" s="1848">
        <f t="shared" si="54"/>
        <v>1169</v>
      </c>
      <c r="FO31" s="1870">
        <v>591</v>
      </c>
      <c r="FP31" s="1870">
        <v>564</v>
      </c>
      <c r="FQ31" s="1870">
        <f t="shared" si="55"/>
        <v>1155</v>
      </c>
      <c r="FR31" s="1851">
        <v>602</v>
      </c>
      <c r="FS31" s="1873">
        <v>580</v>
      </c>
      <c r="FT31" s="1873">
        <f t="shared" si="56"/>
        <v>1182</v>
      </c>
      <c r="FU31" s="1873">
        <v>619</v>
      </c>
      <c r="FV31" s="1873">
        <v>591</v>
      </c>
      <c r="FW31" s="1873">
        <f t="shared" si="57"/>
        <v>1210</v>
      </c>
      <c r="FX31" s="1873">
        <v>603</v>
      </c>
      <c r="FY31" s="1873">
        <v>607</v>
      </c>
      <c r="FZ31" s="1873">
        <f t="shared" si="58"/>
        <v>1210</v>
      </c>
      <c r="GA31" s="1873">
        <v>585</v>
      </c>
      <c r="GB31" s="1873">
        <v>588</v>
      </c>
      <c r="GC31" s="1873">
        <f t="shared" si="59"/>
        <v>1173</v>
      </c>
      <c r="GD31" s="1870">
        <v>599</v>
      </c>
      <c r="GE31" s="1870">
        <v>611</v>
      </c>
      <c r="GF31" s="1870">
        <f t="shared" si="60"/>
        <v>1210</v>
      </c>
      <c r="GG31" s="1870">
        <v>608</v>
      </c>
      <c r="GH31" s="1870">
        <v>615</v>
      </c>
      <c r="GI31" s="1870">
        <f t="shared" si="61"/>
        <v>1223</v>
      </c>
      <c r="GJ31" s="1870">
        <v>576</v>
      </c>
      <c r="GK31" s="1870">
        <v>595</v>
      </c>
      <c r="GL31" s="1870">
        <f t="shared" si="62"/>
        <v>1171</v>
      </c>
      <c r="GM31" s="1872">
        <v>578</v>
      </c>
      <c r="GN31" s="1873">
        <v>547</v>
      </c>
      <c r="GO31" s="1873">
        <f t="shared" si="63"/>
        <v>1125</v>
      </c>
      <c r="GP31" s="1856">
        <v>543</v>
      </c>
      <c r="GQ31" s="1856">
        <v>534</v>
      </c>
      <c r="GR31" s="1846">
        <f t="shared" si="64"/>
        <v>1077</v>
      </c>
      <c r="GS31" s="1870">
        <v>585</v>
      </c>
      <c r="GT31" s="1870">
        <v>543</v>
      </c>
      <c r="GU31" s="1870">
        <f t="shared" si="65"/>
        <v>1128</v>
      </c>
      <c r="GV31" s="1847">
        <v>567</v>
      </c>
      <c r="GW31" s="1848">
        <v>538</v>
      </c>
      <c r="GX31" s="1848">
        <f t="shared" si="66"/>
        <v>1105</v>
      </c>
      <c r="GY31" s="1870">
        <v>554</v>
      </c>
      <c r="GZ31" s="1870">
        <v>512</v>
      </c>
      <c r="HA31" s="1870">
        <f t="shared" si="67"/>
        <v>1066</v>
      </c>
      <c r="HB31" s="1851">
        <v>555</v>
      </c>
      <c r="HC31" s="1873">
        <v>528</v>
      </c>
      <c r="HD31" s="1873">
        <f t="shared" si="68"/>
        <v>1083</v>
      </c>
      <c r="HE31" s="1873">
        <v>551</v>
      </c>
      <c r="HF31" s="1873">
        <v>514</v>
      </c>
      <c r="HG31" s="1873">
        <f t="shared" si="69"/>
        <v>1065</v>
      </c>
      <c r="HH31" s="1873">
        <v>554</v>
      </c>
      <c r="HI31" s="1873">
        <v>509</v>
      </c>
      <c r="HJ31" s="1873">
        <f t="shared" si="70"/>
        <v>1063</v>
      </c>
      <c r="HK31" s="1873">
        <v>555</v>
      </c>
      <c r="HL31" s="1873">
        <v>542</v>
      </c>
      <c r="HM31" s="1873">
        <f t="shared" si="71"/>
        <v>1097</v>
      </c>
      <c r="HN31" s="1870">
        <v>551</v>
      </c>
      <c r="HO31" s="1870">
        <v>527</v>
      </c>
      <c r="HP31" s="1870">
        <f t="shared" si="72"/>
        <v>1078</v>
      </c>
      <c r="HQ31" s="1870">
        <v>522</v>
      </c>
      <c r="HR31" s="1870">
        <v>494</v>
      </c>
      <c r="HS31" s="1870">
        <f t="shared" si="73"/>
        <v>1016</v>
      </c>
      <c r="HT31" s="1870"/>
      <c r="HU31" s="1870"/>
      <c r="HV31" s="1870">
        <f t="shared" si="74"/>
        <v>0</v>
      </c>
      <c r="HW31" s="1877"/>
      <c r="HX31" s="1878"/>
      <c r="HY31" s="1873">
        <f t="shared" si="75"/>
        <v>0</v>
      </c>
      <c r="HZ31" s="1856"/>
      <c r="IA31" s="1856"/>
      <c r="IB31" s="1846">
        <f t="shared" si="76"/>
        <v>0</v>
      </c>
      <c r="IC31" s="1870"/>
      <c r="ID31" s="1870"/>
      <c r="IE31" s="1870">
        <f t="shared" si="77"/>
        <v>0</v>
      </c>
      <c r="IF31" s="1847"/>
      <c r="IG31" s="1848"/>
      <c r="IH31" s="1848">
        <f t="shared" si="78"/>
        <v>0</v>
      </c>
      <c r="II31" s="1811"/>
      <c r="IJ31" s="1811"/>
      <c r="IK31" s="1811">
        <f t="shared" si="79"/>
        <v>0</v>
      </c>
      <c r="IL31" s="1811"/>
    </row>
    <row r="32" spans="1:246" ht="25.5" hidden="1" thickBot="1">
      <c r="A32" s="1933" t="s">
        <v>1751</v>
      </c>
      <c r="B32" s="1870">
        <v>28982</v>
      </c>
      <c r="C32" s="1870">
        <v>32153</v>
      </c>
      <c r="D32" s="1870">
        <f t="shared" si="0"/>
        <v>61135</v>
      </c>
      <c r="E32" s="1871">
        <v>29765</v>
      </c>
      <c r="F32" s="1871">
        <v>33221</v>
      </c>
      <c r="G32" s="1871">
        <f t="shared" si="1"/>
        <v>62986</v>
      </c>
      <c r="H32" s="1871">
        <v>29956</v>
      </c>
      <c r="I32" s="1871">
        <v>33875</v>
      </c>
      <c r="J32" s="1871">
        <f t="shared" si="2"/>
        <v>63831</v>
      </c>
      <c r="K32" s="1843">
        <v>30984</v>
      </c>
      <c r="L32" s="1843">
        <v>34858</v>
      </c>
      <c r="M32" s="1843">
        <f t="shared" si="3"/>
        <v>65842</v>
      </c>
      <c r="N32" s="1855">
        <v>30799</v>
      </c>
      <c r="O32" s="1855">
        <v>34544</v>
      </c>
      <c r="P32" s="1844">
        <f t="shared" si="4"/>
        <v>65343</v>
      </c>
      <c r="Q32" s="1870">
        <v>31019</v>
      </c>
      <c r="R32" s="1870">
        <v>37413</v>
      </c>
      <c r="S32" s="1870">
        <f t="shared" si="5"/>
        <v>68432</v>
      </c>
      <c r="T32" s="1870">
        <v>31795</v>
      </c>
      <c r="U32" s="1870">
        <v>38369</v>
      </c>
      <c r="V32" s="1870">
        <f t="shared" si="6"/>
        <v>70164</v>
      </c>
      <c r="W32" s="1843">
        <v>32753</v>
      </c>
      <c r="X32" s="1843">
        <v>39147</v>
      </c>
      <c r="Y32" s="1843">
        <f t="shared" si="7"/>
        <v>71900</v>
      </c>
      <c r="Z32" s="1843">
        <v>32831</v>
      </c>
      <c r="AA32" s="1843">
        <v>40039</v>
      </c>
      <c r="AB32" s="1843">
        <f t="shared" si="8"/>
        <v>72870</v>
      </c>
      <c r="AC32" s="1845">
        <v>32874</v>
      </c>
      <c r="AD32" s="1845">
        <v>40158</v>
      </c>
      <c r="AE32" s="1845">
        <f t="shared" si="9"/>
        <v>73032</v>
      </c>
      <c r="AF32" s="1846">
        <v>32449</v>
      </c>
      <c r="AG32" s="1846">
        <v>39786</v>
      </c>
      <c r="AH32" s="1846">
        <f t="shared" si="10"/>
        <v>72235</v>
      </c>
      <c r="AI32" s="1846">
        <v>33146</v>
      </c>
      <c r="AJ32" s="1846">
        <v>39142</v>
      </c>
      <c r="AK32" s="1846">
        <f t="shared" si="11"/>
        <v>72288</v>
      </c>
      <c r="AL32" s="1870">
        <v>33293</v>
      </c>
      <c r="AM32" s="1870">
        <v>39371</v>
      </c>
      <c r="AN32" s="1870">
        <f t="shared" si="12"/>
        <v>72664</v>
      </c>
      <c r="AO32" s="1846">
        <v>33226</v>
      </c>
      <c r="AP32" s="1846">
        <v>39318</v>
      </c>
      <c r="AQ32" s="1846">
        <f t="shared" si="13"/>
        <v>72544</v>
      </c>
      <c r="AR32" s="1846">
        <v>31412</v>
      </c>
      <c r="AS32" s="1846">
        <v>36435</v>
      </c>
      <c r="AT32" s="1846">
        <f t="shared" si="14"/>
        <v>67847</v>
      </c>
      <c r="AU32" s="1846">
        <v>30183</v>
      </c>
      <c r="AV32" s="1846">
        <v>35348</v>
      </c>
      <c r="AW32" s="1846">
        <f t="shared" si="15"/>
        <v>65531</v>
      </c>
      <c r="AX32" s="1846">
        <v>30344</v>
      </c>
      <c r="AY32" s="1846">
        <v>35680</v>
      </c>
      <c r="AZ32" s="1846">
        <f t="shared" si="16"/>
        <v>66024</v>
      </c>
      <c r="BA32" s="1870">
        <v>30503</v>
      </c>
      <c r="BB32" s="1870">
        <v>35420</v>
      </c>
      <c r="BC32" s="1870">
        <f t="shared" si="17"/>
        <v>65923</v>
      </c>
      <c r="BD32" s="1847">
        <v>30257</v>
      </c>
      <c r="BE32" s="1848">
        <v>35509</v>
      </c>
      <c r="BF32" s="1848">
        <f t="shared" si="18"/>
        <v>65766</v>
      </c>
      <c r="BG32" s="1870">
        <v>30594</v>
      </c>
      <c r="BH32" s="1870">
        <v>35829</v>
      </c>
      <c r="BI32" s="1870">
        <f t="shared" si="19"/>
        <v>66423</v>
      </c>
      <c r="BJ32" s="1872">
        <v>30128</v>
      </c>
      <c r="BK32" s="1873">
        <v>35779</v>
      </c>
      <c r="BL32" s="1873">
        <f t="shared" si="20"/>
        <v>65907</v>
      </c>
      <c r="BM32" s="1873">
        <v>30584</v>
      </c>
      <c r="BN32" s="1873">
        <v>36294</v>
      </c>
      <c r="BO32" s="1873">
        <f t="shared" si="21"/>
        <v>66878</v>
      </c>
      <c r="BP32" s="1873">
        <v>30598</v>
      </c>
      <c r="BQ32" s="1873">
        <v>36413</v>
      </c>
      <c r="BR32" s="1873">
        <f t="shared" si="22"/>
        <v>67011</v>
      </c>
      <c r="BS32" s="1873">
        <v>31037</v>
      </c>
      <c r="BT32" s="1873">
        <v>37090</v>
      </c>
      <c r="BU32" s="1873">
        <f t="shared" si="23"/>
        <v>68127</v>
      </c>
      <c r="BV32" s="1870">
        <v>30931</v>
      </c>
      <c r="BW32" s="1870">
        <v>37276</v>
      </c>
      <c r="BX32" s="1870">
        <f t="shared" si="24"/>
        <v>68207</v>
      </c>
      <c r="BY32" s="1870">
        <v>31077</v>
      </c>
      <c r="BZ32" s="1870">
        <v>37169</v>
      </c>
      <c r="CA32" s="1870">
        <v>30872</v>
      </c>
      <c r="CB32" s="1870">
        <v>37464</v>
      </c>
      <c r="CC32" s="1870">
        <f t="shared" si="25"/>
        <v>68336</v>
      </c>
      <c r="CD32" s="1870">
        <v>31300</v>
      </c>
      <c r="CE32" s="1870">
        <v>37837</v>
      </c>
      <c r="CF32" s="1870">
        <f t="shared" si="26"/>
        <v>69137</v>
      </c>
      <c r="CG32" s="1872">
        <v>31386</v>
      </c>
      <c r="CH32" s="1873">
        <v>38301</v>
      </c>
      <c r="CI32" s="1873">
        <f t="shared" si="27"/>
        <v>69687</v>
      </c>
      <c r="CJ32" s="1870">
        <v>31256</v>
      </c>
      <c r="CK32" s="1870">
        <v>38167</v>
      </c>
      <c r="CL32" s="1846">
        <v>31508</v>
      </c>
      <c r="CM32" s="1846">
        <v>38534</v>
      </c>
      <c r="CN32" s="1846">
        <f t="shared" si="28"/>
        <v>70042</v>
      </c>
      <c r="CO32" s="1870">
        <v>33181</v>
      </c>
      <c r="CP32" s="1870">
        <v>40482</v>
      </c>
      <c r="CQ32" s="1870">
        <f t="shared" si="29"/>
        <v>73663</v>
      </c>
      <c r="CR32" s="1847">
        <v>32351</v>
      </c>
      <c r="CS32" s="1848">
        <v>39989</v>
      </c>
      <c r="CT32" s="1848">
        <f t="shared" si="30"/>
        <v>72340</v>
      </c>
      <c r="CU32" s="1870">
        <v>32615</v>
      </c>
      <c r="CV32" s="1870">
        <v>40151</v>
      </c>
      <c r="CW32" s="1870">
        <f t="shared" si="31"/>
        <v>72766</v>
      </c>
      <c r="CX32" s="1872">
        <v>32641</v>
      </c>
      <c r="CY32" s="1873">
        <v>40176</v>
      </c>
      <c r="CZ32" s="1873">
        <f t="shared" si="32"/>
        <v>72817</v>
      </c>
      <c r="DA32" s="1873">
        <v>32488</v>
      </c>
      <c r="DB32" s="1873">
        <v>40230</v>
      </c>
      <c r="DC32" s="1873">
        <f t="shared" si="33"/>
        <v>72718</v>
      </c>
      <c r="DD32" s="1873">
        <v>33339</v>
      </c>
      <c r="DE32" s="1873">
        <v>40934</v>
      </c>
      <c r="DF32" s="1873">
        <f t="shared" si="34"/>
        <v>74273</v>
      </c>
      <c r="DG32" s="1873">
        <v>32837</v>
      </c>
      <c r="DH32" s="1873">
        <v>40522</v>
      </c>
      <c r="DI32" s="1873">
        <f t="shared" si="35"/>
        <v>73359</v>
      </c>
      <c r="DJ32" s="1870">
        <v>33152</v>
      </c>
      <c r="DK32" s="1870">
        <v>40940</v>
      </c>
      <c r="DL32" s="1870">
        <f t="shared" si="36"/>
        <v>74092</v>
      </c>
      <c r="DM32" s="1870">
        <v>33909</v>
      </c>
      <c r="DN32" s="1870">
        <v>40809</v>
      </c>
      <c r="DO32" s="1870">
        <f t="shared" si="37"/>
        <v>74718</v>
      </c>
      <c r="DP32" s="1870">
        <v>34550</v>
      </c>
      <c r="DQ32" s="1870">
        <v>41492</v>
      </c>
      <c r="DR32" s="1870">
        <f t="shared" si="38"/>
        <v>76042</v>
      </c>
      <c r="DS32" s="1872">
        <v>34483</v>
      </c>
      <c r="DT32" s="1873">
        <v>41496</v>
      </c>
      <c r="DU32" s="1873">
        <f t="shared" si="39"/>
        <v>75979</v>
      </c>
      <c r="DV32" s="1846">
        <v>34609</v>
      </c>
      <c r="DW32" s="1846">
        <v>41205</v>
      </c>
      <c r="DX32" s="1846">
        <f t="shared" si="40"/>
        <v>75814</v>
      </c>
      <c r="DY32" s="1870">
        <v>35015</v>
      </c>
      <c r="DZ32" s="1870">
        <v>41724</v>
      </c>
      <c r="EA32" s="1870">
        <f t="shared" si="41"/>
        <v>76739</v>
      </c>
      <c r="EB32" s="1847">
        <v>36306</v>
      </c>
      <c r="EC32" s="1848">
        <v>42839</v>
      </c>
      <c r="ED32" s="1848">
        <f t="shared" si="42"/>
        <v>79145</v>
      </c>
      <c r="EE32" s="1870">
        <v>35802</v>
      </c>
      <c r="EF32" s="1870">
        <v>41905</v>
      </c>
      <c r="EG32" s="1870">
        <f t="shared" si="43"/>
        <v>77707</v>
      </c>
      <c r="EH32" s="1872">
        <v>35086</v>
      </c>
      <c r="EI32" s="1873">
        <v>49496</v>
      </c>
      <c r="EJ32" s="1873">
        <f t="shared" si="44"/>
        <v>84582</v>
      </c>
      <c r="EK32" s="1873">
        <v>35968</v>
      </c>
      <c r="EL32" s="1873">
        <v>41575</v>
      </c>
      <c r="EM32" s="1873">
        <f t="shared" si="45"/>
        <v>77543</v>
      </c>
      <c r="EN32" s="1873">
        <v>35975</v>
      </c>
      <c r="EO32" s="1873">
        <v>41677</v>
      </c>
      <c r="EP32" s="1873">
        <f t="shared" si="46"/>
        <v>77652</v>
      </c>
      <c r="EQ32" s="1873">
        <v>36213</v>
      </c>
      <c r="ER32" s="1873">
        <v>42001</v>
      </c>
      <c r="ES32" s="1873">
        <f t="shared" si="47"/>
        <v>78214</v>
      </c>
      <c r="ET32" s="1870">
        <v>35674</v>
      </c>
      <c r="EU32" s="1870">
        <v>41311</v>
      </c>
      <c r="EV32" s="1870">
        <f t="shared" si="48"/>
        <v>76985</v>
      </c>
      <c r="EW32" s="1870">
        <v>35245</v>
      </c>
      <c r="EX32" s="1870">
        <v>40824</v>
      </c>
      <c r="EY32" s="1870">
        <f t="shared" si="49"/>
        <v>76069</v>
      </c>
      <c r="EZ32" s="1870">
        <v>34697</v>
      </c>
      <c r="FA32" s="1870">
        <v>40803</v>
      </c>
      <c r="FB32" s="1870">
        <f t="shared" si="50"/>
        <v>75500</v>
      </c>
      <c r="FC32" s="1872">
        <v>34540</v>
      </c>
      <c r="FD32" s="1873">
        <v>40274</v>
      </c>
      <c r="FE32" s="1873">
        <f t="shared" si="51"/>
        <v>74814</v>
      </c>
      <c r="FF32" s="1846">
        <v>34401</v>
      </c>
      <c r="FG32" s="1846">
        <v>40505</v>
      </c>
      <c r="FH32" s="1846">
        <f t="shared" si="52"/>
        <v>74906</v>
      </c>
      <c r="FI32" s="1870">
        <v>34119</v>
      </c>
      <c r="FJ32" s="1870">
        <v>40061</v>
      </c>
      <c r="FK32" s="1870">
        <f t="shared" si="53"/>
        <v>74180</v>
      </c>
      <c r="FL32" s="1847">
        <v>34324</v>
      </c>
      <c r="FM32" s="1848">
        <v>40317</v>
      </c>
      <c r="FN32" s="1848">
        <f t="shared" si="54"/>
        <v>74641</v>
      </c>
      <c r="FO32" s="1870">
        <v>33600</v>
      </c>
      <c r="FP32" s="1870">
        <v>39720</v>
      </c>
      <c r="FQ32" s="1870">
        <f t="shared" si="55"/>
        <v>73320</v>
      </c>
      <c r="FR32" s="1851">
        <v>33610</v>
      </c>
      <c r="FS32" s="1873">
        <v>39547</v>
      </c>
      <c r="FT32" s="1873">
        <f t="shared" si="56"/>
        <v>73157</v>
      </c>
      <c r="FU32" s="1873">
        <v>33313</v>
      </c>
      <c r="FV32" s="1873">
        <v>39168</v>
      </c>
      <c r="FW32" s="1873">
        <f t="shared" si="57"/>
        <v>72481</v>
      </c>
      <c r="FX32" s="1873">
        <v>32366</v>
      </c>
      <c r="FY32" s="1873">
        <v>38343</v>
      </c>
      <c r="FZ32" s="1873">
        <f t="shared" si="58"/>
        <v>70709</v>
      </c>
      <c r="GA32" s="1873">
        <v>32644</v>
      </c>
      <c r="GB32" s="1873">
        <v>38521</v>
      </c>
      <c r="GC32" s="1873">
        <f t="shared" si="59"/>
        <v>71165</v>
      </c>
      <c r="GD32" s="1870">
        <v>32371</v>
      </c>
      <c r="GE32" s="1870">
        <v>38095</v>
      </c>
      <c r="GF32" s="1870">
        <f t="shared" si="60"/>
        <v>70466</v>
      </c>
      <c r="GG32" s="1870"/>
      <c r="GH32" s="1870"/>
      <c r="GI32" s="1870">
        <f t="shared" si="61"/>
        <v>0</v>
      </c>
      <c r="GJ32" s="1870"/>
      <c r="GK32" s="1870"/>
      <c r="GL32" s="1870">
        <f t="shared" si="62"/>
        <v>0</v>
      </c>
      <c r="GM32" s="1872"/>
      <c r="GN32" s="1873"/>
      <c r="GO32" s="1873">
        <f t="shared" si="63"/>
        <v>0</v>
      </c>
      <c r="GP32" s="1846"/>
      <c r="GQ32" s="1846"/>
      <c r="GR32" s="1846">
        <f t="shared" si="64"/>
        <v>0</v>
      </c>
      <c r="GS32" s="1870"/>
      <c r="GT32" s="1870"/>
      <c r="GU32" s="1870">
        <f t="shared" si="65"/>
        <v>0</v>
      </c>
      <c r="GV32" s="1847"/>
      <c r="GW32" s="1848"/>
      <c r="GX32" s="1848">
        <f t="shared" si="66"/>
        <v>0</v>
      </c>
      <c r="GY32" s="1870"/>
      <c r="GZ32" s="1870"/>
      <c r="HA32" s="1870">
        <f t="shared" si="67"/>
        <v>0</v>
      </c>
      <c r="HB32" s="1851"/>
      <c r="HC32" s="1873"/>
      <c r="HD32" s="1873">
        <f t="shared" si="68"/>
        <v>0</v>
      </c>
      <c r="HE32" s="1873"/>
      <c r="HF32" s="1873"/>
      <c r="HG32" s="1873">
        <f t="shared" si="69"/>
        <v>0</v>
      </c>
      <c r="HH32" s="1873"/>
      <c r="HI32" s="1873"/>
      <c r="HJ32" s="1873">
        <f t="shared" si="70"/>
        <v>0</v>
      </c>
      <c r="HK32" s="1873"/>
      <c r="HL32" s="1873"/>
      <c r="HM32" s="1873">
        <f t="shared" si="71"/>
        <v>0</v>
      </c>
      <c r="HN32" s="1870"/>
      <c r="HO32" s="1870"/>
      <c r="HP32" s="1870">
        <f t="shared" si="72"/>
        <v>0</v>
      </c>
      <c r="HQ32" s="1870"/>
      <c r="HR32" s="1870"/>
      <c r="HS32" s="1870">
        <f t="shared" si="73"/>
        <v>0</v>
      </c>
      <c r="HT32" s="1870"/>
      <c r="HU32" s="1870"/>
      <c r="HV32" s="1870">
        <f t="shared" si="74"/>
        <v>0</v>
      </c>
      <c r="HW32" s="1879"/>
      <c r="HX32" s="1878"/>
      <c r="HY32" s="1873">
        <f t="shared" si="75"/>
        <v>0</v>
      </c>
      <c r="HZ32" s="1846"/>
      <c r="IA32" s="1846"/>
      <c r="IB32" s="1846">
        <f t="shared" si="76"/>
        <v>0</v>
      </c>
      <c r="IC32" s="1870"/>
      <c r="ID32" s="1870"/>
      <c r="IE32" s="1870">
        <f t="shared" si="77"/>
        <v>0</v>
      </c>
      <c r="IF32" s="1847"/>
      <c r="IG32" s="1848"/>
      <c r="IH32" s="1848">
        <f t="shared" si="78"/>
        <v>0</v>
      </c>
      <c r="II32" s="1811"/>
      <c r="IJ32" s="1811"/>
      <c r="IK32" s="1811">
        <f t="shared" si="79"/>
        <v>0</v>
      </c>
      <c r="IL32" s="1811"/>
    </row>
    <row r="33" spans="1:246">
      <c r="A33" s="1934" t="s">
        <v>1607</v>
      </c>
      <c r="B33" s="1880">
        <f t="shared" ref="B33:BM33" si="80">SUM(B5:B32)</f>
        <v>786177</v>
      </c>
      <c r="C33" s="1880">
        <f t="shared" si="80"/>
        <v>419106</v>
      </c>
      <c r="D33" s="1941">
        <f t="shared" si="80"/>
        <v>1205283</v>
      </c>
      <c r="E33" s="1941">
        <f t="shared" si="80"/>
        <v>955298</v>
      </c>
      <c r="F33" s="1941">
        <f t="shared" si="80"/>
        <v>576022</v>
      </c>
      <c r="G33" s="1941">
        <f t="shared" si="80"/>
        <v>1531320</v>
      </c>
      <c r="H33" s="1941">
        <f t="shared" si="80"/>
        <v>909364</v>
      </c>
      <c r="I33" s="1941">
        <f t="shared" si="80"/>
        <v>530307</v>
      </c>
      <c r="J33" s="1941">
        <f t="shared" si="80"/>
        <v>1439671</v>
      </c>
      <c r="K33" s="1941">
        <f t="shared" si="80"/>
        <v>948286</v>
      </c>
      <c r="L33" s="1941">
        <f t="shared" si="80"/>
        <v>563921</v>
      </c>
      <c r="M33" s="1941">
        <f t="shared" si="80"/>
        <v>1512207</v>
      </c>
      <c r="N33" s="1941">
        <f t="shared" si="80"/>
        <v>936466</v>
      </c>
      <c r="O33" s="1941">
        <f t="shared" si="80"/>
        <v>569690</v>
      </c>
      <c r="P33" s="1941">
        <f t="shared" si="80"/>
        <v>1506156</v>
      </c>
      <c r="Q33" s="1941">
        <f t="shared" si="80"/>
        <v>920816</v>
      </c>
      <c r="R33" s="1941">
        <f t="shared" si="80"/>
        <v>589969</v>
      </c>
      <c r="S33" s="1941">
        <f t="shared" si="80"/>
        <v>1510785</v>
      </c>
      <c r="T33" s="1941">
        <f t="shared" si="80"/>
        <v>955680</v>
      </c>
      <c r="U33" s="1941">
        <f t="shared" si="80"/>
        <v>602490</v>
      </c>
      <c r="V33" s="1941">
        <f t="shared" si="80"/>
        <v>1558170</v>
      </c>
      <c r="W33" s="1941">
        <f t="shared" si="80"/>
        <v>969352</v>
      </c>
      <c r="X33" s="1941">
        <f t="shared" si="80"/>
        <v>613989</v>
      </c>
      <c r="Y33" s="1941">
        <f t="shared" si="80"/>
        <v>1583341</v>
      </c>
      <c r="Z33" s="1941">
        <f t="shared" si="80"/>
        <v>969126</v>
      </c>
      <c r="AA33" s="1941">
        <f t="shared" si="80"/>
        <v>646841</v>
      </c>
      <c r="AB33" s="1941">
        <f t="shared" si="80"/>
        <v>1615967</v>
      </c>
      <c r="AC33" s="1941">
        <f t="shared" si="80"/>
        <v>1014517</v>
      </c>
      <c r="AD33" s="1941">
        <f t="shared" si="80"/>
        <v>678865</v>
      </c>
      <c r="AE33" s="1941">
        <f t="shared" si="80"/>
        <v>1693382</v>
      </c>
      <c r="AF33" s="1941">
        <f t="shared" si="80"/>
        <v>978980</v>
      </c>
      <c r="AG33" s="1941">
        <f t="shared" si="80"/>
        <v>679161</v>
      </c>
      <c r="AH33" s="1941">
        <f t="shared" si="80"/>
        <v>1658141</v>
      </c>
      <c r="AI33" s="1941">
        <f t="shared" si="80"/>
        <v>993417</v>
      </c>
      <c r="AJ33" s="1941">
        <f t="shared" si="80"/>
        <v>673239</v>
      </c>
      <c r="AK33" s="1941">
        <f t="shared" si="80"/>
        <v>1666656</v>
      </c>
      <c r="AL33" s="1941">
        <f t="shared" si="80"/>
        <v>1014211</v>
      </c>
      <c r="AM33" s="1941">
        <f t="shared" si="80"/>
        <v>691614</v>
      </c>
      <c r="AN33" s="1941">
        <f t="shared" si="80"/>
        <v>1705825</v>
      </c>
      <c r="AO33" s="1941">
        <f t="shared" si="80"/>
        <v>1017556</v>
      </c>
      <c r="AP33" s="1941">
        <f t="shared" si="80"/>
        <v>703171</v>
      </c>
      <c r="AQ33" s="1941">
        <f t="shared" si="80"/>
        <v>1720727</v>
      </c>
      <c r="AR33" s="1941">
        <f t="shared" si="80"/>
        <v>1001549</v>
      </c>
      <c r="AS33" s="1941">
        <f t="shared" si="80"/>
        <v>706208</v>
      </c>
      <c r="AT33" s="1941">
        <f t="shared" si="80"/>
        <v>1707757</v>
      </c>
      <c r="AU33" s="1941">
        <f t="shared" si="80"/>
        <v>992746</v>
      </c>
      <c r="AV33" s="1941">
        <f t="shared" si="80"/>
        <v>718099</v>
      </c>
      <c r="AW33" s="1941">
        <f t="shared" si="80"/>
        <v>1710845</v>
      </c>
      <c r="AX33" s="1941">
        <f t="shared" si="80"/>
        <v>1011730</v>
      </c>
      <c r="AY33" s="1941">
        <f t="shared" si="80"/>
        <v>751724</v>
      </c>
      <c r="AZ33" s="1941">
        <f t="shared" si="80"/>
        <v>1763454</v>
      </c>
      <c r="BA33" s="1941">
        <f t="shared" si="80"/>
        <v>1015230</v>
      </c>
      <c r="BB33" s="1941">
        <f t="shared" si="80"/>
        <v>765020</v>
      </c>
      <c r="BC33" s="1941">
        <f t="shared" si="80"/>
        <v>1780250</v>
      </c>
      <c r="BD33" s="1941">
        <f t="shared" si="80"/>
        <v>1017050</v>
      </c>
      <c r="BE33" s="1941">
        <f t="shared" si="80"/>
        <v>779543</v>
      </c>
      <c r="BF33" s="1941">
        <f t="shared" si="80"/>
        <v>1796593</v>
      </c>
      <c r="BG33" s="1941">
        <f t="shared" si="80"/>
        <v>1022611</v>
      </c>
      <c r="BH33" s="1941">
        <f t="shared" si="80"/>
        <v>800333</v>
      </c>
      <c r="BI33" s="1941">
        <f t="shared" si="80"/>
        <v>1822944</v>
      </c>
      <c r="BJ33" s="1941">
        <f t="shared" si="80"/>
        <v>1007151</v>
      </c>
      <c r="BK33" s="1941">
        <f t="shared" si="80"/>
        <v>804976</v>
      </c>
      <c r="BL33" s="1941">
        <f t="shared" si="80"/>
        <v>1812127</v>
      </c>
      <c r="BM33" s="1941">
        <f t="shared" si="80"/>
        <v>1030308</v>
      </c>
      <c r="BN33" s="1941">
        <f t="shared" ref="BN33:DY33" si="81">SUM(BN5:BN32)</f>
        <v>840098</v>
      </c>
      <c r="BO33" s="1941">
        <f t="shared" si="81"/>
        <v>1870406</v>
      </c>
      <c r="BP33" s="1941">
        <f t="shared" si="81"/>
        <v>1022632</v>
      </c>
      <c r="BQ33" s="1941">
        <f t="shared" si="81"/>
        <v>853746</v>
      </c>
      <c r="BR33" s="1941">
        <f t="shared" si="81"/>
        <v>1876378</v>
      </c>
      <c r="BS33" s="1941">
        <f t="shared" si="81"/>
        <v>1075857</v>
      </c>
      <c r="BT33" s="1941">
        <f t="shared" si="81"/>
        <v>898084</v>
      </c>
      <c r="BU33" s="1941">
        <f t="shared" si="81"/>
        <v>1973941</v>
      </c>
      <c r="BV33" s="1941">
        <f t="shared" si="81"/>
        <v>1086793</v>
      </c>
      <c r="BW33" s="1941">
        <f t="shared" si="81"/>
        <v>917446</v>
      </c>
      <c r="BX33" s="1941">
        <f t="shared" si="81"/>
        <v>2004239</v>
      </c>
      <c r="BY33" s="1941">
        <f t="shared" si="81"/>
        <v>1079322</v>
      </c>
      <c r="BZ33" s="1941">
        <f t="shared" si="81"/>
        <v>900773</v>
      </c>
      <c r="CA33" s="1941">
        <f t="shared" si="81"/>
        <v>1081904</v>
      </c>
      <c r="CB33" s="1941">
        <f t="shared" si="81"/>
        <v>933330</v>
      </c>
      <c r="CC33" s="1941">
        <f t="shared" si="81"/>
        <v>2015234</v>
      </c>
      <c r="CD33" s="1941">
        <f t="shared" si="81"/>
        <v>1086559</v>
      </c>
      <c r="CE33" s="1941">
        <f t="shared" si="81"/>
        <v>950528</v>
      </c>
      <c r="CF33" s="1941">
        <f t="shared" si="81"/>
        <v>2037087</v>
      </c>
      <c r="CG33" s="1941">
        <f t="shared" si="81"/>
        <v>1084705</v>
      </c>
      <c r="CH33" s="1941">
        <f t="shared" si="81"/>
        <v>965195</v>
      </c>
      <c r="CI33" s="1941">
        <f t="shared" si="81"/>
        <v>2049900</v>
      </c>
      <c r="CJ33" s="1941">
        <f t="shared" si="81"/>
        <v>1079602</v>
      </c>
      <c r="CK33" s="1941">
        <f t="shared" si="81"/>
        <v>962409</v>
      </c>
      <c r="CL33" s="1941">
        <f t="shared" si="81"/>
        <v>1091399</v>
      </c>
      <c r="CM33" s="1941">
        <f t="shared" si="81"/>
        <v>989212</v>
      </c>
      <c r="CN33" s="1941">
        <f t="shared" si="81"/>
        <v>2080611</v>
      </c>
      <c r="CO33" s="1941">
        <f t="shared" si="81"/>
        <v>1169719</v>
      </c>
      <c r="CP33" s="1941">
        <f t="shared" si="81"/>
        <v>1034961</v>
      </c>
      <c r="CQ33" s="1941">
        <f t="shared" si="81"/>
        <v>2204680</v>
      </c>
      <c r="CR33" s="1941">
        <f t="shared" si="81"/>
        <v>1140333</v>
      </c>
      <c r="CS33" s="1941">
        <f t="shared" si="81"/>
        <v>1038712</v>
      </c>
      <c r="CT33" s="1941">
        <f t="shared" si="81"/>
        <v>2179045</v>
      </c>
      <c r="CU33" s="1941">
        <f t="shared" si="81"/>
        <v>1152318</v>
      </c>
      <c r="CV33" s="1941">
        <f t="shared" si="81"/>
        <v>1055026</v>
      </c>
      <c r="CW33" s="1941">
        <f t="shared" si="81"/>
        <v>2207344</v>
      </c>
      <c r="CX33" s="1941">
        <f t="shared" si="81"/>
        <v>1139624</v>
      </c>
      <c r="CY33" s="1941">
        <f t="shared" si="81"/>
        <v>1058523</v>
      </c>
      <c r="CZ33" s="1941">
        <f t="shared" si="81"/>
        <v>2198147</v>
      </c>
      <c r="DA33" s="1941">
        <f t="shared" si="81"/>
        <v>1125195</v>
      </c>
      <c r="DB33" s="1941">
        <f t="shared" si="81"/>
        <v>1061831</v>
      </c>
      <c r="DC33" s="1941">
        <f t="shared" si="81"/>
        <v>2187026</v>
      </c>
      <c r="DD33" s="1941">
        <f t="shared" si="81"/>
        <v>1163017</v>
      </c>
      <c r="DE33" s="1941">
        <f t="shared" si="81"/>
        <v>1085998</v>
      </c>
      <c r="DF33" s="1941">
        <f t="shared" si="81"/>
        <v>2249015</v>
      </c>
      <c r="DG33" s="1941">
        <f t="shared" si="81"/>
        <v>1152778</v>
      </c>
      <c r="DH33" s="1941">
        <f t="shared" si="81"/>
        <v>1098796</v>
      </c>
      <c r="DI33" s="1941">
        <f t="shared" si="81"/>
        <v>2251574</v>
      </c>
      <c r="DJ33" s="1941">
        <f t="shared" si="81"/>
        <v>1159843</v>
      </c>
      <c r="DK33" s="1941">
        <f t="shared" si="81"/>
        <v>1116937</v>
      </c>
      <c r="DL33" s="1941">
        <f t="shared" si="81"/>
        <v>2276780</v>
      </c>
      <c r="DM33" s="1941">
        <f t="shared" si="81"/>
        <v>1162431</v>
      </c>
      <c r="DN33" s="1941">
        <f t="shared" si="81"/>
        <v>1125219</v>
      </c>
      <c r="DO33" s="1941">
        <f t="shared" si="81"/>
        <v>2287650</v>
      </c>
      <c r="DP33" s="1941">
        <f t="shared" si="81"/>
        <v>1175497</v>
      </c>
      <c r="DQ33" s="1941">
        <f t="shared" si="81"/>
        <v>1149921</v>
      </c>
      <c r="DR33" s="1941">
        <f t="shared" si="81"/>
        <v>2325418</v>
      </c>
      <c r="DS33" s="1941">
        <f t="shared" si="81"/>
        <v>1183463</v>
      </c>
      <c r="DT33" s="1941">
        <f t="shared" si="81"/>
        <v>1163938</v>
      </c>
      <c r="DU33" s="1941">
        <f t="shared" si="81"/>
        <v>2347401</v>
      </c>
      <c r="DV33" s="1941">
        <f t="shared" si="81"/>
        <v>1176052</v>
      </c>
      <c r="DW33" s="1941">
        <f t="shared" si="81"/>
        <v>1160056</v>
      </c>
      <c r="DX33" s="1941">
        <f t="shared" si="81"/>
        <v>2336108</v>
      </c>
      <c r="DY33" s="1941">
        <f t="shared" si="81"/>
        <v>1181437</v>
      </c>
      <c r="DZ33" s="1941">
        <f t="shared" ref="DZ33:GK33" si="82">SUM(DZ5:DZ32)</f>
        <v>1231420</v>
      </c>
      <c r="EA33" s="1941">
        <f t="shared" si="82"/>
        <v>2412857</v>
      </c>
      <c r="EB33" s="1941">
        <f t="shared" si="82"/>
        <v>1220437</v>
      </c>
      <c r="EC33" s="1941">
        <f t="shared" si="82"/>
        <v>1211874</v>
      </c>
      <c r="ED33" s="1941">
        <f t="shared" si="82"/>
        <v>2432311</v>
      </c>
      <c r="EE33" s="1941">
        <f t="shared" si="82"/>
        <v>1205441</v>
      </c>
      <c r="EF33" s="1941">
        <f t="shared" si="82"/>
        <v>1215557</v>
      </c>
      <c r="EG33" s="1941">
        <f t="shared" si="82"/>
        <v>2420998</v>
      </c>
      <c r="EH33" s="1941">
        <f t="shared" si="82"/>
        <v>1177103</v>
      </c>
      <c r="EI33" s="1941">
        <f t="shared" si="82"/>
        <v>1204911</v>
      </c>
      <c r="EJ33" s="1941">
        <f t="shared" si="82"/>
        <v>2382014</v>
      </c>
      <c r="EK33" s="1941">
        <f t="shared" si="82"/>
        <v>1211490</v>
      </c>
      <c r="EL33" s="1941">
        <f t="shared" si="82"/>
        <v>1232836</v>
      </c>
      <c r="EM33" s="1941">
        <f t="shared" si="82"/>
        <v>2444326</v>
      </c>
      <c r="EN33" s="1941">
        <f t="shared" si="82"/>
        <v>1217991</v>
      </c>
      <c r="EO33" s="1941">
        <f t="shared" si="82"/>
        <v>1241664</v>
      </c>
      <c r="EP33" s="1941">
        <f t="shared" si="82"/>
        <v>2459655</v>
      </c>
      <c r="EQ33" s="1941">
        <f t="shared" si="82"/>
        <v>1224669</v>
      </c>
      <c r="ER33" s="1941">
        <f t="shared" si="82"/>
        <v>1255620</v>
      </c>
      <c r="ES33" s="1941">
        <f t="shared" si="82"/>
        <v>2480289</v>
      </c>
      <c r="ET33" s="1941">
        <f t="shared" si="82"/>
        <v>1218713</v>
      </c>
      <c r="EU33" s="1941">
        <f t="shared" si="82"/>
        <v>1268183</v>
      </c>
      <c r="EV33" s="1941">
        <f t="shared" si="82"/>
        <v>2486896</v>
      </c>
      <c r="EW33" s="1941">
        <f t="shared" si="82"/>
        <v>1226201</v>
      </c>
      <c r="EX33" s="1941">
        <f t="shared" si="82"/>
        <v>1260298</v>
      </c>
      <c r="EY33" s="1941">
        <f t="shared" si="82"/>
        <v>2486499</v>
      </c>
      <c r="EZ33" s="1941">
        <f t="shared" si="82"/>
        <v>1218882</v>
      </c>
      <c r="FA33" s="1941">
        <f t="shared" si="82"/>
        <v>1269929</v>
      </c>
      <c r="FB33" s="1941">
        <f t="shared" si="82"/>
        <v>2488811</v>
      </c>
      <c r="FC33" s="1941">
        <f t="shared" si="82"/>
        <v>1224959</v>
      </c>
      <c r="FD33" s="1941">
        <f t="shared" si="82"/>
        <v>1266038</v>
      </c>
      <c r="FE33" s="1941">
        <f t="shared" si="82"/>
        <v>2490997</v>
      </c>
      <c r="FF33" s="1941">
        <f t="shared" si="82"/>
        <v>1223372</v>
      </c>
      <c r="FG33" s="1941">
        <f t="shared" si="82"/>
        <v>1271097</v>
      </c>
      <c r="FH33" s="1941">
        <f t="shared" si="82"/>
        <v>2494469</v>
      </c>
      <c r="FI33" s="1941">
        <f t="shared" si="82"/>
        <v>1231300</v>
      </c>
      <c r="FJ33" s="1941">
        <f t="shared" si="82"/>
        <v>1284740</v>
      </c>
      <c r="FK33" s="1941">
        <f t="shared" si="82"/>
        <v>2516040</v>
      </c>
      <c r="FL33" s="1941">
        <f t="shared" si="82"/>
        <v>1245484</v>
      </c>
      <c r="FM33" s="1941">
        <f t="shared" si="82"/>
        <v>1302922</v>
      </c>
      <c r="FN33" s="1941">
        <f t="shared" si="82"/>
        <v>2548406</v>
      </c>
      <c r="FO33" s="1941">
        <f t="shared" si="82"/>
        <v>1241072</v>
      </c>
      <c r="FP33" s="1941">
        <f t="shared" si="82"/>
        <v>1302081</v>
      </c>
      <c r="FQ33" s="1941">
        <f t="shared" si="82"/>
        <v>2543153</v>
      </c>
      <c r="FR33" s="1941">
        <f t="shared" si="82"/>
        <v>1247594</v>
      </c>
      <c r="FS33" s="1941">
        <f t="shared" si="82"/>
        <v>1316035</v>
      </c>
      <c r="FT33" s="1941">
        <f t="shared" si="82"/>
        <v>2563629</v>
      </c>
      <c r="FU33" s="1941">
        <f t="shared" si="82"/>
        <v>1254835</v>
      </c>
      <c r="FV33" s="1941">
        <f t="shared" si="82"/>
        <v>1328834</v>
      </c>
      <c r="FW33" s="1941">
        <f t="shared" si="82"/>
        <v>2583669</v>
      </c>
      <c r="FX33" s="1941">
        <f t="shared" si="82"/>
        <v>1239778</v>
      </c>
      <c r="FY33" s="1941">
        <f t="shared" si="82"/>
        <v>1327099</v>
      </c>
      <c r="FZ33" s="1941">
        <f t="shared" si="82"/>
        <v>2566877</v>
      </c>
      <c r="GA33" s="1941">
        <f t="shared" si="82"/>
        <v>1268293</v>
      </c>
      <c r="GB33" s="1941">
        <f t="shared" si="82"/>
        <v>1347701</v>
      </c>
      <c r="GC33" s="1941">
        <f t="shared" si="82"/>
        <v>2615994</v>
      </c>
      <c r="GD33" s="1941">
        <f t="shared" si="82"/>
        <v>1271489</v>
      </c>
      <c r="GE33" s="1941">
        <f t="shared" si="82"/>
        <v>1355257</v>
      </c>
      <c r="GF33" s="1941">
        <f t="shared" si="82"/>
        <v>2626746</v>
      </c>
      <c r="GG33" s="1941">
        <f t="shared" si="82"/>
        <v>1252244</v>
      </c>
      <c r="GH33" s="1941">
        <f t="shared" si="82"/>
        <v>1341255</v>
      </c>
      <c r="GI33" s="1941">
        <f t="shared" si="82"/>
        <v>2593499</v>
      </c>
      <c r="GJ33" s="1941">
        <f t="shared" si="82"/>
        <v>1262782</v>
      </c>
      <c r="GK33" s="1941">
        <f t="shared" si="82"/>
        <v>1349205</v>
      </c>
      <c r="GL33" s="1941">
        <f t="shared" ref="GL33:IK33" si="83">SUM(GL5:GL32)</f>
        <v>2611987</v>
      </c>
      <c r="GM33" s="1941">
        <f t="shared" si="83"/>
        <v>1270865</v>
      </c>
      <c r="GN33" s="1941">
        <f t="shared" si="83"/>
        <v>1362366</v>
      </c>
      <c r="GO33" s="1941">
        <f t="shared" si="83"/>
        <v>2633231</v>
      </c>
      <c r="GP33" s="1941">
        <f t="shared" si="83"/>
        <v>1275175</v>
      </c>
      <c r="GQ33" s="1941">
        <f t="shared" si="83"/>
        <v>1375547</v>
      </c>
      <c r="GR33" s="1941">
        <f t="shared" si="83"/>
        <v>2650722</v>
      </c>
      <c r="GS33" s="1941">
        <f t="shared" si="83"/>
        <v>1285398</v>
      </c>
      <c r="GT33" s="1941">
        <f t="shared" si="83"/>
        <v>1374230</v>
      </c>
      <c r="GU33" s="1941">
        <f t="shared" si="83"/>
        <v>2659628</v>
      </c>
      <c r="GV33" s="1941">
        <f t="shared" si="83"/>
        <v>1294708</v>
      </c>
      <c r="GW33" s="1941">
        <f t="shared" si="83"/>
        <v>1388481</v>
      </c>
      <c r="GX33" s="1941">
        <f t="shared" si="83"/>
        <v>2683189</v>
      </c>
      <c r="GY33" s="1941">
        <f t="shared" si="83"/>
        <v>1304722</v>
      </c>
      <c r="GZ33" s="1941">
        <f t="shared" si="83"/>
        <v>1404642</v>
      </c>
      <c r="HA33" s="1941">
        <f t="shared" si="83"/>
        <v>2709364</v>
      </c>
      <c r="HB33" s="1941">
        <f t="shared" si="83"/>
        <v>1314375</v>
      </c>
      <c r="HC33" s="1941">
        <f t="shared" si="83"/>
        <v>1430604</v>
      </c>
      <c r="HD33" s="1941">
        <f t="shared" si="83"/>
        <v>2744979</v>
      </c>
      <c r="HE33" s="1941">
        <f t="shared" si="83"/>
        <v>1322957</v>
      </c>
      <c r="HF33" s="1941">
        <f t="shared" si="83"/>
        <v>1427923</v>
      </c>
      <c r="HG33" s="1941">
        <f t="shared" si="83"/>
        <v>2750880</v>
      </c>
      <c r="HH33" s="1941">
        <f t="shared" si="83"/>
        <v>1321168</v>
      </c>
      <c r="HI33" s="1941">
        <f t="shared" si="83"/>
        <v>1448786</v>
      </c>
      <c r="HJ33" s="1941">
        <f t="shared" si="83"/>
        <v>2769954</v>
      </c>
      <c r="HK33" s="1941">
        <f t="shared" si="83"/>
        <v>1335783</v>
      </c>
      <c r="HL33" s="1941">
        <f t="shared" si="83"/>
        <v>1453649</v>
      </c>
      <c r="HM33" s="1941">
        <f t="shared" si="83"/>
        <v>2789432</v>
      </c>
      <c r="HN33" s="1941">
        <f t="shared" si="83"/>
        <v>1332551</v>
      </c>
      <c r="HO33" s="1941">
        <f t="shared" si="83"/>
        <v>1452377</v>
      </c>
      <c r="HP33" s="1941">
        <f t="shared" si="83"/>
        <v>2784928</v>
      </c>
      <c r="HQ33" s="1941">
        <f t="shared" si="83"/>
        <v>1331542</v>
      </c>
      <c r="HR33" s="1941">
        <f t="shared" si="83"/>
        <v>1458095</v>
      </c>
      <c r="HS33" s="1941">
        <f t="shared" si="83"/>
        <v>2789637</v>
      </c>
      <c r="HT33" s="1941">
        <f t="shared" si="83"/>
        <v>1355575</v>
      </c>
      <c r="HU33" s="1941">
        <f t="shared" si="83"/>
        <v>1491285</v>
      </c>
      <c r="HV33" s="1941">
        <f t="shared" si="83"/>
        <v>2846860</v>
      </c>
      <c r="HW33" s="1941">
        <f t="shared" si="83"/>
        <v>1353110</v>
      </c>
      <c r="HX33" s="1941">
        <f t="shared" si="83"/>
        <v>1478209</v>
      </c>
      <c r="HY33" s="1941">
        <f t="shared" si="83"/>
        <v>2831319</v>
      </c>
      <c r="HZ33" s="1941">
        <f t="shared" si="83"/>
        <v>1346787</v>
      </c>
      <c r="IA33" s="1941">
        <f t="shared" si="83"/>
        <v>1492651</v>
      </c>
      <c r="IB33" s="1941">
        <f t="shared" si="83"/>
        <v>2839438</v>
      </c>
      <c r="IC33" s="1941">
        <f t="shared" si="83"/>
        <v>1359650</v>
      </c>
      <c r="ID33" s="1941">
        <f t="shared" si="83"/>
        <v>1528301</v>
      </c>
      <c r="IE33" s="1941">
        <f t="shared" si="83"/>
        <v>2887951</v>
      </c>
      <c r="IF33" s="1941">
        <f t="shared" si="83"/>
        <v>1372937</v>
      </c>
      <c r="IG33" s="1941">
        <f t="shared" si="83"/>
        <v>1505359</v>
      </c>
      <c r="IH33" s="1941">
        <f t="shared" si="83"/>
        <v>2878296</v>
      </c>
      <c r="II33" s="1941">
        <f t="shared" si="83"/>
        <v>1401048</v>
      </c>
      <c r="IJ33" s="1941">
        <f t="shared" si="83"/>
        <v>1542106</v>
      </c>
      <c r="IK33" s="1941">
        <f t="shared" si="83"/>
        <v>2943154</v>
      </c>
      <c r="IL33" s="1941">
        <f>SUM(IL5:IL32)</f>
        <v>2830534</v>
      </c>
    </row>
    <row r="43" spans="1:246" ht="19.5" customHeight="1"/>
    <row r="47" spans="1:246" ht="19.5" customHeight="1"/>
    <row r="51" ht="19.5" customHeight="1"/>
    <row r="54" ht="19.5" customHeight="1"/>
  </sheetData>
  <mergeCells count="84">
    <mergeCell ref="AL3:AN3"/>
    <mergeCell ref="N3:P3"/>
    <mergeCell ref="A1:IL1"/>
    <mergeCell ref="A2:D2"/>
    <mergeCell ref="B3:D3"/>
    <mergeCell ref="E3:G3"/>
    <mergeCell ref="H3:J3"/>
    <mergeCell ref="K3:M3"/>
    <mergeCell ref="AX3:AY3"/>
    <mergeCell ref="Q3:S3"/>
    <mergeCell ref="T3:V3"/>
    <mergeCell ref="W3:Y3"/>
    <mergeCell ref="Z3:AB3"/>
    <mergeCell ref="AC3:AE3"/>
    <mergeCell ref="AF3:AH3"/>
    <mergeCell ref="AI3:AK3"/>
    <mergeCell ref="AO3:AP3"/>
    <mergeCell ref="AR3:AS3"/>
    <mergeCell ref="AU3:AV3"/>
    <mergeCell ref="CG3:CI3"/>
    <mergeCell ref="BA3:BB3"/>
    <mergeCell ref="BD3:BF3"/>
    <mergeCell ref="BG3:BI3"/>
    <mergeCell ref="BJ3:BL3"/>
    <mergeCell ref="BM3:BO3"/>
    <mergeCell ref="BP3:BR3"/>
    <mergeCell ref="DJ3:DL3"/>
    <mergeCell ref="BS3:BU3"/>
    <mergeCell ref="BV3:BX3"/>
    <mergeCell ref="BY3:BZ3"/>
    <mergeCell ref="CA3:CC3"/>
    <mergeCell ref="CD3:CF3"/>
    <mergeCell ref="CJ3:CK3"/>
    <mergeCell ref="CL3:CN3"/>
    <mergeCell ref="CO3:CQ3"/>
    <mergeCell ref="CR3:CT3"/>
    <mergeCell ref="CU3:CW3"/>
    <mergeCell ref="CX3:CY3"/>
    <mergeCell ref="DA3:DC3"/>
    <mergeCell ref="DD3:DF3"/>
    <mergeCell ref="DG3:DI3"/>
    <mergeCell ref="DM3:DO3"/>
    <mergeCell ref="EZ3:FB3"/>
    <mergeCell ref="DS3:DU3"/>
    <mergeCell ref="DV3:DX3"/>
    <mergeCell ref="DY3:DZ3"/>
    <mergeCell ref="EB3:ED3"/>
    <mergeCell ref="EE3:EG3"/>
    <mergeCell ref="EH3:EJ3"/>
    <mergeCell ref="EK3:EM3"/>
    <mergeCell ref="EN3:EP3"/>
    <mergeCell ref="DP3:DR3"/>
    <mergeCell ref="GM3:GO3"/>
    <mergeCell ref="GP3:GR3"/>
    <mergeCell ref="GS3:GU3"/>
    <mergeCell ref="GV3:GX3"/>
    <mergeCell ref="EQ3:ES3"/>
    <mergeCell ref="ET3:EV3"/>
    <mergeCell ref="EW3:EY3"/>
    <mergeCell ref="GJ3:GL3"/>
    <mergeCell ref="FC3:FE3"/>
    <mergeCell ref="FF3:FG3"/>
    <mergeCell ref="FI3:FK3"/>
    <mergeCell ref="FL3:FN3"/>
    <mergeCell ref="FO3:FQ3"/>
    <mergeCell ref="FR3:FT3"/>
    <mergeCell ref="FU3:FW3"/>
    <mergeCell ref="FX3:FZ3"/>
    <mergeCell ref="GA3:GC3"/>
    <mergeCell ref="GD3:GF3"/>
    <mergeCell ref="GG3:GI3"/>
    <mergeCell ref="II3:IK3"/>
    <mergeCell ref="GY3:HA3"/>
    <mergeCell ref="HB3:HD3"/>
    <mergeCell ref="HE3:HG3"/>
    <mergeCell ref="HH3:HJ3"/>
    <mergeCell ref="HK3:HM3"/>
    <mergeCell ref="HN3:HP3"/>
    <mergeCell ref="HT3:HU3"/>
    <mergeCell ref="HQ3:HS3"/>
    <mergeCell ref="HW3:HY3"/>
    <mergeCell ref="HZ3:IB3"/>
    <mergeCell ref="IC3:IE3"/>
    <mergeCell ref="IF3:IH3"/>
  </mergeCells>
  <pageMargins left="0.7" right="0.7" top="0.75" bottom="0.75" header="0.3" footer="0.3"/>
  <pageSetup scale="3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L39"/>
  <sheetViews>
    <sheetView showGridLines="0" view="pageBreakPreview" zoomScale="70" zoomScaleNormal="70" zoomScaleSheetLayoutView="70" workbookViewId="0">
      <pane xSplit="3" ySplit="11" topLeftCell="D12" activePane="bottomRight" state="frozen"/>
      <selection pane="topRight" activeCell="D1" sqref="D1"/>
      <selection pane="bottomLeft" activeCell="A12" sqref="A12"/>
      <selection pane="bottomRight" activeCell="IN1" sqref="IN1:IU1048576"/>
    </sheetView>
  </sheetViews>
  <sheetFormatPr baseColWidth="10" defaultRowHeight="15"/>
  <cols>
    <col min="1" max="1" width="33.85546875" style="1813" customWidth="1"/>
    <col min="2" max="3" width="0" style="1813" hidden="1" customWidth="1"/>
    <col min="4" max="4" width="15.42578125" style="1813" customWidth="1"/>
    <col min="5" max="12" width="0" style="1813" hidden="1" customWidth="1"/>
    <col min="13" max="13" width="13.28515625" style="1813" bestFit="1" customWidth="1"/>
    <col min="14" max="30" width="0" style="1813" hidden="1" customWidth="1"/>
    <col min="31" max="31" width="13.42578125" style="1813" bestFit="1" customWidth="1"/>
    <col min="32" max="48" width="0" style="1813" hidden="1" customWidth="1"/>
    <col min="49" max="49" width="13.28515625" style="1813" bestFit="1" customWidth="1"/>
    <col min="50" max="66" width="0" style="1813" hidden="1" customWidth="1"/>
    <col min="67" max="67" width="13.42578125" style="1813" bestFit="1" customWidth="1"/>
    <col min="68" max="86" width="0" style="1813" hidden="1" customWidth="1"/>
    <col min="87" max="87" width="13.7109375" style="1813" bestFit="1" customWidth="1"/>
    <col min="88" max="106" width="0" style="1813" hidden="1" customWidth="1"/>
    <col min="107" max="107" width="13.42578125" style="1813" bestFit="1" customWidth="1"/>
    <col min="108" max="124" width="0" style="1813" hidden="1" customWidth="1"/>
    <col min="125" max="125" width="13.42578125" style="1813" bestFit="1" customWidth="1"/>
    <col min="126" max="142" width="0" style="1813" hidden="1" customWidth="1"/>
    <col min="143" max="143" width="13.7109375" style="1813" bestFit="1" customWidth="1"/>
    <col min="144" max="159" width="0" style="1813" hidden="1" customWidth="1"/>
    <col min="160" max="160" width="13.42578125" style="1813" hidden="1" customWidth="1"/>
    <col min="161" max="161" width="13.7109375" style="1813" bestFit="1" customWidth="1"/>
    <col min="162" max="178" width="0" style="1813" hidden="1" customWidth="1"/>
    <col min="179" max="179" width="13.7109375" style="1813" bestFit="1" customWidth="1"/>
    <col min="180" max="196" width="0" style="1813" hidden="1" customWidth="1"/>
    <col min="197" max="197" width="13.42578125" style="1813" bestFit="1" customWidth="1"/>
    <col min="198" max="214" width="0" style="1813" hidden="1" customWidth="1"/>
    <col min="215" max="215" width="13.7109375" style="1813" bestFit="1" customWidth="1"/>
    <col min="216" max="232" width="0" style="1813" hidden="1" customWidth="1"/>
    <col min="233" max="233" width="13.28515625" style="1813" bestFit="1" customWidth="1"/>
    <col min="234" max="241" width="0" style="1813" hidden="1" customWidth="1"/>
    <col min="242" max="242" width="13.7109375" style="1813" bestFit="1" customWidth="1"/>
    <col min="243" max="244" width="11.42578125" style="1813" hidden="1" customWidth="1"/>
    <col min="245" max="246" width="12.28515625" style="1813" customWidth="1"/>
    <col min="247" max="16384" width="11.42578125" style="1813"/>
  </cols>
  <sheetData>
    <row r="1" spans="1:246" ht="80.25" customHeight="1">
      <c r="A1" s="2347" t="s">
        <v>1854</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c r="AN1" s="2348"/>
      <c r="AO1" s="2348"/>
      <c r="AP1" s="2348"/>
      <c r="AQ1" s="2348"/>
      <c r="AR1" s="2348"/>
      <c r="AS1" s="2348"/>
      <c r="AT1" s="2348"/>
      <c r="AU1" s="2348"/>
      <c r="AV1" s="2348"/>
      <c r="AW1" s="2348"/>
      <c r="AX1" s="2348"/>
      <c r="AY1" s="2348"/>
      <c r="AZ1" s="2348"/>
      <c r="BA1" s="2348"/>
      <c r="BB1" s="2348"/>
      <c r="BC1" s="2348"/>
      <c r="BD1" s="2348"/>
      <c r="BE1" s="2348"/>
      <c r="BF1" s="2348"/>
      <c r="BG1" s="2348"/>
      <c r="BH1" s="2348"/>
      <c r="BI1" s="2348"/>
      <c r="BJ1" s="2348"/>
      <c r="BK1" s="2348"/>
      <c r="BL1" s="2348"/>
      <c r="BM1" s="2348"/>
      <c r="BN1" s="2348"/>
      <c r="BO1" s="2348"/>
      <c r="BP1" s="2348"/>
      <c r="BQ1" s="2348"/>
      <c r="BR1" s="2348"/>
      <c r="BS1" s="2348"/>
      <c r="BT1" s="2348"/>
      <c r="BU1" s="2348"/>
      <c r="BV1" s="2348"/>
      <c r="BW1" s="2348"/>
      <c r="BX1" s="2348"/>
      <c r="BY1" s="2348"/>
      <c r="BZ1" s="2348"/>
      <c r="CA1" s="2348"/>
      <c r="CB1" s="2348"/>
      <c r="CC1" s="2348"/>
      <c r="CD1" s="2348"/>
      <c r="CE1" s="2348"/>
      <c r="CF1" s="2348"/>
      <c r="CG1" s="2348"/>
      <c r="CH1" s="2348"/>
      <c r="CI1" s="2348"/>
      <c r="CJ1" s="2348"/>
      <c r="CK1" s="2348"/>
      <c r="CL1" s="2348"/>
      <c r="CM1" s="2348"/>
      <c r="CN1" s="2348"/>
      <c r="CO1" s="2348"/>
      <c r="CP1" s="2348"/>
      <c r="CQ1" s="2348"/>
      <c r="CR1" s="2348"/>
      <c r="CS1" s="2348"/>
      <c r="CT1" s="2348"/>
      <c r="CU1" s="2348"/>
      <c r="CV1" s="2348"/>
      <c r="CW1" s="2348"/>
      <c r="CX1" s="2348"/>
      <c r="CY1" s="2348"/>
      <c r="CZ1" s="2348"/>
      <c r="DA1" s="2348"/>
      <c r="DB1" s="2348"/>
      <c r="DC1" s="2348"/>
      <c r="DD1" s="2348"/>
      <c r="DE1" s="2348"/>
      <c r="DF1" s="2348"/>
      <c r="DG1" s="2348"/>
      <c r="DH1" s="2348"/>
      <c r="DI1" s="2348"/>
      <c r="DJ1" s="2348"/>
      <c r="DK1" s="2348"/>
      <c r="DL1" s="2348"/>
      <c r="DM1" s="2348"/>
      <c r="DN1" s="2348"/>
      <c r="DO1" s="2348"/>
      <c r="DP1" s="2348"/>
      <c r="DQ1" s="2348"/>
      <c r="DR1" s="2348"/>
      <c r="DS1" s="2348"/>
      <c r="DT1" s="2348"/>
      <c r="DU1" s="2348"/>
      <c r="DV1" s="2348"/>
      <c r="DW1" s="2348"/>
      <c r="DX1" s="2348"/>
      <c r="DY1" s="2348"/>
      <c r="DZ1" s="2348"/>
      <c r="EA1" s="2348"/>
      <c r="EB1" s="2348"/>
      <c r="EC1" s="2348"/>
      <c r="ED1" s="2348"/>
      <c r="EE1" s="2348"/>
      <c r="EF1" s="2348"/>
      <c r="EG1" s="2348"/>
      <c r="EH1" s="2348"/>
      <c r="EI1" s="2348"/>
      <c r="EJ1" s="2348"/>
      <c r="EK1" s="2348"/>
      <c r="EL1" s="2348"/>
      <c r="EM1" s="2348"/>
      <c r="EN1" s="2348"/>
      <c r="EO1" s="2348"/>
      <c r="EP1" s="2348"/>
      <c r="EQ1" s="2348"/>
      <c r="ER1" s="2348"/>
      <c r="ES1" s="2348"/>
      <c r="ET1" s="2348"/>
      <c r="EU1" s="2348"/>
      <c r="EV1" s="2348"/>
      <c r="EW1" s="2348"/>
      <c r="EX1" s="2348"/>
      <c r="EY1" s="2348"/>
      <c r="EZ1" s="2348"/>
      <c r="FA1" s="2348"/>
      <c r="FB1" s="2348"/>
      <c r="FC1" s="2348"/>
      <c r="FD1" s="2348"/>
      <c r="FE1" s="2348"/>
      <c r="FF1" s="2348"/>
      <c r="FG1" s="2348"/>
      <c r="FH1" s="2348"/>
      <c r="FI1" s="2348"/>
      <c r="FJ1" s="2348"/>
      <c r="FK1" s="2348"/>
      <c r="FL1" s="2348"/>
      <c r="FM1" s="2348"/>
      <c r="FN1" s="2348"/>
      <c r="FO1" s="2348"/>
      <c r="FP1" s="2348"/>
      <c r="FQ1" s="2348"/>
      <c r="FR1" s="2348"/>
      <c r="FS1" s="2348"/>
      <c r="FT1" s="2348"/>
      <c r="FU1" s="2348"/>
      <c r="FV1" s="2348"/>
      <c r="FW1" s="2348"/>
      <c r="FX1" s="2348"/>
      <c r="FY1" s="2348"/>
      <c r="FZ1" s="2348"/>
      <c r="GA1" s="2348"/>
      <c r="GB1" s="2348"/>
      <c r="GC1" s="2348"/>
      <c r="GD1" s="2348"/>
      <c r="GE1" s="2348"/>
      <c r="GF1" s="2348"/>
      <c r="GG1" s="2348"/>
      <c r="GH1" s="2348"/>
      <c r="GI1" s="2348"/>
      <c r="GJ1" s="2348"/>
      <c r="GK1" s="2348"/>
      <c r="GL1" s="2348"/>
      <c r="GM1" s="2348"/>
      <c r="GN1" s="2348"/>
      <c r="GO1" s="2348"/>
      <c r="GP1" s="2348"/>
      <c r="GQ1" s="2348"/>
      <c r="GR1" s="2348"/>
      <c r="GS1" s="2348"/>
      <c r="GT1" s="2348"/>
      <c r="GU1" s="2348"/>
      <c r="GV1" s="2348"/>
      <c r="GW1" s="2348"/>
      <c r="GX1" s="2348"/>
      <c r="GY1" s="2348"/>
      <c r="GZ1" s="2348"/>
      <c r="HA1" s="2348"/>
      <c r="HB1" s="2348"/>
      <c r="HC1" s="2348"/>
      <c r="HD1" s="2348"/>
      <c r="HE1" s="2348"/>
      <c r="HF1" s="2348"/>
      <c r="HG1" s="2348"/>
      <c r="HH1" s="2348"/>
      <c r="HI1" s="2348"/>
      <c r="HJ1" s="2348"/>
      <c r="HK1" s="2348"/>
      <c r="HL1" s="2348"/>
      <c r="HM1" s="2348"/>
      <c r="HN1" s="2348"/>
      <c r="HO1" s="2348"/>
      <c r="HP1" s="2348"/>
      <c r="HQ1" s="2348"/>
      <c r="HR1" s="2348"/>
      <c r="HS1" s="2348"/>
      <c r="HT1" s="2348"/>
      <c r="HU1" s="2348"/>
      <c r="HV1" s="2348"/>
      <c r="HW1" s="2348"/>
      <c r="HX1" s="2348"/>
      <c r="HY1" s="2348"/>
      <c r="HZ1" s="2348"/>
      <c r="IA1" s="2348"/>
      <c r="IB1" s="2348"/>
      <c r="IC1" s="2348"/>
      <c r="ID1" s="2348"/>
      <c r="IE1" s="2348"/>
      <c r="IF1" s="2348"/>
      <c r="IG1" s="2348"/>
      <c r="IH1" s="2348"/>
      <c r="II1" s="2348"/>
      <c r="IJ1" s="2348"/>
      <c r="IK1" s="2348"/>
      <c r="IL1" s="2349"/>
    </row>
    <row r="2" spans="1:246" ht="6" customHeight="1">
      <c r="A2" s="2354"/>
      <c r="B2" s="2354"/>
      <c r="C2" s="2354"/>
      <c r="D2" s="2354"/>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1"/>
      <c r="AP2" s="1821"/>
      <c r="AQ2" s="1821"/>
      <c r="AR2" s="1822"/>
      <c r="AS2" s="1822"/>
      <c r="AT2" s="1822"/>
      <c r="AU2" s="1820"/>
      <c r="AV2" s="1820"/>
      <c r="AW2" s="1820"/>
      <c r="AX2" s="1820"/>
      <c r="AY2" s="1820"/>
      <c r="AZ2" s="1820"/>
      <c r="BA2" s="1821"/>
      <c r="BB2" s="1821"/>
      <c r="BC2" s="1821"/>
      <c r="BD2" s="1821"/>
      <c r="BE2" s="1821"/>
      <c r="BF2" s="1821"/>
      <c r="BG2" s="1821"/>
      <c r="BH2" s="1821"/>
      <c r="BI2" s="1821"/>
      <c r="BJ2" s="1820"/>
      <c r="BK2" s="1820"/>
      <c r="BL2" s="1820"/>
      <c r="BM2" s="1820"/>
      <c r="BN2" s="1820"/>
      <c r="BO2" s="1820"/>
      <c r="BP2" s="1820"/>
      <c r="BQ2" s="1820"/>
      <c r="BR2" s="1820"/>
      <c r="BS2" s="1820"/>
      <c r="BT2" s="1820"/>
      <c r="BU2" s="1820"/>
      <c r="BV2" s="1821"/>
      <c r="BW2" s="1821"/>
      <c r="BX2" s="1821"/>
      <c r="BY2" s="1820"/>
      <c r="BZ2" s="1820"/>
      <c r="CA2" s="1820"/>
      <c r="CB2" s="1820"/>
      <c r="CC2" s="1820"/>
      <c r="CD2" s="1820"/>
      <c r="CE2" s="1820"/>
      <c r="CF2" s="1820"/>
      <c r="CG2" s="1820"/>
      <c r="CH2" s="1820"/>
      <c r="CI2" s="1820"/>
      <c r="CJ2" s="1820"/>
      <c r="CK2" s="1820"/>
      <c r="CL2" s="1820"/>
      <c r="CM2" s="1820"/>
      <c r="CN2" s="1820"/>
      <c r="CO2" s="1820"/>
      <c r="CP2" s="1820"/>
      <c r="CQ2" s="1820"/>
      <c r="CR2" s="1820"/>
      <c r="CS2" s="1820"/>
      <c r="CT2" s="1820"/>
      <c r="CU2" s="1820"/>
      <c r="CV2" s="1820"/>
      <c r="CW2" s="1820"/>
      <c r="CX2" s="1820"/>
      <c r="CY2" s="1820"/>
      <c r="CZ2" s="1820"/>
      <c r="DA2" s="1820"/>
      <c r="DB2" s="1820"/>
      <c r="DC2" s="1820"/>
      <c r="DD2" s="1820"/>
      <c r="DE2" s="1820"/>
      <c r="DF2" s="1820"/>
      <c r="DG2" s="1820"/>
      <c r="DH2" s="1820"/>
      <c r="DI2" s="1820"/>
      <c r="DJ2" s="1820"/>
      <c r="DK2" s="1820"/>
      <c r="DL2" s="1820"/>
      <c r="DM2" s="1820"/>
      <c r="DN2" s="1820"/>
      <c r="DO2" s="1820"/>
      <c r="DP2" s="1820"/>
      <c r="DQ2" s="1820"/>
      <c r="DR2" s="1820"/>
      <c r="DS2" s="1820"/>
      <c r="DT2" s="1820"/>
      <c r="DU2" s="1820"/>
      <c r="DV2" s="1820"/>
      <c r="DW2" s="1820"/>
      <c r="DX2" s="1820"/>
      <c r="DY2" s="1820"/>
      <c r="DZ2" s="1820"/>
      <c r="EA2" s="1820"/>
      <c r="EB2" s="1820"/>
      <c r="EC2" s="1820"/>
      <c r="ED2" s="1820"/>
      <c r="EE2" s="1820"/>
      <c r="EF2" s="1820"/>
      <c r="EG2" s="1820"/>
      <c r="EH2" s="1820"/>
      <c r="EI2" s="1820"/>
      <c r="EJ2" s="1820"/>
      <c r="EK2" s="1820"/>
      <c r="EL2" s="1820"/>
      <c r="EM2" s="1820"/>
      <c r="EN2" s="1820"/>
      <c r="EO2" s="1820"/>
      <c r="EP2" s="1820"/>
      <c r="EQ2" s="1820"/>
      <c r="ER2" s="1820"/>
      <c r="ES2" s="1820"/>
      <c r="ET2" s="1820"/>
      <c r="EU2" s="1820"/>
      <c r="EV2" s="1820"/>
      <c r="EW2" s="1820"/>
      <c r="EX2" s="1820"/>
      <c r="EY2" s="1820"/>
      <c r="EZ2" s="1820"/>
      <c r="FA2" s="1820"/>
      <c r="FB2" s="1820"/>
      <c r="FC2" s="1820"/>
      <c r="FD2" s="1820"/>
      <c r="FE2" s="1820"/>
      <c r="FF2" s="1820"/>
      <c r="FG2" s="1820"/>
      <c r="FH2" s="1820"/>
      <c r="FI2" s="1820"/>
      <c r="FJ2" s="1820"/>
      <c r="FK2" s="1820"/>
      <c r="FL2" s="1820"/>
      <c r="FM2" s="1820"/>
      <c r="FN2" s="1820"/>
      <c r="FO2" s="1820"/>
      <c r="FP2" s="1820"/>
      <c r="FQ2" s="1820"/>
      <c r="FR2" s="1820"/>
      <c r="FS2" s="1820"/>
      <c r="FT2" s="1820"/>
      <c r="FU2" s="1820"/>
      <c r="FV2" s="1820"/>
      <c r="FW2" s="1820"/>
      <c r="FX2" s="1820"/>
      <c r="FY2" s="1820"/>
      <c r="FZ2" s="1820"/>
      <c r="GA2" s="1820"/>
      <c r="GB2" s="1820"/>
      <c r="GC2" s="1820"/>
      <c r="GD2" s="1820"/>
      <c r="GE2" s="1820"/>
      <c r="GF2" s="1820"/>
      <c r="GG2" s="1820"/>
      <c r="GH2" s="1820"/>
      <c r="GI2" s="1820"/>
      <c r="GJ2" s="1820"/>
      <c r="GK2" s="1820"/>
      <c r="GL2" s="1820"/>
      <c r="GM2" s="1820"/>
      <c r="GN2" s="1820"/>
      <c r="GO2" s="1820"/>
      <c r="GP2" s="1820"/>
      <c r="GQ2" s="1820"/>
      <c r="GR2" s="1820"/>
      <c r="GS2" s="1820"/>
      <c r="GT2" s="1820"/>
      <c r="GU2" s="1820"/>
      <c r="GV2" s="1820"/>
      <c r="GW2" s="1820"/>
      <c r="GX2" s="1820"/>
      <c r="GY2" s="1820"/>
      <c r="GZ2" s="1820"/>
      <c r="HA2" s="1820"/>
      <c r="HB2" s="1820"/>
      <c r="HC2" s="1820"/>
      <c r="HD2" s="1820"/>
      <c r="HE2" s="1820"/>
      <c r="HF2" s="1820"/>
      <c r="HG2" s="1820"/>
      <c r="HH2" s="1820"/>
      <c r="HI2" s="1820"/>
      <c r="HJ2" s="1820"/>
      <c r="HK2" s="1820"/>
      <c r="HL2" s="1820"/>
      <c r="HM2" s="1820"/>
      <c r="HN2" s="1820"/>
      <c r="HO2" s="1820"/>
      <c r="HP2" s="1820"/>
      <c r="HQ2" s="1820"/>
      <c r="HR2" s="1820"/>
      <c r="HS2" s="1820"/>
      <c r="HT2" s="1820"/>
      <c r="HU2" s="1820"/>
      <c r="HV2" s="1820"/>
    </row>
    <row r="3" spans="1:246" hidden="1">
      <c r="A3" s="1817"/>
      <c r="B3" s="2352" t="s">
        <v>1575</v>
      </c>
      <c r="C3" s="2352"/>
      <c r="D3" s="2352"/>
      <c r="E3" s="2352" t="s">
        <v>1836</v>
      </c>
      <c r="F3" s="2352"/>
      <c r="G3" s="2352"/>
      <c r="H3" s="2352" t="s">
        <v>1835</v>
      </c>
      <c r="I3" s="2352"/>
      <c r="J3" s="2352"/>
      <c r="K3" s="2352" t="s">
        <v>1576</v>
      </c>
      <c r="L3" s="2352"/>
      <c r="M3" s="2352"/>
      <c r="N3" s="2352" t="s">
        <v>1834</v>
      </c>
      <c r="O3" s="2352"/>
      <c r="P3" s="2352"/>
      <c r="Q3" s="2352" t="s">
        <v>1833</v>
      </c>
      <c r="R3" s="2352"/>
      <c r="S3" s="2352"/>
      <c r="T3" s="2352" t="s">
        <v>1832</v>
      </c>
      <c r="U3" s="2352"/>
      <c r="V3" s="2352"/>
      <c r="W3" s="2352" t="s">
        <v>1831</v>
      </c>
      <c r="X3" s="2352"/>
      <c r="Y3" s="2352"/>
      <c r="Z3" s="2350" t="s">
        <v>1830</v>
      </c>
      <c r="AA3" s="2350"/>
      <c r="AB3" s="2350"/>
      <c r="AC3" s="2350" t="s">
        <v>1829</v>
      </c>
      <c r="AD3" s="2350"/>
      <c r="AE3" s="2350"/>
      <c r="AF3" s="2350" t="s">
        <v>1828</v>
      </c>
      <c r="AG3" s="2350"/>
      <c r="AH3" s="2350"/>
      <c r="AI3" s="2350" t="s">
        <v>1827</v>
      </c>
      <c r="AJ3" s="2350"/>
      <c r="AK3" s="2350"/>
      <c r="AL3" s="2353">
        <v>39692</v>
      </c>
      <c r="AM3" s="2350"/>
      <c r="AN3" s="2350"/>
      <c r="AO3" s="2352" t="s">
        <v>1826</v>
      </c>
      <c r="AP3" s="2352"/>
      <c r="AQ3" s="1818"/>
      <c r="AR3" s="2352" t="s">
        <v>1825</v>
      </c>
      <c r="AS3" s="2352"/>
      <c r="AT3" s="1818"/>
      <c r="AU3" s="2352" t="s">
        <v>1577</v>
      </c>
      <c r="AV3" s="2352"/>
      <c r="AW3" s="1818"/>
      <c r="AX3" s="2352" t="s">
        <v>1824</v>
      </c>
      <c r="AY3" s="2352"/>
      <c r="AZ3" s="1818"/>
      <c r="BA3" s="2352" t="s">
        <v>1823</v>
      </c>
      <c r="BB3" s="2352"/>
      <c r="BC3" s="1818"/>
      <c r="BD3" s="2350" t="s">
        <v>1822</v>
      </c>
      <c r="BE3" s="2350"/>
      <c r="BF3" s="2350"/>
      <c r="BG3" s="2350" t="s">
        <v>1821</v>
      </c>
      <c r="BH3" s="2350"/>
      <c r="BI3" s="2350"/>
      <c r="BJ3" s="2350" t="s">
        <v>1820</v>
      </c>
      <c r="BK3" s="2350"/>
      <c r="BL3" s="2350"/>
      <c r="BM3" s="2350" t="s">
        <v>1819</v>
      </c>
      <c r="BN3" s="2350"/>
      <c r="BO3" s="2350"/>
      <c r="BP3" s="2350" t="s">
        <v>1818</v>
      </c>
      <c r="BQ3" s="2350"/>
      <c r="BR3" s="2350"/>
      <c r="BS3" s="2350" t="s">
        <v>1817</v>
      </c>
      <c r="BT3" s="2350"/>
      <c r="BU3" s="2350"/>
      <c r="BV3" s="2352" t="s">
        <v>1816</v>
      </c>
      <c r="BW3" s="2352"/>
      <c r="BX3" s="2352"/>
      <c r="BY3" s="2350" t="s">
        <v>1815</v>
      </c>
      <c r="BZ3" s="2350"/>
      <c r="CA3" s="2351">
        <v>40087</v>
      </c>
      <c r="CB3" s="2352"/>
      <c r="CC3" s="2352"/>
      <c r="CD3" s="2351">
        <v>40118</v>
      </c>
      <c r="CE3" s="2352"/>
      <c r="CF3" s="2352"/>
      <c r="CG3" s="2352" t="s">
        <v>34</v>
      </c>
      <c r="CH3" s="2352"/>
      <c r="CI3" s="2352"/>
      <c r="CJ3" s="2350" t="s">
        <v>1814</v>
      </c>
      <c r="CK3" s="2350"/>
      <c r="CL3" s="2351">
        <v>40179</v>
      </c>
      <c r="CM3" s="2352"/>
      <c r="CN3" s="2352"/>
      <c r="CO3" s="2351">
        <v>40210</v>
      </c>
      <c r="CP3" s="2352"/>
      <c r="CQ3" s="2352"/>
      <c r="CR3" s="2353">
        <v>40238</v>
      </c>
      <c r="CS3" s="2353"/>
      <c r="CT3" s="2353"/>
      <c r="CU3" s="2350" t="s">
        <v>1813</v>
      </c>
      <c r="CV3" s="2350"/>
      <c r="CW3" s="2350"/>
      <c r="CX3" s="2350" t="s">
        <v>1812</v>
      </c>
      <c r="CY3" s="2352"/>
      <c r="CZ3" s="1818"/>
      <c r="DA3" s="2353">
        <v>40330</v>
      </c>
      <c r="DB3" s="2350"/>
      <c r="DC3" s="2350"/>
      <c r="DD3" s="2353">
        <v>40360</v>
      </c>
      <c r="DE3" s="2350"/>
      <c r="DF3" s="2350"/>
      <c r="DG3" s="2353">
        <v>40391</v>
      </c>
      <c r="DH3" s="2350"/>
      <c r="DI3" s="2350"/>
      <c r="DJ3" s="2351">
        <v>40422</v>
      </c>
      <c r="DK3" s="2352"/>
      <c r="DL3" s="2352"/>
      <c r="DM3" s="2351">
        <v>40452</v>
      </c>
      <c r="DN3" s="2351"/>
      <c r="DO3" s="2351"/>
      <c r="DP3" s="2351">
        <v>40483</v>
      </c>
      <c r="DQ3" s="2352"/>
      <c r="DR3" s="2352"/>
      <c r="DS3" s="2351">
        <v>40513</v>
      </c>
      <c r="DT3" s="2351"/>
      <c r="DU3" s="2351"/>
      <c r="DV3" s="2351">
        <v>40544</v>
      </c>
      <c r="DW3" s="2351"/>
      <c r="DX3" s="2351"/>
      <c r="DY3" s="2353">
        <v>40575</v>
      </c>
      <c r="DZ3" s="2350"/>
      <c r="EA3" s="1819"/>
      <c r="EB3" s="2350" t="s">
        <v>1811</v>
      </c>
      <c r="EC3" s="2350"/>
      <c r="ED3" s="2350"/>
      <c r="EE3" s="2350" t="s">
        <v>1810</v>
      </c>
      <c r="EF3" s="2350"/>
      <c r="EG3" s="2350"/>
      <c r="EH3" s="2350" t="s">
        <v>1809</v>
      </c>
      <c r="EI3" s="2350"/>
      <c r="EJ3" s="2350"/>
      <c r="EK3" s="2353">
        <v>40695</v>
      </c>
      <c r="EL3" s="2350"/>
      <c r="EM3" s="2350"/>
      <c r="EN3" s="2353">
        <v>40725</v>
      </c>
      <c r="EO3" s="2350"/>
      <c r="EP3" s="2350"/>
      <c r="EQ3" s="2353">
        <v>40756</v>
      </c>
      <c r="ER3" s="2350"/>
      <c r="ES3" s="2350"/>
      <c r="ET3" s="2351">
        <v>40787</v>
      </c>
      <c r="EU3" s="2352"/>
      <c r="EV3" s="2352"/>
      <c r="EW3" s="2351">
        <v>40817</v>
      </c>
      <c r="EX3" s="2351"/>
      <c r="EY3" s="2351"/>
      <c r="EZ3" s="2351">
        <v>40848</v>
      </c>
      <c r="FA3" s="2351"/>
      <c r="FB3" s="2351"/>
      <c r="FC3" s="2351">
        <v>40878</v>
      </c>
      <c r="FD3" s="2351"/>
      <c r="FE3" s="2351"/>
      <c r="FF3" s="2351">
        <v>40909</v>
      </c>
      <c r="FG3" s="2352"/>
      <c r="FH3" s="1818"/>
      <c r="FI3" s="2350" t="s">
        <v>1808</v>
      </c>
      <c r="FJ3" s="2350"/>
      <c r="FK3" s="2350"/>
      <c r="FL3" s="2350" t="s">
        <v>1807</v>
      </c>
      <c r="FM3" s="2350"/>
      <c r="FN3" s="2350"/>
      <c r="FO3" s="2350" t="s">
        <v>1806</v>
      </c>
      <c r="FP3" s="2350"/>
      <c r="FQ3" s="2350"/>
      <c r="FR3" s="2350" t="s">
        <v>1805</v>
      </c>
      <c r="FS3" s="2350"/>
      <c r="FT3" s="2350"/>
      <c r="FU3" s="2353">
        <v>41061</v>
      </c>
      <c r="FV3" s="2350"/>
      <c r="FW3" s="2350"/>
      <c r="FX3" s="2353">
        <v>41091</v>
      </c>
      <c r="FY3" s="2353"/>
      <c r="FZ3" s="2353"/>
      <c r="GA3" s="2353">
        <v>41122</v>
      </c>
      <c r="GB3" s="2350"/>
      <c r="GC3" s="2350"/>
      <c r="GD3" s="2351">
        <v>41153</v>
      </c>
      <c r="GE3" s="2351"/>
      <c r="GF3" s="2351"/>
      <c r="GG3" s="2351">
        <v>41183</v>
      </c>
      <c r="GH3" s="2351"/>
      <c r="GI3" s="2351"/>
      <c r="GJ3" s="2351">
        <v>41214</v>
      </c>
      <c r="GK3" s="2351"/>
      <c r="GL3" s="2351"/>
      <c r="GM3" s="2351">
        <v>41244</v>
      </c>
      <c r="GN3" s="2351"/>
      <c r="GO3" s="2351"/>
      <c r="GP3" s="2351">
        <v>41275</v>
      </c>
      <c r="GQ3" s="2351"/>
      <c r="GR3" s="2351"/>
      <c r="GS3" s="2350" t="s">
        <v>1804</v>
      </c>
      <c r="GT3" s="2350"/>
      <c r="GU3" s="2350"/>
      <c r="GV3" s="2350" t="s">
        <v>1803</v>
      </c>
      <c r="GW3" s="2350"/>
      <c r="GX3" s="2350"/>
      <c r="GY3" s="2350" t="s">
        <v>1802</v>
      </c>
      <c r="GZ3" s="2350"/>
      <c r="HA3" s="2350"/>
      <c r="HB3" s="2350" t="s">
        <v>1801</v>
      </c>
      <c r="HC3" s="2350"/>
      <c r="HD3" s="2350"/>
      <c r="HE3" s="2350" t="s">
        <v>1800</v>
      </c>
      <c r="HF3" s="2350"/>
      <c r="HG3" s="2350"/>
      <c r="HH3" s="2350" t="s">
        <v>1799</v>
      </c>
      <c r="HI3" s="2350"/>
      <c r="HJ3" s="2350"/>
      <c r="HK3" s="2350" t="s">
        <v>1798</v>
      </c>
      <c r="HL3" s="2350"/>
      <c r="HM3" s="2350"/>
      <c r="HN3" s="2351">
        <v>41518</v>
      </c>
      <c r="HO3" s="2352"/>
      <c r="HP3" s="2352"/>
      <c r="HQ3" s="2351">
        <v>41548</v>
      </c>
      <c r="HR3" s="2351"/>
      <c r="HS3" s="2351"/>
      <c r="HT3" s="2351">
        <v>41579</v>
      </c>
      <c r="HU3" s="2352"/>
      <c r="HV3" s="1818"/>
      <c r="HW3" s="2338" t="s">
        <v>1797</v>
      </c>
      <c r="HX3" s="2339"/>
      <c r="HY3" s="2339"/>
      <c r="HZ3" s="2340" t="s">
        <v>1796</v>
      </c>
      <c r="IA3" s="2340"/>
      <c r="IB3" s="2340"/>
      <c r="IC3" s="2341" t="s">
        <v>1795</v>
      </c>
      <c r="ID3" s="2342"/>
      <c r="IE3" s="2343"/>
      <c r="IF3" s="2344" t="s">
        <v>1794</v>
      </c>
      <c r="IG3" s="2345"/>
      <c r="IH3" s="2346"/>
      <c r="II3" s="2344" t="s">
        <v>1793</v>
      </c>
      <c r="IJ3" s="2345"/>
      <c r="IK3" s="2346"/>
    </row>
    <row r="4" spans="1:246">
      <c r="A4" s="1890" t="s">
        <v>120</v>
      </c>
      <c r="B4" s="1891" t="s">
        <v>1583</v>
      </c>
      <c r="C4" s="1891" t="s">
        <v>1584</v>
      </c>
      <c r="D4" s="1892" t="s">
        <v>1792</v>
      </c>
      <c r="E4" s="1892" t="s">
        <v>1583</v>
      </c>
      <c r="F4" s="1892" t="s">
        <v>1584</v>
      </c>
      <c r="G4" s="1892" t="s">
        <v>1791</v>
      </c>
      <c r="H4" s="1892" t="s">
        <v>1583</v>
      </c>
      <c r="I4" s="1892" t="s">
        <v>1584</v>
      </c>
      <c r="J4" s="1892" t="s">
        <v>1790</v>
      </c>
      <c r="K4" s="1892" t="s">
        <v>1583</v>
      </c>
      <c r="L4" s="1892" t="s">
        <v>1584</v>
      </c>
      <c r="M4" s="1892" t="s">
        <v>1139</v>
      </c>
      <c r="N4" s="1892" t="s">
        <v>1583</v>
      </c>
      <c r="O4" s="1892" t="s">
        <v>1584</v>
      </c>
      <c r="P4" s="1892" t="s">
        <v>1789</v>
      </c>
      <c r="Q4" s="1892" t="s">
        <v>1583</v>
      </c>
      <c r="R4" s="1892" t="s">
        <v>1584</v>
      </c>
      <c r="S4" s="1892" t="s">
        <v>1788</v>
      </c>
      <c r="T4" s="1892" t="s">
        <v>1583</v>
      </c>
      <c r="U4" s="1892" t="s">
        <v>1584</v>
      </c>
      <c r="V4" s="1892" t="s">
        <v>1787</v>
      </c>
      <c r="W4" s="1892" t="s">
        <v>1583</v>
      </c>
      <c r="X4" s="1892" t="s">
        <v>1584</v>
      </c>
      <c r="Y4" s="1892" t="s">
        <v>1786</v>
      </c>
      <c r="Z4" s="1892" t="s">
        <v>1583</v>
      </c>
      <c r="AA4" s="1892" t="s">
        <v>1584</v>
      </c>
      <c r="AB4" s="1892" t="s">
        <v>1785</v>
      </c>
      <c r="AC4" s="1892" t="s">
        <v>1583</v>
      </c>
      <c r="AD4" s="1892" t="s">
        <v>1584</v>
      </c>
      <c r="AE4" s="1892" t="s">
        <v>1837</v>
      </c>
      <c r="AF4" s="1892" t="s">
        <v>1583</v>
      </c>
      <c r="AG4" s="1892" t="s">
        <v>1584</v>
      </c>
      <c r="AH4" s="1893">
        <v>39630</v>
      </c>
      <c r="AI4" s="1892" t="s">
        <v>1583</v>
      </c>
      <c r="AJ4" s="1892" t="s">
        <v>1584</v>
      </c>
      <c r="AK4" s="1892" t="s">
        <v>1784</v>
      </c>
      <c r="AL4" s="1892" t="s">
        <v>1583</v>
      </c>
      <c r="AM4" s="1892" t="s">
        <v>1584</v>
      </c>
      <c r="AN4" s="1892" t="s">
        <v>1783</v>
      </c>
      <c r="AO4" s="1892" t="s">
        <v>1583</v>
      </c>
      <c r="AP4" s="1892" t="s">
        <v>1584</v>
      </c>
      <c r="AQ4" s="1892" t="s">
        <v>1782</v>
      </c>
      <c r="AR4" s="1892" t="s">
        <v>1583</v>
      </c>
      <c r="AS4" s="1892" t="s">
        <v>1584</v>
      </c>
      <c r="AT4" s="1892" t="s">
        <v>1781</v>
      </c>
      <c r="AU4" s="1892" t="s">
        <v>1583</v>
      </c>
      <c r="AV4" s="1892" t="s">
        <v>1584</v>
      </c>
      <c r="AW4" s="1892" t="s">
        <v>1059</v>
      </c>
      <c r="AX4" s="1892" t="s">
        <v>1583</v>
      </c>
      <c r="AY4" s="1892" t="s">
        <v>1584</v>
      </c>
      <c r="AZ4" s="1892" t="s">
        <v>1180</v>
      </c>
      <c r="BA4" s="1892" t="s">
        <v>1583</v>
      </c>
      <c r="BB4" s="1892" t="s">
        <v>1584</v>
      </c>
      <c r="BC4" s="1892" t="s">
        <v>1181</v>
      </c>
      <c r="BD4" s="1892" t="s">
        <v>1583</v>
      </c>
      <c r="BE4" s="1892" t="s">
        <v>1584</v>
      </c>
      <c r="BF4" s="1892" t="s">
        <v>1137</v>
      </c>
      <c r="BG4" s="1892" t="s">
        <v>1583</v>
      </c>
      <c r="BH4" s="1892" t="s">
        <v>1584</v>
      </c>
      <c r="BI4" s="1892" t="s">
        <v>1780</v>
      </c>
      <c r="BJ4" s="1892" t="s">
        <v>1583</v>
      </c>
      <c r="BK4" s="1892" t="s">
        <v>1584</v>
      </c>
      <c r="BL4" s="1892" t="s">
        <v>1183</v>
      </c>
      <c r="BM4" s="1892" t="s">
        <v>1583</v>
      </c>
      <c r="BN4" s="1892" t="s">
        <v>1584</v>
      </c>
      <c r="BO4" s="1892" t="s">
        <v>1184</v>
      </c>
      <c r="BP4" s="1892" t="s">
        <v>1583</v>
      </c>
      <c r="BQ4" s="1892" t="s">
        <v>1584</v>
      </c>
      <c r="BR4" s="1892" t="s">
        <v>1185</v>
      </c>
      <c r="BS4" s="1892" t="s">
        <v>1583</v>
      </c>
      <c r="BT4" s="1892" t="s">
        <v>1584</v>
      </c>
      <c r="BU4" s="1892" t="s">
        <v>1186</v>
      </c>
      <c r="BV4" s="1892" t="s">
        <v>1583</v>
      </c>
      <c r="BW4" s="1892" t="s">
        <v>1584</v>
      </c>
      <c r="BX4" s="1892" t="s">
        <v>1138</v>
      </c>
      <c r="BY4" s="1892" t="s">
        <v>1583</v>
      </c>
      <c r="BZ4" s="1892" t="s">
        <v>1584</v>
      </c>
      <c r="CA4" s="1892" t="s">
        <v>1583</v>
      </c>
      <c r="CB4" s="1892" t="s">
        <v>1584</v>
      </c>
      <c r="CC4" s="1892" t="s">
        <v>1187</v>
      </c>
      <c r="CD4" s="1892" t="s">
        <v>1583</v>
      </c>
      <c r="CE4" s="1892" t="s">
        <v>1584</v>
      </c>
      <c r="CF4" s="1892" t="s">
        <v>1188</v>
      </c>
      <c r="CG4" s="1892" t="s">
        <v>1583</v>
      </c>
      <c r="CH4" s="1892" t="s">
        <v>1584</v>
      </c>
      <c r="CI4" s="1892" t="s">
        <v>944</v>
      </c>
      <c r="CJ4" s="1892" t="s">
        <v>1583</v>
      </c>
      <c r="CK4" s="1892" t="s">
        <v>1584</v>
      </c>
      <c r="CL4" s="1892" t="s">
        <v>1583</v>
      </c>
      <c r="CM4" s="1892" t="s">
        <v>1584</v>
      </c>
      <c r="CN4" s="1892" t="s">
        <v>1779</v>
      </c>
      <c r="CO4" s="1892" t="s">
        <v>1583</v>
      </c>
      <c r="CP4" s="1892" t="s">
        <v>1584</v>
      </c>
      <c r="CQ4" s="1892" t="s">
        <v>1778</v>
      </c>
      <c r="CR4" s="1892" t="s">
        <v>1583</v>
      </c>
      <c r="CS4" s="1892" t="s">
        <v>1584</v>
      </c>
      <c r="CT4" s="1892" t="s">
        <v>1777</v>
      </c>
      <c r="CU4" s="1892" t="s">
        <v>1583</v>
      </c>
      <c r="CV4" s="1892" t="s">
        <v>1584</v>
      </c>
      <c r="CW4" s="1892" t="s">
        <v>1776</v>
      </c>
      <c r="CX4" s="1892" t="s">
        <v>1583</v>
      </c>
      <c r="CY4" s="1892" t="s">
        <v>1584</v>
      </c>
      <c r="CZ4" s="1892" t="s">
        <v>1775</v>
      </c>
      <c r="DA4" s="1892" t="s">
        <v>1583</v>
      </c>
      <c r="DB4" s="1892" t="s">
        <v>1584</v>
      </c>
      <c r="DC4" s="1894" t="s">
        <v>1774</v>
      </c>
      <c r="DD4" s="1892" t="s">
        <v>1583</v>
      </c>
      <c r="DE4" s="1892" t="s">
        <v>1584</v>
      </c>
      <c r="DF4" s="1892" t="s">
        <v>1773</v>
      </c>
      <c r="DG4" s="1892" t="s">
        <v>1583</v>
      </c>
      <c r="DH4" s="1892" t="s">
        <v>1584</v>
      </c>
      <c r="DI4" s="1892" t="s">
        <v>1772</v>
      </c>
      <c r="DJ4" s="1892" t="s">
        <v>1583</v>
      </c>
      <c r="DK4" s="1892" t="s">
        <v>1584</v>
      </c>
      <c r="DL4" s="1892" t="s">
        <v>1771</v>
      </c>
      <c r="DM4" s="1892" t="s">
        <v>1583</v>
      </c>
      <c r="DN4" s="1892" t="s">
        <v>1584</v>
      </c>
      <c r="DO4" s="1892" t="s">
        <v>1770</v>
      </c>
      <c r="DP4" s="1892" t="s">
        <v>1583</v>
      </c>
      <c r="DQ4" s="1892" t="s">
        <v>1584</v>
      </c>
      <c r="DR4" s="1892" t="s">
        <v>1769</v>
      </c>
      <c r="DS4" s="1892" t="s">
        <v>1583</v>
      </c>
      <c r="DT4" s="1892" t="s">
        <v>1584</v>
      </c>
      <c r="DU4" s="1892" t="s">
        <v>1768</v>
      </c>
      <c r="DV4" s="1892" t="s">
        <v>1583</v>
      </c>
      <c r="DW4" s="1892" t="s">
        <v>1584</v>
      </c>
      <c r="DX4" s="1892" t="s">
        <v>1767</v>
      </c>
      <c r="DY4" s="1892" t="s">
        <v>1583</v>
      </c>
      <c r="DZ4" s="1892" t="s">
        <v>1584</v>
      </c>
      <c r="EA4" s="1892" t="s">
        <v>1766</v>
      </c>
      <c r="EB4" s="1892" t="s">
        <v>1583</v>
      </c>
      <c r="EC4" s="1892" t="s">
        <v>1584</v>
      </c>
      <c r="ED4" s="1892" t="s">
        <v>1765</v>
      </c>
      <c r="EE4" s="1892" t="s">
        <v>1583</v>
      </c>
      <c r="EF4" s="1892" t="s">
        <v>1584</v>
      </c>
      <c r="EG4" s="1892" t="s">
        <v>1764</v>
      </c>
      <c r="EH4" s="1892" t="s">
        <v>1583</v>
      </c>
      <c r="EI4" s="1892" t="s">
        <v>1584</v>
      </c>
      <c r="EJ4" s="1892" t="s">
        <v>1763</v>
      </c>
      <c r="EK4" s="1892" t="s">
        <v>1583</v>
      </c>
      <c r="EL4" s="1892" t="s">
        <v>1584</v>
      </c>
      <c r="EM4" s="1892" t="s">
        <v>1762</v>
      </c>
      <c r="EN4" s="1892" t="s">
        <v>1583</v>
      </c>
      <c r="EO4" s="1892" t="s">
        <v>1584</v>
      </c>
      <c r="EP4" s="1892" t="s">
        <v>1761</v>
      </c>
      <c r="EQ4" s="1892" t="s">
        <v>1583</v>
      </c>
      <c r="ER4" s="1892" t="s">
        <v>1584</v>
      </c>
      <c r="ES4" s="1892" t="s">
        <v>1760</v>
      </c>
      <c r="ET4" s="1892" t="s">
        <v>1583</v>
      </c>
      <c r="EU4" s="1892" t="s">
        <v>1584</v>
      </c>
      <c r="EV4" s="1892" t="s">
        <v>1759</v>
      </c>
      <c r="EW4" s="1892" t="s">
        <v>1583</v>
      </c>
      <c r="EX4" s="1892" t="s">
        <v>1584</v>
      </c>
      <c r="EY4" s="1892" t="s">
        <v>1758</v>
      </c>
      <c r="EZ4" s="1892" t="s">
        <v>1583</v>
      </c>
      <c r="FA4" s="1892" t="s">
        <v>1584</v>
      </c>
      <c r="FB4" s="1892" t="s">
        <v>1030</v>
      </c>
      <c r="FC4" s="1892" t="s">
        <v>1583</v>
      </c>
      <c r="FD4" s="1892" t="s">
        <v>1584</v>
      </c>
      <c r="FE4" s="1892" t="s">
        <v>946</v>
      </c>
      <c r="FF4" s="1892" t="s">
        <v>1583</v>
      </c>
      <c r="FG4" s="1892" t="s">
        <v>1584</v>
      </c>
      <c r="FH4" s="1892" t="s">
        <v>1031</v>
      </c>
      <c r="FI4" s="1892" t="s">
        <v>1583</v>
      </c>
      <c r="FJ4" s="1892" t="s">
        <v>1584</v>
      </c>
      <c r="FK4" s="1892" t="s">
        <v>1032</v>
      </c>
      <c r="FL4" s="1892" t="s">
        <v>1583</v>
      </c>
      <c r="FM4" s="1892" t="s">
        <v>1584</v>
      </c>
      <c r="FN4" s="1892" t="s">
        <v>943</v>
      </c>
      <c r="FO4" s="1892" t="s">
        <v>1583</v>
      </c>
      <c r="FP4" s="1892" t="s">
        <v>1584</v>
      </c>
      <c r="FQ4" s="1892" t="s">
        <v>957</v>
      </c>
      <c r="FR4" s="1892" t="s">
        <v>1583</v>
      </c>
      <c r="FS4" s="1892" t="s">
        <v>1584</v>
      </c>
      <c r="FT4" s="1892" t="s">
        <v>1033</v>
      </c>
      <c r="FU4" s="1892" t="s">
        <v>1583</v>
      </c>
      <c r="FV4" s="1892" t="s">
        <v>1584</v>
      </c>
      <c r="FW4" s="1892" t="s">
        <v>1034</v>
      </c>
      <c r="FX4" s="1892" t="s">
        <v>1583</v>
      </c>
      <c r="FY4" s="1892" t="s">
        <v>1584</v>
      </c>
      <c r="FZ4" s="1892" t="s">
        <v>1035</v>
      </c>
      <c r="GA4" s="1892" t="s">
        <v>1583</v>
      </c>
      <c r="GB4" s="1892" t="s">
        <v>1584</v>
      </c>
      <c r="GC4" s="1892" t="s">
        <v>1022</v>
      </c>
      <c r="GD4" s="1892" t="s">
        <v>1583</v>
      </c>
      <c r="GE4" s="1892" t="s">
        <v>1584</v>
      </c>
      <c r="GF4" s="1892" t="s">
        <v>1038</v>
      </c>
      <c r="GG4" s="1892" t="s">
        <v>1583</v>
      </c>
      <c r="GH4" s="1892" t="s">
        <v>1584</v>
      </c>
      <c r="GI4" s="1892" t="s">
        <v>1051</v>
      </c>
      <c r="GJ4" s="1892" t="s">
        <v>1583</v>
      </c>
      <c r="GK4" s="1892" t="s">
        <v>1584</v>
      </c>
      <c r="GL4" s="1892" t="s">
        <v>1050</v>
      </c>
      <c r="GM4" s="1892" t="s">
        <v>1583</v>
      </c>
      <c r="GN4" s="1892" t="s">
        <v>1584</v>
      </c>
      <c r="GO4" s="1892" t="s">
        <v>1060</v>
      </c>
      <c r="GP4" s="1892" t="s">
        <v>1583</v>
      </c>
      <c r="GQ4" s="1892" t="s">
        <v>1584</v>
      </c>
      <c r="GR4" s="1892" t="s">
        <v>1123</v>
      </c>
      <c r="GS4" s="1892" t="s">
        <v>1583</v>
      </c>
      <c r="GT4" s="1892" t="s">
        <v>1584</v>
      </c>
      <c r="GU4" s="1892" t="s">
        <v>1232</v>
      </c>
      <c r="GV4" s="1892" t="s">
        <v>1583</v>
      </c>
      <c r="GW4" s="1892" t="s">
        <v>1584</v>
      </c>
      <c r="GX4" s="1892" t="s">
        <v>1309</v>
      </c>
      <c r="GY4" s="1892" t="s">
        <v>1583</v>
      </c>
      <c r="GZ4" s="1892" t="s">
        <v>1584</v>
      </c>
      <c r="HA4" s="1892" t="s">
        <v>1317</v>
      </c>
      <c r="HB4" s="1892" t="s">
        <v>1583</v>
      </c>
      <c r="HC4" s="1892" t="s">
        <v>1584</v>
      </c>
      <c r="HD4" s="1892" t="s">
        <v>1331</v>
      </c>
      <c r="HE4" s="1892" t="s">
        <v>1583</v>
      </c>
      <c r="HF4" s="1892" t="s">
        <v>1584</v>
      </c>
      <c r="HG4" s="1892" t="s">
        <v>1403</v>
      </c>
      <c r="HH4" s="1892" t="s">
        <v>1583</v>
      </c>
      <c r="HI4" s="1892" t="s">
        <v>1584</v>
      </c>
      <c r="HJ4" s="1892" t="s">
        <v>1425</v>
      </c>
      <c r="HK4" s="1892" t="s">
        <v>1583</v>
      </c>
      <c r="HL4" s="1892" t="s">
        <v>1584</v>
      </c>
      <c r="HM4" s="1892" t="s">
        <v>1436</v>
      </c>
      <c r="HN4" s="1892" t="s">
        <v>1583</v>
      </c>
      <c r="HO4" s="1892" t="s">
        <v>1584</v>
      </c>
      <c r="HP4" s="1892" t="s">
        <v>1442</v>
      </c>
      <c r="HQ4" s="1892" t="s">
        <v>1583</v>
      </c>
      <c r="HR4" s="1892" t="s">
        <v>1584</v>
      </c>
      <c r="HS4" s="1892" t="s">
        <v>1625</v>
      </c>
      <c r="HT4" s="1892" t="s">
        <v>1583</v>
      </c>
      <c r="HU4" s="1892" t="s">
        <v>1584</v>
      </c>
      <c r="HV4" s="1892" t="s">
        <v>1628</v>
      </c>
      <c r="HW4" s="1895" t="s">
        <v>1583</v>
      </c>
      <c r="HX4" s="1896" t="s">
        <v>1584</v>
      </c>
      <c r="HY4" s="1892" t="s">
        <v>1644</v>
      </c>
      <c r="HZ4" s="1892" t="s">
        <v>1583</v>
      </c>
      <c r="IA4" s="1892" t="s">
        <v>1584</v>
      </c>
      <c r="IB4" s="1892" t="s">
        <v>1757</v>
      </c>
      <c r="IC4" s="1892" t="s">
        <v>1583</v>
      </c>
      <c r="ID4" s="1892" t="s">
        <v>1584</v>
      </c>
      <c r="IE4" s="1892" t="s">
        <v>1733</v>
      </c>
      <c r="IF4" s="1892" t="s">
        <v>1583</v>
      </c>
      <c r="IG4" s="1892" t="s">
        <v>1584</v>
      </c>
      <c r="IH4" s="1892" t="s">
        <v>1750</v>
      </c>
      <c r="II4" s="1816" t="s">
        <v>1583</v>
      </c>
      <c r="IJ4" s="1816" t="s">
        <v>1584</v>
      </c>
      <c r="IK4" s="1892" t="s">
        <v>1756</v>
      </c>
      <c r="IL4" s="1892" t="s">
        <v>1852</v>
      </c>
    </row>
    <row r="5" spans="1:246" hidden="1">
      <c r="A5" s="1899" t="s">
        <v>1592</v>
      </c>
      <c r="B5" s="1815">
        <v>197449</v>
      </c>
      <c r="C5" s="1815">
        <v>142740</v>
      </c>
      <c r="D5" s="1823">
        <f t="shared" ref="D5:D32" si="0">+C5+B5</f>
        <v>340189</v>
      </c>
      <c r="E5" s="1824">
        <v>200121</v>
      </c>
      <c r="F5" s="1824">
        <v>152654</v>
      </c>
      <c r="G5" s="1824">
        <f t="shared" ref="G5:G32" si="1">+F5+E5</f>
        <v>352775</v>
      </c>
      <c r="H5" s="1824">
        <v>211286</v>
      </c>
      <c r="I5" s="1824">
        <v>152133</v>
      </c>
      <c r="J5" s="1824">
        <f t="shared" ref="J5:J32" si="2">+I5+H5</f>
        <v>363419</v>
      </c>
      <c r="K5" s="1825">
        <v>227050</v>
      </c>
      <c r="L5" s="1825">
        <v>163053</v>
      </c>
      <c r="M5" s="1825">
        <f t="shared" ref="M5:M32" si="3">+L5+K5</f>
        <v>390103</v>
      </c>
      <c r="N5" s="1826">
        <v>218680</v>
      </c>
      <c r="O5" s="1826">
        <v>157578</v>
      </c>
      <c r="P5" s="1827">
        <f t="shared" ref="P5:P32" si="4">+O5+N5</f>
        <v>376258</v>
      </c>
      <c r="Q5" s="1823">
        <v>214902</v>
      </c>
      <c r="R5" s="1823">
        <v>161708</v>
      </c>
      <c r="S5" s="1823">
        <f t="shared" ref="S5:S32" si="5">+R5+Q5</f>
        <v>376610</v>
      </c>
      <c r="T5" s="1823">
        <v>224183</v>
      </c>
      <c r="U5" s="1823">
        <v>167061</v>
      </c>
      <c r="V5" s="1823">
        <f t="shared" ref="V5:V32" si="6">+U5+T5</f>
        <v>391244</v>
      </c>
      <c r="W5" s="1825">
        <v>225425</v>
      </c>
      <c r="X5" s="1825">
        <v>169036</v>
      </c>
      <c r="Y5" s="1825">
        <f t="shared" ref="Y5:Y32" si="7">+X5+W5</f>
        <v>394461</v>
      </c>
      <c r="Z5" s="1825">
        <v>226709</v>
      </c>
      <c r="AA5" s="1825">
        <v>186725</v>
      </c>
      <c r="AB5" s="1825">
        <f t="shared" ref="AB5:AB32" si="8">+AA5+Z5</f>
        <v>413434</v>
      </c>
      <c r="AC5" s="1828">
        <v>241507</v>
      </c>
      <c r="AD5" s="1828">
        <v>195203</v>
      </c>
      <c r="AE5" s="1828">
        <f t="shared" ref="AE5:AE32" si="9">+AD5+AC5</f>
        <v>436710</v>
      </c>
      <c r="AF5" s="1829">
        <v>227551</v>
      </c>
      <c r="AG5" s="1829">
        <v>189485</v>
      </c>
      <c r="AH5" s="1830">
        <f t="shared" ref="AH5:AH32" si="10">+AG5+AF5</f>
        <v>417036</v>
      </c>
      <c r="AI5" s="1829">
        <v>232584</v>
      </c>
      <c r="AJ5" s="1829">
        <v>182141</v>
      </c>
      <c r="AK5" s="1830">
        <f t="shared" ref="AK5:AK32" si="11">+AJ5+AI5</f>
        <v>414725</v>
      </c>
      <c r="AL5" s="1823">
        <v>241679</v>
      </c>
      <c r="AM5" s="1823">
        <v>187201</v>
      </c>
      <c r="AN5" s="1823">
        <f t="shared" ref="AN5:AN32" si="12">+AM5+AL5</f>
        <v>428880</v>
      </c>
      <c r="AO5" s="1829">
        <v>242978</v>
      </c>
      <c r="AP5" s="1829">
        <v>191339</v>
      </c>
      <c r="AQ5" s="1830">
        <f t="shared" ref="AQ5:AQ32" si="13">+AO5+AP5</f>
        <v>434317</v>
      </c>
      <c r="AR5" s="1829">
        <v>255091</v>
      </c>
      <c r="AS5" s="1829">
        <v>199384</v>
      </c>
      <c r="AT5" s="1830">
        <f t="shared" ref="AT5:AT32" si="14">+AS5+AR5</f>
        <v>454475</v>
      </c>
      <c r="AU5" s="1829">
        <v>256510</v>
      </c>
      <c r="AV5" s="1829">
        <v>200380</v>
      </c>
      <c r="AW5" s="1830">
        <f t="shared" ref="AW5:AW32" si="15">+AV5+AU5</f>
        <v>456890</v>
      </c>
      <c r="AX5" s="1829">
        <v>268602</v>
      </c>
      <c r="AY5" s="1829">
        <v>216932</v>
      </c>
      <c r="AZ5" s="1830">
        <f t="shared" ref="AZ5:AZ32" si="16">+AY5+AX5</f>
        <v>485534</v>
      </c>
      <c r="BA5" s="1823">
        <v>264806</v>
      </c>
      <c r="BB5" s="1823">
        <v>218479</v>
      </c>
      <c r="BC5" s="1823">
        <f t="shared" ref="BC5:BC32" si="17">+BB5+BA5</f>
        <v>483285</v>
      </c>
      <c r="BD5" s="1831">
        <v>267843</v>
      </c>
      <c r="BE5" s="1832">
        <v>222337</v>
      </c>
      <c r="BF5" s="1832">
        <f t="shared" ref="BF5:BF32" si="18">+BE5+BD5</f>
        <v>490180</v>
      </c>
      <c r="BG5" s="1823">
        <v>274414</v>
      </c>
      <c r="BH5" s="1823">
        <v>229057</v>
      </c>
      <c r="BI5" s="1823">
        <f t="shared" ref="BI5:BI32" si="19">+BH5+BG5</f>
        <v>503471</v>
      </c>
      <c r="BJ5" s="1833">
        <v>268802</v>
      </c>
      <c r="BK5" s="1834">
        <v>229006</v>
      </c>
      <c r="BL5" s="1834">
        <f t="shared" ref="BL5:BL32" si="20">+BK5+BJ5</f>
        <v>497808</v>
      </c>
      <c r="BM5" s="1834">
        <v>284087</v>
      </c>
      <c r="BN5" s="1834">
        <v>244200</v>
      </c>
      <c r="BO5" s="1834">
        <f t="shared" ref="BO5:BO32" si="21">+BN5+BM5</f>
        <v>528287</v>
      </c>
      <c r="BP5" s="1834">
        <v>283823</v>
      </c>
      <c r="BQ5" s="1834">
        <v>251715</v>
      </c>
      <c r="BR5" s="1834">
        <f t="shared" ref="BR5:BR32" si="22">+BQ5+BP5</f>
        <v>535538</v>
      </c>
      <c r="BS5" s="1834">
        <v>308227</v>
      </c>
      <c r="BT5" s="1834">
        <v>273916</v>
      </c>
      <c r="BU5" s="1834">
        <f t="shared" ref="BU5:BU32" si="23">+BT5+BS5</f>
        <v>582143</v>
      </c>
      <c r="BV5" s="1823">
        <v>316436</v>
      </c>
      <c r="BW5" s="1823">
        <v>280486</v>
      </c>
      <c r="BX5" s="1823">
        <f t="shared" ref="BX5:BX32" si="24">+BW5+BV5</f>
        <v>596922</v>
      </c>
      <c r="BY5" s="1823">
        <v>309715</v>
      </c>
      <c r="BZ5" s="1823">
        <v>274925</v>
      </c>
      <c r="CA5" s="1823">
        <v>315881</v>
      </c>
      <c r="CB5" s="1823">
        <v>284853</v>
      </c>
      <c r="CC5" s="1823">
        <f t="shared" ref="CC5:CC32" si="25">+CB5+CA5</f>
        <v>600734</v>
      </c>
      <c r="CD5" s="1823">
        <v>316674</v>
      </c>
      <c r="CE5" s="1823">
        <v>290373</v>
      </c>
      <c r="CF5" s="1823">
        <f t="shared" ref="CF5:CF32" si="26">+CE5+CD5</f>
        <v>607047</v>
      </c>
      <c r="CG5" s="1833">
        <v>314310</v>
      </c>
      <c r="CH5" s="1834">
        <v>293448</v>
      </c>
      <c r="CI5" s="1834">
        <f t="shared" ref="CI5:CI32" si="27">+CH5+CG5</f>
        <v>607758</v>
      </c>
      <c r="CJ5" s="1823">
        <v>312990</v>
      </c>
      <c r="CK5" s="1823">
        <v>292753</v>
      </c>
      <c r="CL5" s="1829">
        <v>317961</v>
      </c>
      <c r="CM5" s="1829">
        <v>305040</v>
      </c>
      <c r="CN5" s="1830">
        <f t="shared" ref="CN5:CN32" si="28">+CM5+CL5</f>
        <v>623001</v>
      </c>
      <c r="CO5" s="1823">
        <v>342122</v>
      </c>
      <c r="CP5" s="1823">
        <v>320823</v>
      </c>
      <c r="CQ5" s="1823">
        <f t="shared" ref="CQ5:CQ32" si="29">+CP5+CO5</f>
        <v>662945</v>
      </c>
      <c r="CR5" s="1831">
        <v>332092</v>
      </c>
      <c r="CS5" s="1832">
        <v>320643</v>
      </c>
      <c r="CT5" s="1832">
        <f t="shared" ref="CT5:CT32" si="30">+CS5+CR5</f>
        <v>652735</v>
      </c>
      <c r="CU5" s="1823">
        <v>340177</v>
      </c>
      <c r="CV5" s="1823">
        <v>328221</v>
      </c>
      <c r="CW5" s="1823">
        <f t="shared" ref="CW5:CW32" si="31">+CV5+CU5</f>
        <v>668398</v>
      </c>
      <c r="CX5" s="1833">
        <v>335194</v>
      </c>
      <c r="CY5" s="1834">
        <v>328574</v>
      </c>
      <c r="CZ5" s="1834">
        <f t="shared" ref="CZ5:CZ32" si="32">+CY5+CX5</f>
        <v>663768</v>
      </c>
      <c r="DA5" s="1834">
        <v>330166</v>
      </c>
      <c r="DB5" s="1834">
        <v>327567</v>
      </c>
      <c r="DC5" s="1834">
        <f t="shared" ref="DC5:DC32" si="33">+DB5+DA5</f>
        <v>657733</v>
      </c>
      <c r="DD5" s="1834">
        <v>345226</v>
      </c>
      <c r="DE5" s="1834">
        <v>337018</v>
      </c>
      <c r="DF5" s="1834">
        <f t="shared" ref="DF5:DF32" si="34">+DE5+DD5</f>
        <v>682244</v>
      </c>
      <c r="DG5" s="1834">
        <v>341475</v>
      </c>
      <c r="DH5" s="1834">
        <v>340517</v>
      </c>
      <c r="DI5" s="1834">
        <f t="shared" ref="DI5:DI32" si="35">+DH5+DG5</f>
        <v>681992</v>
      </c>
      <c r="DJ5" s="1823">
        <v>348992</v>
      </c>
      <c r="DK5" s="1823">
        <v>349408</v>
      </c>
      <c r="DL5" s="1823">
        <f t="shared" ref="DL5:DL32" si="36">+DK5+DJ5</f>
        <v>698400</v>
      </c>
      <c r="DM5" s="1823">
        <v>349385</v>
      </c>
      <c r="DN5" s="1823">
        <v>352208</v>
      </c>
      <c r="DO5" s="1823">
        <f t="shared" ref="DO5:DO32" si="37">+DN5+DM5</f>
        <v>701593</v>
      </c>
      <c r="DP5" s="1823">
        <v>355341</v>
      </c>
      <c r="DQ5" s="1823">
        <v>362708</v>
      </c>
      <c r="DR5" s="1823">
        <f t="shared" ref="DR5:DR32" si="38">+DQ5+DP5</f>
        <v>718049</v>
      </c>
      <c r="DS5" s="1833">
        <v>358501</v>
      </c>
      <c r="DT5" s="1834">
        <v>366949</v>
      </c>
      <c r="DU5" s="1834">
        <f t="shared" ref="DU5:DU32" si="39">+DT5+DS5</f>
        <v>725450</v>
      </c>
      <c r="DV5" s="1829">
        <v>357239</v>
      </c>
      <c r="DW5" s="1829">
        <v>368303</v>
      </c>
      <c r="DX5" s="1830">
        <f t="shared" ref="DX5:DX32" si="40">+DW5+DV5</f>
        <v>725542</v>
      </c>
      <c r="DY5" s="1823">
        <v>357332</v>
      </c>
      <c r="DZ5" s="1823">
        <v>430473</v>
      </c>
      <c r="EA5" s="1823">
        <f t="shared" ref="EA5:EA32" si="41">+DZ5+DY5</f>
        <v>787805</v>
      </c>
      <c r="EB5" s="1831">
        <v>370256</v>
      </c>
      <c r="EC5" s="1832">
        <v>383534</v>
      </c>
      <c r="ED5" s="1832">
        <f t="shared" ref="ED5:ED32" si="42">+EC5+EB5</f>
        <v>753790</v>
      </c>
      <c r="EE5" s="1823">
        <v>366406</v>
      </c>
      <c r="EF5" s="1823">
        <v>393813</v>
      </c>
      <c r="EG5" s="1823">
        <f t="shared" ref="EG5:EG32" si="43">+EF5+EE5</f>
        <v>760219</v>
      </c>
      <c r="EH5" s="1833">
        <v>359766</v>
      </c>
      <c r="EI5" s="1834">
        <v>386153</v>
      </c>
      <c r="EJ5" s="1834">
        <f t="shared" ref="EJ5:EJ32" si="44">+EI5+EH5</f>
        <v>745919</v>
      </c>
      <c r="EK5" s="1834">
        <v>370791</v>
      </c>
      <c r="EL5" s="1834">
        <v>397478</v>
      </c>
      <c r="EM5" s="1834">
        <f t="shared" ref="EM5:EM32" si="45">+EL5+EK5</f>
        <v>768269</v>
      </c>
      <c r="EN5" s="1834">
        <v>377462</v>
      </c>
      <c r="EO5" s="1834">
        <v>406397</v>
      </c>
      <c r="EP5" s="1834">
        <f t="shared" ref="EP5:EP32" si="46">+EO5+EN5</f>
        <v>783859</v>
      </c>
      <c r="EQ5" s="1834">
        <v>382027</v>
      </c>
      <c r="ER5" s="1834">
        <v>410773</v>
      </c>
      <c r="ES5" s="1834">
        <f t="shared" ref="ES5:ES32" si="47">+ER5+EQ5</f>
        <v>792800</v>
      </c>
      <c r="ET5" s="1823">
        <v>379560</v>
      </c>
      <c r="EU5" s="1823">
        <v>420402</v>
      </c>
      <c r="EV5" s="1823">
        <f t="shared" ref="EV5:EV32" si="48">+EU5+ET5</f>
        <v>799962</v>
      </c>
      <c r="EW5" s="1823">
        <v>380751</v>
      </c>
      <c r="EX5" s="1823">
        <v>413589</v>
      </c>
      <c r="EY5" s="1823">
        <f t="shared" ref="EY5:EY32" si="49">+EX5+EW5</f>
        <v>794340</v>
      </c>
      <c r="EZ5" s="1823">
        <v>379806</v>
      </c>
      <c r="FA5" s="1823">
        <v>416746</v>
      </c>
      <c r="FB5" s="1823">
        <f t="shared" ref="FB5:FB32" si="50">+FA5+EZ5</f>
        <v>796552</v>
      </c>
      <c r="FC5" s="1833">
        <v>384092</v>
      </c>
      <c r="FD5" s="1834">
        <v>420443</v>
      </c>
      <c r="FE5" s="1834">
        <f t="shared" ref="FE5:FE32" si="51">+FD5+FC5</f>
        <v>804535</v>
      </c>
      <c r="FF5" s="1829">
        <v>382276</v>
      </c>
      <c r="FG5" s="1829">
        <v>423681</v>
      </c>
      <c r="FH5" s="1830">
        <f t="shared" ref="FH5:FH32" si="52">+FG5+FF5</f>
        <v>805957</v>
      </c>
      <c r="FI5" s="1823">
        <v>385826</v>
      </c>
      <c r="FJ5" s="1823">
        <v>429888</v>
      </c>
      <c r="FK5" s="1823">
        <f t="shared" ref="FK5:FK32" si="53">+FJ5+FI5</f>
        <v>815714</v>
      </c>
      <c r="FL5" s="1831">
        <v>393637</v>
      </c>
      <c r="FM5" s="1832">
        <v>439571</v>
      </c>
      <c r="FN5" s="1832">
        <f t="shared" ref="FN5:FN32" si="54">+FM5+FL5</f>
        <v>833208</v>
      </c>
      <c r="FO5" s="1823">
        <v>390714</v>
      </c>
      <c r="FP5" s="1823">
        <v>439008</v>
      </c>
      <c r="FQ5" s="1823">
        <f t="shared" ref="FQ5:FQ32" si="55">+FP5+FO5</f>
        <v>829722</v>
      </c>
      <c r="FR5" s="1835">
        <v>396140</v>
      </c>
      <c r="FS5" s="1834">
        <v>448072</v>
      </c>
      <c r="FT5" s="1834">
        <f t="shared" ref="FT5:FT32" si="56">+FS5+FR5</f>
        <v>844212</v>
      </c>
      <c r="FU5" s="1834">
        <v>397943</v>
      </c>
      <c r="FV5" s="1834">
        <v>451211</v>
      </c>
      <c r="FW5" s="1834">
        <f t="shared" ref="FW5:FW32" si="57">+FV5+FU5</f>
        <v>849154</v>
      </c>
      <c r="FX5" s="1834">
        <v>396337</v>
      </c>
      <c r="FY5" s="1834">
        <v>454085</v>
      </c>
      <c r="FZ5" s="1834">
        <f t="shared" ref="FZ5:FZ32" si="58">+FY5+FX5</f>
        <v>850422</v>
      </c>
      <c r="GA5" s="1834">
        <v>406026</v>
      </c>
      <c r="GB5" s="1834">
        <v>460987</v>
      </c>
      <c r="GC5" s="1834">
        <f t="shared" ref="GC5:GC32" si="59">+GB5+GA5</f>
        <v>867013</v>
      </c>
      <c r="GD5" s="1823">
        <v>410132</v>
      </c>
      <c r="GE5" s="1823">
        <v>461752</v>
      </c>
      <c r="GF5" s="1823">
        <f t="shared" ref="GF5:GF32" si="60">+GE5+GD5</f>
        <v>871884</v>
      </c>
      <c r="GG5" s="1823">
        <v>403955</v>
      </c>
      <c r="GH5" s="1823">
        <v>457445</v>
      </c>
      <c r="GI5" s="1823">
        <f t="shared" ref="GI5:GI32" si="61">+GH5+GG5</f>
        <v>861400</v>
      </c>
      <c r="GJ5" s="1823">
        <v>408744</v>
      </c>
      <c r="GK5" s="1823">
        <v>460743</v>
      </c>
      <c r="GL5" s="1823">
        <f t="shared" ref="GL5:GL32" si="62">+GK5+GJ5</f>
        <v>869487</v>
      </c>
      <c r="GM5" s="1833">
        <v>414181</v>
      </c>
      <c r="GN5" s="1834">
        <v>469225</v>
      </c>
      <c r="GO5" s="1834">
        <f t="shared" ref="GO5:GO32" si="63">+GN5+GM5</f>
        <v>883406</v>
      </c>
      <c r="GP5" s="1829">
        <v>415183</v>
      </c>
      <c r="GQ5" s="1829">
        <v>477749</v>
      </c>
      <c r="GR5" s="1830">
        <f t="shared" ref="GR5:GR32" si="64">+GQ5+GP5</f>
        <v>892932</v>
      </c>
      <c r="GS5" s="1823">
        <v>420676</v>
      </c>
      <c r="GT5" s="1823">
        <v>476486</v>
      </c>
      <c r="GU5" s="1823">
        <f t="shared" ref="GU5:GU32" si="65">+GT5+GS5</f>
        <v>897162</v>
      </c>
      <c r="GV5" s="1831">
        <v>422303</v>
      </c>
      <c r="GW5" s="1832">
        <v>482802</v>
      </c>
      <c r="GX5" s="1832">
        <f t="shared" ref="GX5:GX32" si="66">+GW5+GV5</f>
        <v>905105</v>
      </c>
      <c r="GY5" s="1823">
        <v>425775</v>
      </c>
      <c r="GZ5" s="1823">
        <v>492443</v>
      </c>
      <c r="HA5" s="1823">
        <f t="shared" ref="HA5:HA32" si="67">+GZ5+GY5</f>
        <v>918218</v>
      </c>
      <c r="HB5" s="1835">
        <v>433256</v>
      </c>
      <c r="HC5" s="1834">
        <v>508356</v>
      </c>
      <c r="HD5" s="1834">
        <f t="shared" ref="HD5:HD32" si="68">+HC5+HB5</f>
        <v>941612</v>
      </c>
      <c r="HE5" s="1834">
        <v>440576</v>
      </c>
      <c r="HF5" s="1834">
        <v>505745</v>
      </c>
      <c r="HG5" s="1834">
        <f t="shared" ref="HG5:HG32" si="69">+HF5+HE5</f>
        <v>946321</v>
      </c>
      <c r="HH5" s="1834">
        <v>440064</v>
      </c>
      <c r="HI5" s="1834">
        <v>519393</v>
      </c>
      <c r="HJ5" s="1834">
        <f t="shared" ref="HJ5:HJ32" si="70">+HI5+HH5</f>
        <v>959457</v>
      </c>
      <c r="HK5" s="1834">
        <v>446720</v>
      </c>
      <c r="HL5" s="1834">
        <v>518833</v>
      </c>
      <c r="HM5" s="1834">
        <f t="shared" ref="HM5:HM32" si="71">+HL5+HK5</f>
        <v>965553</v>
      </c>
      <c r="HN5" s="1823">
        <v>445321</v>
      </c>
      <c r="HO5" s="1823">
        <v>517711</v>
      </c>
      <c r="HP5" s="1823">
        <f t="shared" ref="HP5:HP32" si="72">+HO5+HN5</f>
        <v>963032</v>
      </c>
      <c r="HQ5" s="1823">
        <v>455166</v>
      </c>
      <c r="HR5" s="1823">
        <v>527310</v>
      </c>
      <c r="HS5" s="1823">
        <f t="shared" ref="HS5:HS32" si="73">+HR5+HQ5</f>
        <v>982476</v>
      </c>
      <c r="HT5" s="1823">
        <v>455933</v>
      </c>
      <c r="HU5" s="1823">
        <v>535137</v>
      </c>
      <c r="HV5" s="1823">
        <f t="shared" ref="HV5:HV32" si="74">+HU5+HT5</f>
        <v>991070</v>
      </c>
      <c r="HW5" s="1836">
        <v>452702</v>
      </c>
      <c r="HX5" s="1837">
        <v>531545</v>
      </c>
      <c r="HY5" s="1834">
        <f t="shared" ref="HY5:HY32" si="75">+HX5+HW5</f>
        <v>984247</v>
      </c>
      <c r="HZ5" s="1829">
        <v>451243</v>
      </c>
      <c r="IA5" s="1829">
        <v>532507</v>
      </c>
      <c r="IB5" s="1830">
        <f t="shared" ref="IB5:IB32" si="76">+IA5+HZ5</f>
        <v>983750</v>
      </c>
      <c r="IC5" s="1823">
        <v>458056</v>
      </c>
      <c r="ID5" s="1823">
        <v>549230</v>
      </c>
      <c r="IE5" s="1823">
        <f t="shared" ref="IE5:IE32" si="77">+ID5+IC5</f>
        <v>1007286</v>
      </c>
      <c r="IF5" s="1831">
        <v>458944</v>
      </c>
      <c r="IG5" s="1832">
        <v>544546</v>
      </c>
      <c r="IH5" s="1832">
        <f t="shared" ref="IH5:IH32" si="78">+IG5+IF5</f>
        <v>1003490</v>
      </c>
      <c r="II5" s="1815">
        <v>479396</v>
      </c>
      <c r="IJ5" s="1815">
        <v>556109</v>
      </c>
      <c r="IK5" s="1815">
        <f t="shared" ref="IK5:IL32" si="79">+IJ5+II5</f>
        <v>1035505</v>
      </c>
      <c r="IL5" s="1815">
        <f t="shared" si="79"/>
        <v>1591614</v>
      </c>
    </row>
    <row r="6" spans="1:246" hidden="1">
      <c r="A6" s="1899" t="s">
        <v>124</v>
      </c>
      <c r="B6" s="1815">
        <v>57190</v>
      </c>
      <c r="C6" s="1815">
        <v>15768</v>
      </c>
      <c r="D6" s="1823">
        <f t="shared" si="0"/>
        <v>72958</v>
      </c>
      <c r="E6" s="1824">
        <v>96296</v>
      </c>
      <c r="F6" s="1824">
        <v>18518</v>
      </c>
      <c r="G6" s="1824">
        <f t="shared" si="1"/>
        <v>114814</v>
      </c>
      <c r="H6" s="1824">
        <v>76762</v>
      </c>
      <c r="I6" s="1824">
        <v>20167</v>
      </c>
      <c r="J6" s="1824">
        <f t="shared" si="2"/>
        <v>96929</v>
      </c>
      <c r="K6" s="1825">
        <v>83466</v>
      </c>
      <c r="L6" s="1825">
        <v>23865</v>
      </c>
      <c r="M6" s="1825">
        <f t="shared" si="3"/>
        <v>107331</v>
      </c>
      <c r="N6" s="1826">
        <v>74821</v>
      </c>
      <c r="O6" s="1826">
        <v>23089</v>
      </c>
      <c r="P6" s="1827">
        <f t="shared" si="4"/>
        <v>97910</v>
      </c>
      <c r="Q6" s="1823">
        <v>68526</v>
      </c>
      <c r="R6" s="1823">
        <v>25932</v>
      </c>
      <c r="S6" s="1823">
        <f t="shared" si="5"/>
        <v>94458</v>
      </c>
      <c r="T6" s="1823">
        <v>70121</v>
      </c>
      <c r="U6" s="1823">
        <v>26405</v>
      </c>
      <c r="V6" s="1823">
        <f t="shared" si="6"/>
        <v>96526</v>
      </c>
      <c r="W6" s="1825">
        <v>70574</v>
      </c>
      <c r="X6" s="1825">
        <v>26922</v>
      </c>
      <c r="Y6" s="1825">
        <f t="shared" si="7"/>
        <v>97496</v>
      </c>
      <c r="Z6" s="1825">
        <v>71730</v>
      </c>
      <c r="AA6" s="1825">
        <v>29463</v>
      </c>
      <c r="AB6" s="1825">
        <f t="shared" si="8"/>
        <v>101193</v>
      </c>
      <c r="AC6" s="1828">
        <v>84741</v>
      </c>
      <c r="AD6" s="1828">
        <v>34964</v>
      </c>
      <c r="AE6" s="1828">
        <f t="shared" si="9"/>
        <v>119705</v>
      </c>
      <c r="AF6" s="1829">
        <v>75815</v>
      </c>
      <c r="AG6" s="1829">
        <v>32215</v>
      </c>
      <c r="AH6" s="1830">
        <f t="shared" si="10"/>
        <v>108030</v>
      </c>
      <c r="AI6" s="1829">
        <v>76782</v>
      </c>
      <c r="AJ6" s="1829">
        <v>33202</v>
      </c>
      <c r="AK6" s="1830">
        <f t="shared" si="11"/>
        <v>109984</v>
      </c>
      <c r="AL6" s="1823">
        <v>80281</v>
      </c>
      <c r="AM6" s="1823">
        <v>35724</v>
      </c>
      <c r="AN6" s="1823">
        <f t="shared" si="12"/>
        <v>116005</v>
      </c>
      <c r="AO6" s="1829">
        <v>80268</v>
      </c>
      <c r="AP6" s="1829">
        <v>37398</v>
      </c>
      <c r="AQ6" s="1830">
        <f t="shared" si="13"/>
        <v>117666</v>
      </c>
      <c r="AR6" s="1829">
        <v>84746</v>
      </c>
      <c r="AS6" s="1829">
        <v>41833</v>
      </c>
      <c r="AT6" s="1830">
        <f t="shared" si="14"/>
        <v>126579</v>
      </c>
      <c r="AU6" s="1829">
        <v>88892</v>
      </c>
      <c r="AV6" s="1829">
        <v>46801</v>
      </c>
      <c r="AW6" s="1830">
        <f t="shared" si="15"/>
        <v>135693</v>
      </c>
      <c r="AX6" s="1829">
        <v>93327</v>
      </c>
      <c r="AY6" s="1829">
        <v>51486</v>
      </c>
      <c r="AZ6" s="1830">
        <f t="shared" si="16"/>
        <v>144813</v>
      </c>
      <c r="BA6" s="1823">
        <v>93807</v>
      </c>
      <c r="BB6" s="1823">
        <v>53839</v>
      </c>
      <c r="BC6" s="1823">
        <f t="shared" si="17"/>
        <v>147646</v>
      </c>
      <c r="BD6" s="1838">
        <v>95067</v>
      </c>
      <c r="BE6" s="1839">
        <v>56572</v>
      </c>
      <c r="BF6" s="1832">
        <f t="shared" si="18"/>
        <v>151639</v>
      </c>
      <c r="BG6" s="1823">
        <v>93439</v>
      </c>
      <c r="BH6" s="1823">
        <v>60146</v>
      </c>
      <c r="BI6" s="1823">
        <f t="shared" si="19"/>
        <v>153585</v>
      </c>
      <c r="BJ6" s="1833">
        <v>94232</v>
      </c>
      <c r="BK6" s="1834">
        <v>63616</v>
      </c>
      <c r="BL6" s="1834">
        <f t="shared" si="20"/>
        <v>157848</v>
      </c>
      <c r="BM6" s="1834">
        <v>99019</v>
      </c>
      <c r="BN6" s="1834">
        <v>69256</v>
      </c>
      <c r="BO6" s="1834">
        <f t="shared" si="21"/>
        <v>168275</v>
      </c>
      <c r="BP6" s="1834">
        <v>100512</v>
      </c>
      <c r="BQ6" s="1834">
        <v>72497</v>
      </c>
      <c r="BR6" s="1834">
        <f t="shared" si="22"/>
        <v>173009</v>
      </c>
      <c r="BS6" s="1834">
        <v>109287</v>
      </c>
      <c r="BT6" s="1834">
        <v>78905</v>
      </c>
      <c r="BU6" s="1834">
        <f t="shared" si="23"/>
        <v>188192</v>
      </c>
      <c r="BV6" s="1823">
        <v>114980</v>
      </c>
      <c r="BW6" s="1823">
        <v>84663</v>
      </c>
      <c r="BX6" s="1823">
        <f t="shared" si="24"/>
        <v>199643</v>
      </c>
      <c r="BY6" s="1823">
        <v>109410</v>
      </c>
      <c r="BZ6" s="1823">
        <v>78908</v>
      </c>
      <c r="CA6" s="1823">
        <v>120303</v>
      </c>
      <c r="CB6" s="1823">
        <v>91128</v>
      </c>
      <c r="CC6" s="1823">
        <f t="shared" si="25"/>
        <v>211431</v>
      </c>
      <c r="CD6" s="1823">
        <v>127829</v>
      </c>
      <c r="CE6" s="1823">
        <v>99266</v>
      </c>
      <c r="CF6" s="1823">
        <f t="shared" si="26"/>
        <v>227095</v>
      </c>
      <c r="CG6" s="1833">
        <v>131895</v>
      </c>
      <c r="CH6" s="1834">
        <v>106214</v>
      </c>
      <c r="CI6" s="1834">
        <f t="shared" si="27"/>
        <v>238109</v>
      </c>
      <c r="CJ6" s="1823">
        <v>131316</v>
      </c>
      <c r="CK6" s="1823">
        <v>105824</v>
      </c>
      <c r="CL6" s="1829">
        <v>135410</v>
      </c>
      <c r="CM6" s="1829">
        <v>113681</v>
      </c>
      <c r="CN6" s="1830">
        <f t="shared" si="28"/>
        <v>249091</v>
      </c>
      <c r="CO6" s="1823">
        <v>142921</v>
      </c>
      <c r="CP6" s="1823">
        <v>119635</v>
      </c>
      <c r="CQ6" s="1823">
        <f t="shared" si="29"/>
        <v>262556</v>
      </c>
      <c r="CR6" s="1838">
        <v>143982</v>
      </c>
      <c r="CS6" s="1839">
        <v>125157</v>
      </c>
      <c r="CT6" s="1832">
        <f t="shared" si="30"/>
        <v>269139</v>
      </c>
      <c r="CU6" s="1823">
        <v>146086</v>
      </c>
      <c r="CV6" s="1823">
        <v>128561</v>
      </c>
      <c r="CW6" s="1823">
        <f t="shared" si="31"/>
        <v>274647</v>
      </c>
      <c r="CX6" s="1833">
        <v>147445</v>
      </c>
      <c r="CY6" s="1834">
        <v>133565</v>
      </c>
      <c r="CZ6" s="1834">
        <f t="shared" si="32"/>
        <v>281010</v>
      </c>
      <c r="DA6" s="1834">
        <v>146419</v>
      </c>
      <c r="DB6" s="1834">
        <v>136414</v>
      </c>
      <c r="DC6" s="1834">
        <f t="shared" si="33"/>
        <v>282833</v>
      </c>
      <c r="DD6" s="1834">
        <v>157175</v>
      </c>
      <c r="DE6" s="1834">
        <v>144019</v>
      </c>
      <c r="DF6" s="1834">
        <f t="shared" si="34"/>
        <v>301194</v>
      </c>
      <c r="DG6" s="1834">
        <v>155264</v>
      </c>
      <c r="DH6" s="1834">
        <v>148015</v>
      </c>
      <c r="DI6" s="1834">
        <f t="shared" si="35"/>
        <v>303279</v>
      </c>
      <c r="DJ6" s="1823">
        <v>157630</v>
      </c>
      <c r="DK6" s="1823">
        <v>152589</v>
      </c>
      <c r="DL6" s="1823">
        <f t="shared" si="36"/>
        <v>310219</v>
      </c>
      <c r="DM6" s="1823">
        <v>161273</v>
      </c>
      <c r="DN6" s="1823">
        <v>157421</v>
      </c>
      <c r="DO6" s="1823">
        <f t="shared" si="37"/>
        <v>318694</v>
      </c>
      <c r="DP6" s="1823">
        <v>163455</v>
      </c>
      <c r="DQ6" s="1823">
        <v>163325</v>
      </c>
      <c r="DR6" s="1823">
        <f t="shared" si="38"/>
        <v>326780</v>
      </c>
      <c r="DS6" s="1833">
        <v>167405</v>
      </c>
      <c r="DT6" s="1834">
        <v>167611</v>
      </c>
      <c r="DU6" s="1834">
        <f t="shared" si="39"/>
        <v>335016</v>
      </c>
      <c r="DV6" s="1829">
        <v>170904</v>
      </c>
      <c r="DW6" s="1829">
        <v>172974</v>
      </c>
      <c r="DX6" s="1830">
        <f t="shared" si="40"/>
        <v>343878</v>
      </c>
      <c r="DY6" s="1823">
        <v>173323</v>
      </c>
      <c r="DZ6" s="1823">
        <v>176989</v>
      </c>
      <c r="EA6" s="1823">
        <f t="shared" si="41"/>
        <v>350312</v>
      </c>
      <c r="EB6" s="1838">
        <v>180268</v>
      </c>
      <c r="EC6" s="1839">
        <v>190276</v>
      </c>
      <c r="ED6" s="1832">
        <f t="shared" si="42"/>
        <v>370544</v>
      </c>
      <c r="EE6" s="1823">
        <v>181421</v>
      </c>
      <c r="EF6" s="1823">
        <v>187792</v>
      </c>
      <c r="EG6" s="1823">
        <f t="shared" si="43"/>
        <v>369213</v>
      </c>
      <c r="EH6" s="1833">
        <v>179750</v>
      </c>
      <c r="EI6" s="1834">
        <v>187582</v>
      </c>
      <c r="EJ6" s="1834">
        <f t="shared" si="44"/>
        <v>367332</v>
      </c>
      <c r="EK6" s="1834">
        <v>190431</v>
      </c>
      <c r="EL6" s="1834">
        <v>199807</v>
      </c>
      <c r="EM6" s="1834">
        <f t="shared" si="45"/>
        <v>390238</v>
      </c>
      <c r="EN6" s="1834">
        <v>190221</v>
      </c>
      <c r="EO6" s="1834">
        <v>200558</v>
      </c>
      <c r="EP6" s="1834">
        <f t="shared" si="46"/>
        <v>390779</v>
      </c>
      <c r="EQ6" s="1834">
        <v>191480</v>
      </c>
      <c r="ER6" s="1834">
        <v>205409</v>
      </c>
      <c r="ES6" s="1834">
        <f t="shared" si="47"/>
        <v>396889</v>
      </c>
      <c r="ET6" s="1823">
        <v>193313</v>
      </c>
      <c r="EU6" s="1823">
        <v>209008</v>
      </c>
      <c r="EV6" s="1823">
        <f t="shared" si="48"/>
        <v>402321</v>
      </c>
      <c r="EW6" s="1823">
        <v>198140</v>
      </c>
      <c r="EX6" s="1823">
        <v>212743</v>
      </c>
      <c r="EY6" s="1823">
        <f t="shared" si="49"/>
        <v>410883</v>
      </c>
      <c r="EZ6" s="1823">
        <v>194288</v>
      </c>
      <c r="FA6" s="1823">
        <v>216375</v>
      </c>
      <c r="FB6" s="1823">
        <f t="shared" si="50"/>
        <v>410663</v>
      </c>
      <c r="FC6" s="1833">
        <v>194649</v>
      </c>
      <c r="FD6" s="1834">
        <v>209939</v>
      </c>
      <c r="FE6" s="1834">
        <f t="shared" si="51"/>
        <v>404588</v>
      </c>
      <c r="FF6" s="1829">
        <v>195685</v>
      </c>
      <c r="FG6" s="1829">
        <v>211480</v>
      </c>
      <c r="FH6" s="1830">
        <f t="shared" si="52"/>
        <v>407165</v>
      </c>
      <c r="FI6" s="1823">
        <v>198126</v>
      </c>
      <c r="FJ6" s="1823">
        <v>213782</v>
      </c>
      <c r="FK6" s="1823">
        <f t="shared" si="53"/>
        <v>411908</v>
      </c>
      <c r="FL6" s="1838">
        <v>199786</v>
      </c>
      <c r="FM6" s="1839">
        <v>216627</v>
      </c>
      <c r="FN6" s="1832">
        <f t="shared" si="54"/>
        <v>416413</v>
      </c>
      <c r="FO6" s="1823">
        <v>199621</v>
      </c>
      <c r="FP6" s="1823">
        <v>215413</v>
      </c>
      <c r="FQ6" s="1823">
        <f t="shared" si="55"/>
        <v>415034</v>
      </c>
      <c r="FR6" s="1835">
        <v>200601</v>
      </c>
      <c r="FS6" s="1834">
        <v>217474</v>
      </c>
      <c r="FT6" s="1834">
        <f t="shared" si="56"/>
        <v>418075</v>
      </c>
      <c r="FU6" s="1834">
        <v>203294</v>
      </c>
      <c r="FV6" s="1834">
        <v>219450</v>
      </c>
      <c r="FW6" s="1834">
        <f t="shared" si="57"/>
        <v>422744</v>
      </c>
      <c r="FX6" s="1834">
        <v>199907</v>
      </c>
      <c r="FY6" s="1834">
        <v>218498</v>
      </c>
      <c r="FZ6" s="1834">
        <f t="shared" si="58"/>
        <v>418405</v>
      </c>
      <c r="GA6" s="1834">
        <v>201638</v>
      </c>
      <c r="GB6" s="1834">
        <v>220038</v>
      </c>
      <c r="GC6" s="1834">
        <f t="shared" si="59"/>
        <v>421676</v>
      </c>
      <c r="GD6" s="1823">
        <v>205908</v>
      </c>
      <c r="GE6" s="1823">
        <v>223974</v>
      </c>
      <c r="GF6" s="1823">
        <f t="shared" si="60"/>
        <v>429882</v>
      </c>
      <c r="GG6" s="1823">
        <v>202804</v>
      </c>
      <c r="GH6" s="1823">
        <v>219385</v>
      </c>
      <c r="GI6" s="1823">
        <f t="shared" si="61"/>
        <v>422189</v>
      </c>
      <c r="GJ6" s="1823">
        <v>205189</v>
      </c>
      <c r="GK6" s="1823">
        <v>220467</v>
      </c>
      <c r="GL6" s="1823">
        <f t="shared" si="62"/>
        <v>425656</v>
      </c>
      <c r="GM6" s="1833">
        <v>204590</v>
      </c>
      <c r="GN6" s="1834">
        <v>220020</v>
      </c>
      <c r="GO6" s="1834">
        <f t="shared" si="63"/>
        <v>424610</v>
      </c>
      <c r="GP6" s="1829">
        <v>207498</v>
      </c>
      <c r="GQ6" s="1829">
        <v>221504</v>
      </c>
      <c r="GR6" s="1830">
        <f t="shared" si="64"/>
        <v>429002</v>
      </c>
      <c r="GS6" s="1823">
        <v>206143</v>
      </c>
      <c r="GT6" s="1823">
        <v>219992</v>
      </c>
      <c r="GU6" s="1823">
        <f t="shared" si="65"/>
        <v>426135</v>
      </c>
      <c r="GV6" s="1838">
        <v>208692</v>
      </c>
      <c r="GW6" s="1839">
        <v>222835</v>
      </c>
      <c r="GX6" s="1832">
        <f t="shared" si="66"/>
        <v>431527</v>
      </c>
      <c r="GY6" s="1823">
        <v>211490</v>
      </c>
      <c r="GZ6" s="1823">
        <v>228892</v>
      </c>
      <c r="HA6" s="1823">
        <f t="shared" si="67"/>
        <v>440382</v>
      </c>
      <c r="HB6" s="1835">
        <v>210986</v>
      </c>
      <c r="HC6" s="1834">
        <v>227793</v>
      </c>
      <c r="HD6" s="1834">
        <f t="shared" si="68"/>
        <v>438779</v>
      </c>
      <c r="HE6" s="1834">
        <v>210326</v>
      </c>
      <c r="HF6" s="1834">
        <v>224707</v>
      </c>
      <c r="HG6" s="1834">
        <f t="shared" si="69"/>
        <v>435033</v>
      </c>
      <c r="HH6" s="1834">
        <v>208559</v>
      </c>
      <c r="HI6" s="1834">
        <v>226587</v>
      </c>
      <c r="HJ6" s="1834">
        <f t="shared" si="70"/>
        <v>435146</v>
      </c>
      <c r="HK6" s="1834">
        <v>210453</v>
      </c>
      <c r="HL6" s="1834">
        <v>226027</v>
      </c>
      <c r="HM6" s="1834">
        <f t="shared" si="71"/>
        <v>436480</v>
      </c>
      <c r="HN6" s="1823">
        <v>209680</v>
      </c>
      <c r="HO6" s="1823">
        <v>225867</v>
      </c>
      <c r="HP6" s="1823">
        <f t="shared" si="72"/>
        <v>435547</v>
      </c>
      <c r="HQ6" s="1823">
        <v>207898</v>
      </c>
      <c r="HR6" s="1823">
        <v>225039</v>
      </c>
      <c r="HS6" s="1823">
        <f t="shared" si="73"/>
        <v>432937</v>
      </c>
      <c r="HT6" s="1823">
        <v>211946</v>
      </c>
      <c r="HU6" s="1823">
        <v>227822</v>
      </c>
      <c r="HV6" s="1823">
        <f t="shared" si="74"/>
        <v>439768</v>
      </c>
      <c r="HW6" s="1836">
        <v>190292</v>
      </c>
      <c r="HX6" s="1837">
        <v>236952</v>
      </c>
      <c r="HY6" s="1834">
        <f t="shared" si="75"/>
        <v>427244</v>
      </c>
      <c r="HZ6" s="1830">
        <v>189346</v>
      </c>
      <c r="IA6" s="1830">
        <v>253816</v>
      </c>
      <c r="IB6" s="1830">
        <f t="shared" si="76"/>
        <v>443162</v>
      </c>
      <c r="IC6" s="1823">
        <v>191854</v>
      </c>
      <c r="ID6" s="1823">
        <v>268313</v>
      </c>
      <c r="IE6" s="1823">
        <f t="shared" si="77"/>
        <v>460167</v>
      </c>
      <c r="IF6" s="1831">
        <v>193640</v>
      </c>
      <c r="IG6" s="1832">
        <v>242951</v>
      </c>
      <c r="IH6" s="1832">
        <f t="shared" si="78"/>
        <v>436591</v>
      </c>
      <c r="II6" s="1815">
        <v>194406</v>
      </c>
      <c r="IJ6" s="1815">
        <v>261537</v>
      </c>
      <c r="IK6" s="1815">
        <f t="shared" si="79"/>
        <v>455943</v>
      </c>
      <c r="IL6" s="1815">
        <f t="shared" si="79"/>
        <v>717480</v>
      </c>
    </row>
    <row r="7" spans="1:246" hidden="1">
      <c r="A7" s="1899" t="s">
        <v>1602</v>
      </c>
      <c r="B7" s="1815">
        <v>77622</v>
      </c>
      <c r="C7" s="1815">
        <v>70992</v>
      </c>
      <c r="D7" s="1823">
        <f t="shared" si="0"/>
        <v>148614</v>
      </c>
      <c r="E7" s="1824">
        <v>79729</v>
      </c>
      <c r="F7" s="1824">
        <v>71068</v>
      </c>
      <c r="G7" s="1824">
        <f t="shared" si="1"/>
        <v>150797</v>
      </c>
      <c r="H7" s="1824">
        <v>81514</v>
      </c>
      <c r="I7" s="1824">
        <v>73845</v>
      </c>
      <c r="J7" s="1824">
        <f t="shared" si="2"/>
        <v>155359</v>
      </c>
      <c r="K7" s="1825">
        <v>84534</v>
      </c>
      <c r="L7" s="1825">
        <v>76353</v>
      </c>
      <c r="M7" s="1825">
        <f t="shared" si="3"/>
        <v>160887</v>
      </c>
      <c r="N7" s="1827">
        <v>86617</v>
      </c>
      <c r="O7" s="1827">
        <v>78539</v>
      </c>
      <c r="P7" s="1827">
        <f t="shared" si="4"/>
        <v>165156</v>
      </c>
      <c r="Q7" s="1823">
        <v>84387</v>
      </c>
      <c r="R7" s="1823">
        <v>77975</v>
      </c>
      <c r="S7" s="1823">
        <f t="shared" si="5"/>
        <v>162362</v>
      </c>
      <c r="T7" s="1823">
        <v>86592</v>
      </c>
      <c r="U7" s="1823">
        <v>79416</v>
      </c>
      <c r="V7" s="1823">
        <f t="shared" si="6"/>
        <v>166008</v>
      </c>
      <c r="W7" s="1825">
        <v>88338</v>
      </c>
      <c r="X7" s="1825">
        <v>80584</v>
      </c>
      <c r="Y7" s="1825">
        <f t="shared" si="7"/>
        <v>168922</v>
      </c>
      <c r="Z7" s="1825">
        <v>87428</v>
      </c>
      <c r="AA7" s="1825">
        <v>81181</v>
      </c>
      <c r="AB7" s="1825">
        <f t="shared" si="8"/>
        <v>168609</v>
      </c>
      <c r="AC7" s="1828">
        <v>88887</v>
      </c>
      <c r="AD7" s="1828">
        <v>82886</v>
      </c>
      <c r="AE7" s="1828">
        <f t="shared" si="9"/>
        <v>171773</v>
      </c>
      <c r="AF7" s="1830">
        <v>89014</v>
      </c>
      <c r="AG7" s="1830">
        <v>84396</v>
      </c>
      <c r="AH7" s="1830">
        <f t="shared" si="10"/>
        <v>173410</v>
      </c>
      <c r="AI7" s="1830">
        <v>89329</v>
      </c>
      <c r="AJ7" s="1830">
        <v>80383</v>
      </c>
      <c r="AK7" s="1830">
        <f t="shared" si="11"/>
        <v>169712</v>
      </c>
      <c r="AL7" s="1823">
        <v>90446</v>
      </c>
      <c r="AM7" s="1823">
        <v>82688</v>
      </c>
      <c r="AN7" s="1823">
        <f t="shared" si="12"/>
        <v>173134</v>
      </c>
      <c r="AO7" s="1830">
        <v>92895</v>
      </c>
      <c r="AP7" s="1830">
        <v>84287</v>
      </c>
      <c r="AQ7" s="1830">
        <f t="shared" si="13"/>
        <v>177182</v>
      </c>
      <c r="AR7" s="1830">
        <v>96746</v>
      </c>
      <c r="AS7" s="1830">
        <v>86943</v>
      </c>
      <c r="AT7" s="1830">
        <f t="shared" si="14"/>
        <v>183689</v>
      </c>
      <c r="AU7" s="1830">
        <v>98991</v>
      </c>
      <c r="AV7" s="1830">
        <v>91158</v>
      </c>
      <c r="AW7" s="1830">
        <f t="shared" si="15"/>
        <v>190149</v>
      </c>
      <c r="AX7" s="1830">
        <v>101109</v>
      </c>
      <c r="AY7" s="1830">
        <v>94922</v>
      </c>
      <c r="AZ7" s="1830">
        <f t="shared" si="16"/>
        <v>196031</v>
      </c>
      <c r="BA7" s="1823">
        <v>103057</v>
      </c>
      <c r="BB7" s="1823">
        <v>98137</v>
      </c>
      <c r="BC7" s="1823">
        <f t="shared" si="17"/>
        <v>201194</v>
      </c>
      <c r="BD7" s="1831">
        <v>102887</v>
      </c>
      <c r="BE7" s="1832">
        <v>100052</v>
      </c>
      <c r="BF7" s="1832">
        <f t="shared" si="18"/>
        <v>202939</v>
      </c>
      <c r="BG7" s="1823">
        <v>104532</v>
      </c>
      <c r="BH7" s="1823">
        <v>102932</v>
      </c>
      <c r="BI7" s="1823">
        <f t="shared" si="19"/>
        <v>207464</v>
      </c>
      <c r="BJ7" s="1833">
        <v>105497</v>
      </c>
      <c r="BK7" s="1834">
        <v>104286</v>
      </c>
      <c r="BL7" s="1834">
        <f t="shared" si="20"/>
        <v>209783</v>
      </c>
      <c r="BM7" s="1834">
        <v>108046</v>
      </c>
      <c r="BN7" s="1834">
        <v>107964</v>
      </c>
      <c r="BO7" s="1834">
        <f t="shared" si="21"/>
        <v>216010</v>
      </c>
      <c r="BP7" s="1834">
        <v>108119</v>
      </c>
      <c r="BQ7" s="1834">
        <v>109170</v>
      </c>
      <c r="BR7" s="1834">
        <f t="shared" si="22"/>
        <v>217289</v>
      </c>
      <c r="BS7" s="1834">
        <v>110820</v>
      </c>
      <c r="BT7" s="1834">
        <v>112578</v>
      </c>
      <c r="BU7" s="1834">
        <f t="shared" si="23"/>
        <v>223398</v>
      </c>
      <c r="BV7" s="1823">
        <v>114793</v>
      </c>
      <c r="BW7" s="1823">
        <v>116710</v>
      </c>
      <c r="BX7" s="1823">
        <f t="shared" si="24"/>
        <v>231503</v>
      </c>
      <c r="BY7" s="1823">
        <v>111464</v>
      </c>
      <c r="BZ7" s="1823">
        <v>113263</v>
      </c>
      <c r="CA7" s="1823">
        <v>115844</v>
      </c>
      <c r="CB7" s="1823">
        <v>119257</v>
      </c>
      <c r="CC7" s="1823">
        <f t="shared" si="25"/>
        <v>235101</v>
      </c>
      <c r="CD7" s="1823">
        <v>113451</v>
      </c>
      <c r="CE7" s="1823">
        <v>118420</v>
      </c>
      <c r="CF7" s="1823">
        <f t="shared" si="26"/>
        <v>231871</v>
      </c>
      <c r="CG7" s="1833">
        <v>119044</v>
      </c>
      <c r="CH7" s="1834">
        <v>123337</v>
      </c>
      <c r="CI7" s="1834">
        <f t="shared" si="27"/>
        <v>242381</v>
      </c>
      <c r="CJ7" s="1823">
        <v>118643</v>
      </c>
      <c r="CK7" s="1823">
        <v>123185</v>
      </c>
      <c r="CL7" s="1830">
        <v>120882</v>
      </c>
      <c r="CM7" s="1830">
        <v>126086</v>
      </c>
      <c r="CN7" s="1830">
        <f t="shared" si="28"/>
        <v>246968</v>
      </c>
      <c r="CO7" s="1823">
        <v>127287</v>
      </c>
      <c r="CP7" s="1823">
        <v>130808</v>
      </c>
      <c r="CQ7" s="1823">
        <f t="shared" si="29"/>
        <v>258095</v>
      </c>
      <c r="CR7" s="1831">
        <v>126321</v>
      </c>
      <c r="CS7" s="1832">
        <v>131712</v>
      </c>
      <c r="CT7" s="1832">
        <f t="shared" si="30"/>
        <v>258033</v>
      </c>
      <c r="CU7" s="1823">
        <v>130159</v>
      </c>
      <c r="CV7" s="1823">
        <v>136763</v>
      </c>
      <c r="CW7" s="1823">
        <f t="shared" si="31"/>
        <v>266922</v>
      </c>
      <c r="CX7" s="1833">
        <v>129637</v>
      </c>
      <c r="CY7" s="1834">
        <v>136945</v>
      </c>
      <c r="CZ7" s="1834">
        <f t="shared" si="32"/>
        <v>266582</v>
      </c>
      <c r="DA7" s="1834">
        <v>130792</v>
      </c>
      <c r="DB7" s="1834">
        <v>138822</v>
      </c>
      <c r="DC7" s="1834">
        <f t="shared" si="33"/>
        <v>269614</v>
      </c>
      <c r="DD7" s="1834">
        <v>134117</v>
      </c>
      <c r="DE7" s="1834">
        <v>141664</v>
      </c>
      <c r="DF7" s="1834">
        <f t="shared" si="34"/>
        <v>275781</v>
      </c>
      <c r="DG7" s="1834">
        <v>134912</v>
      </c>
      <c r="DH7" s="1834">
        <v>144224</v>
      </c>
      <c r="DI7" s="1834">
        <f t="shared" si="35"/>
        <v>279136</v>
      </c>
      <c r="DJ7" s="1823">
        <v>137034</v>
      </c>
      <c r="DK7" s="1823">
        <v>147675</v>
      </c>
      <c r="DL7" s="1823">
        <f t="shared" si="36"/>
        <v>284709</v>
      </c>
      <c r="DM7" s="1823">
        <v>139133</v>
      </c>
      <c r="DN7" s="1823">
        <v>150163</v>
      </c>
      <c r="DO7" s="1823">
        <f t="shared" si="37"/>
        <v>289296</v>
      </c>
      <c r="DP7" s="1823">
        <v>141136</v>
      </c>
      <c r="DQ7" s="1823">
        <v>153552</v>
      </c>
      <c r="DR7" s="1823">
        <f t="shared" si="38"/>
        <v>294688</v>
      </c>
      <c r="DS7" s="1833">
        <v>143190</v>
      </c>
      <c r="DT7" s="1834">
        <v>155949</v>
      </c>
      <c r="DU7" s="1834">
        <f t="shared" si="39"/>
        <v>299139</v>
      </c>
      <c r="DV7" s="1830">
        <v>142396</v>
      </c>
      <c r="DW7" s="1830">
        <v>155890</v>
      </c>
      <c r="DX7" s="1830">
        <f t="shared" si="40"/>
        <v>298286</v>
      </c>
      <c r="DY7" s="1823">
        <v>143102</v>
      </c>
      <c r="DZ7" s="1823">
        <v>156684</v>
      </c>
      <c r="EA7" s="1823">
        <f t="shared" si="41"/>
        <v>299786</v>
      </c>
      <c r="EB7" s="1831">
        <v>147004</v>
      </c>
      <c r="EC7" s="1832">
        <v>160987</v>
      </c>
      <c r="ED7" s="1832">
        <f t="shared" si="42"/>
        <v>307991</v>
      </c>
      <c r="EE7" s="1823">
        <v>148486</v>
      </c>
      <c r="EF7" s="1823">
        <v>166072</v>
      </c>
      <c r="EG7" s="1823">
        <f t="shared" si="43"/>
        <v>314558</v>
      </c>
      <c r="EH7" s="1833">
        <v>147012</v>
      </c>
      <c r="EI7" s="1834">
        <v>164216</v>
      </c>
      <c r="EJ7" s="1834">
        <f t="shared" si="44"/>
        <v>311228</v>
      </c>
      <c r="EK7" s="1834">
        <v>149762</v>
      </c>
      <c r="EL7" s="1834">
        <v>168280</v>
      </c>
      <c r="EM7" s="1834">
        <f t="shared" si="45"/>
        <v>318042</v>
      </c>
      <c r="EN7" s="1834">
        <v>150456</v>
      </c>
      <c r="EO7" s="1834">
        <v>169106</v>
      </c>
      <c r="EP7" s="1834">
        <f t="shared" si="46"/>
        <v>319562</v>
      </c>
      <c r="EQ7" s="1834">
        <v>151758</v>
      </c>
      <c r="ER7" s="1834">
        <v>172622</v>
      </c>
      <c r="ES7" s="1834">
        <f t="shared" si="47"/>
        <v>324380</v>
      </c>
      <c r="ET7" s="1823">
        <v>151755</v>
      </c>
      <c r="EU7" s="1823">
        <v>173923</v>
      </c>
      <c r="EV7" s="1823">
        <f t="shared" si="48"/>
        <v>325678</v>
      </c>
      <c r="EW7" s="1823">
        <v>152076</v>
      </c>
      <c r="EX7" s="1823">
        <v>173442</v>
      </c>
      <c r="EY7" s="1823">
        <f t="shared" si="49"/>
        <v>325518</v>
      </c>
      <c r="EZ7" s="1823">
        <v>152131</v>
      </c>
      <c r="FA7" s="1823">
        <v>174897</v>
      </c>
      <c r="FB7" s="1823">
        <f t="shared" si="50"/>
        <v>327028</v>
      </c>
      <c r="FC7" s="1833">
        <v>153793</v>
      </c>
      <c r="FD7" s="1834">
        <v>177740</v>
      </c>
      <c r="FE7" s="1834">
        <f t="shared" si="51"/>
        <v>331533</v>
      </c>
      <c r="FF7" s="1830">
        <v>154821</v>
      </c>
      <c r="FG7" s="1830">
        <v>179856</v>
      </c>
      <c r="FH7" s="1830">
        <f t="shared" si="52"/>
        <v>334677</v>
      </c>
      <c r="FI7" s="1823">
        <v>156240</v>
      </c>
      <c r="FJ7" s="1823">
        <v>182355</v>
      </c>
      <c r="FK7" s="1823">
        <f t="shared" si="53"/>
        <v>338595</v>
      </c>
      <c r="FL7" s="1831">
        <v>157706</v>
      </c>
      <c r="FM7" s="1832">
        <v>185585</v>
      </c>
      <c r="FN7" s="1832">
        <f t="shared" si="54"/>
        <v>343291</v>
      </c>
      <c r="FO7" s="1823">
        <v>159789</v>
      </c>
      <c r="FP7" s="1823">
        <v>188142</v>
      </c>
      <c r="FQ7" s="1823">
        <f t="shared" si="55"/>
        <v>347931</v>
      </c>
      <c r="FR7" s="1835">
        <v>160872</v>
      </c>
      <c r="FS7" s="1834">
        <v>190213</v>
      </c>
      <c r="FT7" s="1834">
        <f t="shared" si="56"/>
        <v>351085</v>
      </c>
      <c r="FU7" s="1834">
        <v>162239</v>
      </c>
      <c r="FV7" s="1834">
        <v>192653</v>
      </c>
      <c r="FW7" s="1834">
        <f t="shared" si="57"/>
        <v>354892</v>
      </c>
      <c r="FX7" s="1834">
        <v>161587</v>
      </c>
      <c r="FY7" s="1834">
        <v>193664</v>
      </c>
      <c r="FZ7" s="1834">
        <f t="shared" si="58"/>
        <v>355251</v>
      </c>
      <c r="GA7" s="1834">
        <v>166828</v>
      </c>
      <c r="GB7" s="1834">
        <v>199134</v>
      </c>
      <c r="GC7" s="1834">
        <f t="shared" si="59"/>
        <v>365962</v>
      </c>
      <c r="GD7" s="1823">
        <v>170008</v>
      </c>
      <c r="GE7" s="1823">
        <v>204651</v>
      </c>
      <c r="GF7" s="1823">
        <f t="shared" si="60"/>
        <v>374659</v>
      </c>
      <c r="GG7" s="1823">
        <v>169225</v>
      </c>
      <c r="GH7" s="1823">
        <v>205465</v>
      </c>
      <c r="GI7" s="1823">
        <f t="shared" si="61"/>
        <v>374690</v>
      </c>
      <c r="GJ7" s="1823">
        <v>171385</v>
      </c>
      <c r="GK7" s="1823">
        <v>207768</v>
      </c>
      <c r="GL7" s="1823">
        <f t="shared" si="62"/>
        <v>379153</v>
      </c>
      <c r="GM7" s="1833">
        <v>174246</v>
      </c>
      <c r="GN7" s="1834">
        <v>211503</v>
      </c>
      <c r="GO7" s="1834">
        <f t="shared" si="63"/>
        <v>385749</v>
      </c>
      <c r="GP7" s="1830">
        <v>174455</v>
      </c>
      <c r="GQ7" s="1830">
        <v>212658</v>
      </c>
      <c r="GR7" s="1830">
        <f t="shared" si="64"/>
        <v>387113</v>
      </c>
      <c r="GS7" s="1823">
        <v>177441</v>
      </c>
      <c r="GT7" s="1823">
        <v>216085</v>
      </c>
      <c r="GU7" s="1823">
        <f t="shared" si="65"/>
        <v>393526</v>
      </c>
      <c r="GV7" s="1831">
        <v>178725</v>
      </c>
      <c r="GW7" s="1832">
        <v>218399</v>
      </c>
      <c r="GX7" s="1832">
        <f t="shared" si="66"/>
        <v>397124</v>
      </c>
      <c r="GY7" s="1823">
        <v>186442</v>
      </c>
      <c r="GZ7" s="1823">
        <v>221126</v>
      </c>
      <c r="HA7" s="1823">
        <f t="shared" si="67"/>
        <v>407568</v>
      </c>
      <c r="HB7" s="1835">
        <v>181135</v>
      </c>
      <c r="HC7" s="1834">
        <v>223467</v>
      </c>
      <c r="HD7" s="1834">
        <f t="shared" si="68"/>
        <v>404602</v>
      </c>
      <c r="HE7" s="1834">
        <v>182649</v>
      </c>
      <c r="HF7" s="1834">
        <v>225078</v>
      </c>
      <c r="HG7" s="1834">
        <f t="shared" si="69"/>
        <v>407727</v>
      </c>
      <c r="HH7" s="1834">
        <v>184327</v>
      </c>
      <c r="HI7" s="1834">
        <v>229474</v>
      </c>
      <c r="HJ7" s="1834">
        <f t="shared" si="70"/>
        <v>413801</v>
      </c>
      <c r="HK7" s="1834">
        <v>185775</v>
      </c>
      <c r="HL7" s="1834">
        <v>229789</v>
      </c>
      <c r="HM7" s="1834">
        <f t="shared" si="71"/>
        <v>415564</v>
      </c>
      <c r="HN7" s="1823">
        <v>185505</v>
      </c>
      <c r="HO7" s="1823">
        <v>230543</v>
      </c>
      <c r="HP7" s="1823">
        <f t="shared" si="72"/>
        <v>416048</v>
      </c>
      <c r="HQ7" s="1823">
        <v>184085</v>
      </c>
      <c r="HR7" s="1823">
        <v>230478</v>
      </c>
      <c r="HS7" s="1823">
        <f t="shared" si="73"/>
        <v>414563</v>
      </c>
      <c r="HT7" s="1823">
        <v>190221</v>
      </c>
      <c r="HU7" s="1823">
        <v>243548</v>
      </c>
      <c r="HV7" s="1823">
        <f t="shared" si="74"/>
        <v>433769</v>
      </c>
      <c r="HW7" s="1836">
        <v>210929</v>
      </c>
      <c r="HX7" s="1837">
        <v>225669</v>
      </c>
      <c r="HY7" s="1834">
        <f t="shared" si="75"/>
        <v>436598</v>
      </c>
      <c r="HZ7" s="1829">
        <v>208495</v>
      </c>
      <c r="IA7" s="1829">
        <v>224590</v>
      </c>
      <c r="IB7" s="1830">
        <f t="shared" si="76"/>
        <v>433085</v>
      </c>
      <c r="IC7" s="1823">
        <v>207372</v>
      </c>
      <c r="ID7" s="1823">
        <v>223257</v>
      </c>
      <c r="IE7" s="1823">
        <f t="shared" si="77"/>
        <v>430629</v>
      </c>
      <c r="IF7" s="1838">
        <v>208524</v>
      </c>
      <c r="IG7" s="1839">
        <v>224881</v>
      </c>
      <c r="IH7" s="1832">
        <f t="shared" si="78"/>
        <v>433405</v>
      </c>
      <c r="II7" s="1815">
        <v>213288</v>
      </c>
      <c r="IJ7" s="1815">
        <v>229216</v>
      </c>
      <c r="IK7" s="1815">
        <f t="shared" si="79"/>
        <v>442504</v>
      </c>
      <c r="IL7" s="1815">
        <f t="shared" si="79"/>
        <v>671720</v>
      </c>
    </row>
    <row r="8" spans="1:246" hidden="1">
      <c r="A8" s="1899" t="s">
        <v>844</v>
      </c>
      <c r="B8" s="1815">
        <v>78836</v>
      </c>
      <c r="C8" s="1815">
        <v>70409</v>
      </c>
      <c r="D8" s="1823">
        <f t="shared" si="0"/>
        <v>149245</v>
      </c>
      <c r="E8" s="1824">
        <v>80233</v>
      </c>
      <c r="F8" s="1824">
        <v>70065</v>
      </c>
      <c r="G8" s="1824">
        <f t="shared" si="1"/>
        <v>150298</v>
      </c>
      <c r="H8" s="1824">
        <v>81099</v>
      </c>
      <c r="I8" s="1824">
        <v>71162</v>
      </c>
      <c r="J8" s="1824">
        <f t="shared" si="2"/>
        <v>152261</v>
      </c>
      <c r="K8" s="1825">
        <v>82797</v>
      </c>
      <c r="L8" s="1825">
        <v>71730</v>
      </c>
      <c r="M8" s="1825">
        <f t="shared" si="3"/>
        <v>154527</v>
      </c>
      <c r="N8" s="1826">
        <v>86852</v>
      </c>
      <c r="O8" s="1826">
        <v>73189</v>
      </c>
      <c r="P8" s="1827">
        <f t="shared" si="4"/>
        <v>160041</v>
      </c>
      <c r="Q8" s="1823">
        <v>87378</v>
      </c>
      <c r="R8" s="1823">
        <v>74826</v>
      </c>
      <c r="S8" s="1823">
        <f t="shared" si="5"/>
        <v>162204</v>
      </c>
      <c r="T8" s="1823">
        <v>90029</v>
      </c>
      <c r="U8" s="1823">
        <v>76375</v>
      </c>
      <c r="V8" s="1823">
        <f t="shared" si="6"/>
        <v>166404</v>
      </c>
      <c r="W8" s="1825">
        <v>92099</v>
      </c>
      <c r="X8" s="1825">
        <v>77149</v>
      </c>
      <c r="Y8" s="1825">
        <f t="shared" si="7"/>
        <v>169248</v>
      </c>
      <c r="Z8" s="1825">
        <v>91397</v>
      </c>
      <c r="AA8" s="1825">
        <v>78229</v>
      </c>
      <c r="AB8" s="1825">
        <f t="shared" si="8"/>
        <v>169626</v>
      </c>
      <c r="AC8" s="1828">
        <v>91863</v>
      </c>
      <c r="AD8" s="1828">
        <v>79159</v>
      </c>
      <c r="AE8" s="1828">
        <f t="shared" si="9"/>
        <v>171022</v>
      </c>
      <c r="AF8" s="1830">
        <v>91599</v>
      </c>
      <c r="AG8" s="1830">
        <v>80418</v>
      </c>
      <c r="AH8" s="1830">
        <f t="shared" si="10"/>
        <v>172017</v>
      </c>
      <c r="AI8" s="1830">
        <v>92999</v>
      </c>
      <c r="AJ8" s="1830">
        <v>75628</v>
      </c>
      <c r="AK8" s="1830">
        <f t="shared" si="11"/>
        <v>168627</v>
      </c>
      <c r="AL8" s="1823">
        <v>94060</v>
      </c>
      <c r="AM8" s="1823">
        <v>76849</v>
      </c>
      <c r="AN8" s="1823">
        <f t="shared" si="12"/>
        <v>170909</v>
      </c>
      <c r="AO8" s="1830">
        <v>97266</v>
      </c>
      <c r="AP8" s="1830">
        <v>79384</v>
      </c>
      <c r="AQ8" s="1830">
        <f t="shared" si="13"/>
        <v>176650</v>
      </c>
      <c r="AR8" s="1830">
        <v>100613</v>
      </c>
      <c r="AS8" s="1830">
        <v>82099</v>
      </c>
      <c r="AT8" s="1830">
        <f t="shared" si="14"/>
        <v>182712</v>
      </c>
      <c r="AU8" s="1830">
        <v>102625</v>
      </c>
      <c r="AV8" s="1830">
        <v>87054</v>
      </c>
      <c r="AW8" s="1830">
        <f t="shared" si="15"/>
        <v>189679</v>
      </c>
      <c r="AX8" s="1830">
        <v>105233</v>
      </c>
      <c r="AY8" s="1830">
        <v>92825</v>
      </c>
      <c r="AZ8" s="1830">
        <f t="shared" si="16"/>
        <v>198058</v>
      </c>
      <c r="BA8" s="1823">
        <v>107468</v>
      </c>
      <c r="BB8" s="1823">
        <v>95498</v>
      </c>
      <c r="BC8" s="1823">
        <f t="shared" si="17"/>
        <v>202966</v>
      </c>
      <c r="BD8" s="1831">
        <v>106709</v>
      </c>
      <c r="BE8" s="1832">
        <v>96348</v>
      </c>
      <c r="BF8" s="1832">
        <f t="shared" si="18"/>
        <v>203057</v>
      </c>
      <c r="BG8" s="1823">
        <v>109849</v>
      </c>
      <c r="BH8" s="1823">
        <v>99971</v>
      </c>
      <c r="BI8" s="1823">
        <f t="shared" si="19"/>
        <v>209820</v>
      </c>
      <c r="BJ8" s="1833">
        <v>109857</v>
      </c>
      <c r="BK8" s="1834">
        <v>101032</v>
      </c>
      <c r="BL8" s="1834">
        <f t="shared" si="20"/>
        <v>210889</v>
      </c>
      <c r="BM8" s="1834">
        <v>111229</v>
      </c>
      <c r="BN8" s="1834">
        <v>106181</v>
      </c>
      <c r="BO8" s="1834">
        <f t="shared" si="21"/>
        <v>217410</v>
      </c>
      <c r="BP8" s="1834">
        <v>109464</v>
      </c>
      <c r="BQ8" s="1834">
        <v>106347</v>
      </c>
      <c r="BR8" s="1834">
        <f t="shared" si="22"/>
        <v>215811</v>
      </c>
      <c r="BS8" s="1834">
        <v>111873</v>
      </c>
      <c r="BT8" s="1834">
        <v>109222</v>
      </c>
      <c r="BU8" s="1834">
        <f t="shared" si="23"/>
        <v>221095</v>
      </c>
      <c r="BV8" s="1823">
        <v>112021</v>
      </c>
      <c r="BW8" s="1823">
        <v>110670</v>
      </c>
      <c r="BX8" s="1823">
        <f t="shared" si="24"/>
        <v>222691</v>
      </c>
      <c r="BY8" s="1823">
        <v>112075</v>
      </c>
      <c r="BZ8" s="1823">
        <v>109569</v>
      </c>
      <c r="CA8" s="1823">
        <v>110291</v>
      </c>
      <c r="CB8" s="1823">
        <v>110848</v>
      </c>
      <c r="CC8" s="1823">
        <f t="shared" si="25"/>
        <v>221139</v>
      </c>
      <c r="CD8" s="1823">
        <v>110480</v>
      </c>
      <c r="CE8" s="1823">
        <v>112585</v>
      </c>
      <c r="CF8" s="1823">
        <f t="shared" si="26"/>
        <v>223065</v>
      </c>
      <c r="CG8" s="1833">
        <v>110825</v>
      </c>
      <c r="CH8" s="1834">
        <v>114564</v>
      </c>
      <c r="CI8" s="1834">
        <f t="shared" si="27"/>
        <v>225389</v>
      </c>
      <c r="CJ8" s="1823">
        <v>110121</v>
      </c>
      <c r="CK8" s="1823">
        <v>114039</v>
      </c>
      <c r="CL8" s="1830">
        <v>111704</v>
      </c>
      <c r="CM8" s="1830">
        <v>115793</v>
      </c>
      <c r="CN8" s="1830">
        <f t="shared" si="28"/>
        <v>227497</v>
      </c>
      <c r="CO8" s="1823">
        <v>119561</v>
      </c>
      <c r="CP8" s="1823">
        <v>121812</v>
      </c>
      <c r="CQ8" s="1823">
        <f t="shared" si="29"/>
        <v>241373</v>
      </c>
      <c r="CR8" s="1831">
        <v>115508</v>
      </c>
      <c r="CS8" s="1832">
        <v>121429</v>
      </c>
      <c r="CT8" s="1832">
        <f t="shared" si="30"/>
        <v>236937</v>
      </c>
      <c r="CU8" s="1823">
        <v>115796</v>
      </c>
      <c r="CV8" s="1823">
        <v>122006</v>
      </c>
      <c r="CW8" s="1823">
        <f t="shared" si="31"/>
        <v>237802</v>
      </c>
      <c r="CX8" s="1833">
        <v>114915</v>
      </c>
      <c r="CY8" s="1834">
        <v>122776</v>
      </c>
      <c r="CZ8" s="1834">
        <f t="shared" si="32"/>
        <v>237691</v>
      </c>
      <c r="DA8" s="1834">
        <v>114398</v>
      </c>
      <c r="DB8" s="1834">
        <v>123503</v>
      </c>
      <c r="DC8" s="1834">
        <f t="shared" si="33"/>
        <v>237901</v>
      </c>
      <c r="DD8" s="1834">
        <v>114746</v>
      </c>
      <c r="DE8" s="1834">
        <v>123581</v>
      </c>
      <c r="DF8" s="1834">
        <f t="shared" si="34"/>
        <v>238327</v>
      </c>
      <c r="DG8" s="1834">
        <v>115847</v>
      </c>
      <c r="DH8" s="1834">
        <v>126638</v>
      </c>
      <c r="DI8" s="1834">
        <f t="shared" si="35"/>
        <v>242485</v>
      </c>
      <c r="DJ8" s="1823">
        <v>114141</v>
      </c>
      <c r="DK8" s="1823">
        <v>125974</v>
      </c>
      <c r="DL8" s="1823">
        <f t="shared" si="36"/>
        <v>240115</v>
      </c>
      <c r="DM8" s="1823">
        <v>115203</v>
      </c>
      <c r="DN8" s="1823">
        <v>127429</v>
      </c>
      <c r="DO8" s="1823">
        <f t="shared" si="37"/>
        <v>242632</v>
      </c>
      <c r="DP8" s="1823">
        <v>115558</v>
      </c>
      <c r="DQ8" s="1823">
        <v>128854</v>
      </c>
      <c r="DR8" s="1823">
        <f t="shared" si="38"/>
        <v>244412</v>
      </c>
      <c r="DS8" s="1833">
        <v>116142</v>
      </c>
      <c r="DT8" s="1834">
        <v>131757</v>
      </c>
      <c r="DU8" s="1834">
        <f t="shared" si="39"/>
        <v>247899</v>
      </c>
      <c r="DV8" s="1830">
        <v>115969</v>
      </c>
      <c r="DW8" s="1830">
        <v>128933</v>
      </c>
      <c r="DX8" s="1830">
        <f t="shared" si="40"/>
        <v>244902</v>
      </c>
      <c r="DY8" s="1823">
        <v>116334</v>
      </c>
      <c r="DZ8" s="1823">
        <v>129882</v>
      </c>
      <c r="EA8" s="1823">
        <f t="shared" si="41"/>
        <v>246216</v>
      </c>
      <c r="EB8" s="1831">
        <v>120546</v>
      </c>
      <c r="EC8" s="1832">
        <v>133893</v>
      </c>
      <c r="ED8" s="1832">
        <f t="shared" si="42"/>
        <v>254439</v>
      </c>
      <c r="EE8" s="1823">
        <v>118001</v>
      </c>
      <c r="EF8" s="1823">
        <v>132878</v>
      </c>
      <c r="EG8" s="1823">
        <f t="shared" si="43"/>
        <v>250879</v>
      </c>
      <c r="EH8" s="1833">
        <v>116814</v>
      </c>
      <c r="EI8" s="1834">
        <v>132502</v>
      </c>
      <c r="EJ8" s="1834">
        <f t="shared" si="44"/>
        <v>249316</v>
      </c>
      <c r="EK8" s="1834">
        <v>117945</v>
      </c>
      <c r="EL8" s="1834">
        <v>134561</v>
      </c>
      <c r="EM8" s="1834">
        <f t="shared" si="45"/>
        <v>252506</v>
      </c>
      <c r="EN8" s="1834">
        <v>118085</v>
      </c>
      <c r="EO8" s="1834">
        <v>136047</v>
      </c>
      <c r="EP8" s="1834">
        <f t="shared" si="46"/>
        <v>254132</v>
      </c>
      <c r="EQ8" s="1834">
        <v>118898</v>
      </c>
      <c r="ER8" s="1834">
        <v>137923</v>
      </c>
      <c r="ES8" s="1834">
        <f t="shared" si="47"/>
        <v>256821</v>
      </c>
      <c r="ET8" s="1823">
        <v>119155</v>
      </c>
      <c r="EU8" s="1823">
        <v>139673</v>
      </c>
      <c r="EV8" s="1823">
        <f t="shared" si="48"/>
        <v>258828</v>
      </c>
      <c r="EW8" s="1823">
        <v>118559</v>
      </c>
      <c r="EX8" s="1823">
        <v>138986</v>
      </c>
      <c r="EY8" s="1823">
        <f t="shared" si="49"/>
        <v>257545</v>
      </c>
      <c r="EZ8" s="1823">
        <v>118985</v>
      </c>
      <c r="FA8" s="1823">
        <v>140529</v>
      </c>
      <c r="FB8" s="1823">
        <f t="shared" si="50"/>
        <v>259514</v>
      </c>
      <c r="FC8" s="1833">
        <v>119156</v>
      </c>
      <c r="FD8" s="1834">
        <v>139876</v>
      </c>
      <c r="FE8" s="1834">
        <f t="shared" si="51"/>
        <v>259032</v>
      </c>
      <c r="FF8" s="1830">
        <v>117721</v>
      </c>
      <c r="FG8" s="1830">
        <v>138341</v>
      </c>
      <c r="FH8" s="1830">
        <f t="shared" si="52"/>
        <v>256062</v>
      </c>
      <c r="FI8" s="1823">
        <v>119897</v>
      </c>
      <c r="FJ8" s="1823">
        <v>141457</v>
      </c>
      <c r="FK8" s="1823">
        <f t="shared" si="53"/>
        <v>261354</v>
      </c>
      <c r="FL8" s="1831">
        <v>120201</v>
      </c>
      <c r="FM8" s="1832">
        <v>141936</v>
      </c>
      <c r="FN8" s="1832">
        <f t="shared" si="54"/>
        <v>262137</v>
      </c>
      <c r="FO8" s="1823">
        <v>118810</v>
      </c>
      <c r="FP8" s="1823">
        <v>140979</v>
      </c>
      <c r="FQ8" s="1823">
        <f t="shared" si="55"/>
        <v>259789</v>
      </c>
      <c r="FR8" s="1835">
        <v>118622</v>
      </c>
      <c r="FS8" s="1834">
        <v>141283</v>
      </c>
      <c r="FT8" s="1834">
        <f t="shared" si="56"/>
        <v>259905</v>
      </c>
      <c r="FU8" s="1834">
        <v>119367</v>
      </c>
      <c r="FV8" s="1834">
        <v>142737</v>
      </c>
      <c r="FW8" s="1834">
        <f t="shared" si="57"/>
        <v>262104</v>
      </c>
      <c r="FX8" s="1834">
        <v>116623</v>
      </c>
      <c r="FY8" s="1834">
        <v>140682</v>
      </c>
      <c r="FZ8" s="1834">
        <f t="shared" si="58"/>
        <v>257305</v>
      </c>
      <c r="GA8" s="1834">
        <v>120210</v>
      </c>
      <c r="GB8" s="1834">
        <v>144319</v>
      </c>
      <c r="GC8" s="1834">
        <f t="shared" si="59"/>
        <v>264529</v>
      </c>
      <c r="GD8" s="1823">
        <v>119681</v>
      </c>
      <c r="GE8" s="1823">
        <v>144314</v>
      </c>
      <c r="GF8" s="1823">
        <f t="shared" si="60"/>
        <v>263995</v>
      </c>
      <c r="GG8" s="1823">
        <v>150195</v>
      </c>
      <c r="GH8" s="1823">
        <v>180076</v>
      </c>
      <c r="GI8" s="1823">
        <f t="shared" si="61"/>
        <v>330271</v>
      </c>
      <c r="GJ8" s="1823">
        <v>150364</v>
      </c>
      <c r="GK8" s="1823">
        <v>180489</v>
      </c>
      <c r="GL8" s="1823">
        <f t="shared" si="62"/>
        <v>330853</v>
      </c>
      <c r="GM8" s="1833">
        <v>172491</v>
      </c>
      <c r="GN8" s="1834">
        <v>203781</v>
      </c>
      <c r="GO8" s="1834">
        <f t="shared" si="63"/>
        <v>376272</v>
      </c>
      <c r="GP8" s="1830">
        <v>170913</v>
      </c>
      <c r="GQ8" s="1830">
        <v>201410</v>
      </c>
      <c r="GR8" s="1830">
        <f t="shared" si="64"/>
        <v>372323</v>
      </c>
      <c r="GS8" s="1823">
        <v>171981</v>
      </c>
      <c r="GT8" s="1823">
        <v>201515</v>
      </c>
      <c r="GU8" s="1823">
        <f t="shared" si="65"/>
        <v>373496</v>
      </c>
      <c r="GV8" s="1831">
        <v>171633</v>
      </c>
      <c r="GW8" s="1832">
        <v>201415</v>
      </c>
      <c r="GX8" s="1832">
        <f t="shared" si="66"/>
        <v>373048</v>
      </c>
      <c r="GY8" s="1823">
        <v>170694</v>
      </c>
      <c r="GZ8" s="1823">
        <v>200942</v>
      </c>
      <c r="HA8" s="1823">
        <f t="shared" si="67"/>
        <v>371636</v>
      </c>
      <c r="HB8" s="1835">
        <v>172306</v>
      </c>
      <c r="HC8" s="1834">
        <v>203655</v>
      </c>
      <c r="HD8" s="1834">
        <f t="shared" si="68"/>
        <v>375961</v>
      </c>
      <c r="HE8" s="1834">
        <v>173024</v>
      </c>
      <c r="HF8" s="1834">
        <v>204308</v>
      </c>
      <c r="HG8" s="1834">
        <f t="shared" si="69"/>
        <v>377332</v>
      </c>
      <c r="HH8" s="1834">
        <v>170901</v>
      </c>
      <c r="HI8" s="1834">
        <v>204656</v>
      </c>
      <c r="HJ8" s="1834">
        <f t="shared" si="70"/>
        <v>375557</v>
      </c>
      <c r="HK8" s="1834">
        <v>172680</v>
      </c>
      <c r="HL8" s="1834">
        <v>207845</v>
      </c>
      <c r="HM8" s="1834">
        <f t="shared" si="71"/>
        <v>380525</v>
      </c>
      <c r="HN8" s="1823">
        <v>170815</v>
      </c>
      <c r="HO8" s="1823">
        <v>206068</v>
      </c>
      <c r="HP8" s="1823">
        <f t="shared" si="72"/>
        <v>376883</v>
      </c>
      <c r="HQ8" s="1823">
        <v>168657</v>
      </c>
      <c r="HR8" s="1823">
        <v>204501</v>
      </c>
      <c r="HS8" s="1823">
        <f t="shared" si="73"/>
        <v>373158</v>
      </c>
      <c r="HT8" s="1823">
        <v>171825</v>
      </c>
      <c r="HU8" s="1823">
        <v>208576</v>
      </c>
      <c r="HV8" s="1823">
        <f t="shared" si="74"/>
        <v>380401</v>
      </c>
      <c r="HW8" s="1836">
        <v>171268</v>
      </c>
      <c r="HX8" s="1837">
        <v>207248</v>
      </c>
      <c r="HY8" s="1834">
        <f t="shared" si="75"/>
        <v>378516</v>
      </c>
      <c r="HZ8" s="1830">
        <v>170263</v>
      </c>
      <c r="IA8" s="1830">
        <v>206203</v>
      </c>
      <c r="IB8" s="1830">
        <f t="shared" si="76"/>
        <v>376466</v>
      </c>
      <c r="IC8" s="1823">
        <v>172137</v>
      </c>
      <c r="ID8" s="1823">
        <v>210057</v>
      </c>
      <c r="IE8" s="1823">
        <f t="shared" si="77"/>
        <v>382194</v>
      </c>
      <c r="IF8" s="1831">
        <v>172732</v>
      </c>
      <c r="IG8" s="1832">
        <v>210724</v>
      </c>
      <c r="IH8" s="1832">
        <f t="shared" si="78"/>
        <v>383456</v>
      </c>
      <c r="II8" s="1815">
        <v>172766</v>
      </c>
      <c r="IJ8" s="1815">
        <v>211109</v>
      </c>
      <c r="IK8" s="1815">
        <f t="shared" si="79"/>
        <v>383875</v>
      </c>
      <c r="IL8" s="1815">
        <f t="shared" si="79"/>
        <v>594984</v>
      </c>
    </row>
    <row r="9" spans="1:246" hidden="1">
      <c r="A9" s="1899" t="s">
        <v>846</v>
      </c>
      <c r="B9" s="1815">
        <v>7003</v>
      </c>
      <c r="C9" s="1815">
        <v>10256</v>
      </c>
      <c r="D9" s="1823">
        <f t="shared" si="0"/>
        <v>17259</v>
      </c>
      <c r="E9" s="1824">
        <v>104092</v>
      </c>
      <c r="F9" s="1824">
        <v>142292</v>
      </c>
      <c r="G9" s="1824">
        <f t="shared" si="1"/>
        <v>246384</v>
      </c>
      <c r="H9" s="1824">
        <v>56788</v>
      </c>
      <c r="I9" s="1824">
        <v>74864</v>
      </c>
      <c r="J9" s="1824">
        <f t="shared" si="2"/>
        <v>131652</v>
      </c>
      <c r="K9" s="1825">
        <v>57174</v>
      </c>
      <c r="L9" s="1825">
        <v>73642</v>
      </c>
      <c r="M9" s="1825">
        <f t="shared" si="3"/>
        <v>130816</v>
      </c>
      <c r="N9" s="1827">
        <v>59644</v>
      </c>
      <c r="O9" s="1827">
        <v>73341</v>
      </c>
      <c r="P9" s="1827">
        <f t="shared" si="4"/>
        <v>132985</v>
      </c>
      <c r="Q9" s="1823">
        <v>65909</v>
      </c>
      <c r="R9" s="1823">
        <v>71494</v>
      </c>
      <c r="S9" s="1823">
        <f t="shared" si="5"/>
        <v>137403</v>
      </c>
      <c r="T9" s="1823">
        <v>66105</v>
      </c>
      <c r="U9" s="1823">
        <v>71531</v>
      </c>
      <c r="V9" s="1823">
        <f t="shared" si="6"/>
        <v>137636</v>
      </c>
      <c r="W9" s="1825">
        <v>66101</v>
      </c>
      <c r="X9" s="1825">
        <v>70704</v>
      </c>
      <c r="Y9" s="1825">
        <f t="shared" si="7"/>
        <v>136805</v>
      </c>
      <c r="Z9" s="1825">
        <v>66731</v>
      </c>
      <c r="AA9" s="1825">
        <v>72338</v>
      </c>
      <c r="AB9" s="1825">
        <f t="shared" si="8"/>
        <v>139069</v>
      </c>
      <c r="AC9" s="1828">
        <v>67010</v>
      </c>
      <c r="AD9" s="1828">
        <v>78024</v>
      </c>
      <c r="AE9" s="1828">
        <f t="shared" si="9"/>
        <v>145034</v>
      </c>
      <c r="AF9" s="1830">
        <v>66951</v>
      </c>
      <c r="AG9" s="1830">
        <v>78385</v>
      </c>
      <c r="AH9" s="1830">
        <f t="shared" si="10"/>
        <v>145336</v>
      </c>
      <c r="AI9" s="1830">
        <v>67094</v>
      </c>
      <c r="AJ9" s="1830">
        <v>82051</v>
      </c>
      <c r="AK9" s="1830">
        <f t="shared" si="11"/>
        <v>149145</v>
      </c>
      <c r="AL9" s="1823">
        <v>67174</v>
      </c>
      <c r="AM9" s="1823">
        <v>81475</v>
      </c>
      <c r="AN9" s="1823">
        <f t="shared" si="12"/>
        <v>148649</v>
      </c>
      <c r="AO9" s="1830">
        <v>67272</v>
      </c>
      <c r="AP9" s="1830">
        <v>80886</v>
      </c>
      <c r="AQ9" s="1830">
        <f t="shared" si="13"/>
        <v>148158</v>
      </c>
      <c r="AR9" s="1830">
        <v>67234</v>
      </c>
      <c r="AS9" s="1830">
        <v>81490</v>
      </c>
      <c r="AT9" s="1830">
        <f t="shared" si="14"/>
        <v>148724</v>
      </c>
      <c r="AU9" s="1830">
        <v>67590</v>
      </c>
      <c r="AV9" s="1830">
        <v>81057</v>
      </c>
      <c r="AW9" s="1830">
        <f t="shared" si="15"/>
        <v>148647</v>
      </c>
      <c r="AX9" s="1830">
        <v>67993</v>
      </c>
      <c r="AY9" s="1830">
        <v>80434</v>
      </c>
      <c r="AZ9" s="1830">
        <f t="shared" si="16"/>
        <v>148427</v>
      </c>
      <c r="BA9" s="1823">
        <v>67934</v>
      </c>
      <c r="BB9" s="1823">
        <v>80309</v>
      </c>
      <c r="BC9" s="1823">
        <f t="shared" si="17"/>
        <v>148243</v>
      </c>
      <c r="BD9" s="1831">
        <v>68784</v>
      </c>
      <c r="BE9" s="1832">
        <v>79948</v>
      </c>
      <c r="BF9" s="1832">
        <f t="shared" si="18"/>
        <v>148732</v>
      </c>
      <c r="BG9" s="1823">
        <v>69006</v>
      </c>
      <c r="BH9" s="1823">
        <v>79411</v>
      </c>
      <c r="BI9" s="1823">
        <f t="shared" si="19"/>
        <v>148417</v>
      </c>
      <c r="BJ9" s="1833">
        <v>69233</v>
      </c>
      <c r="BK9" s="1834">
        <v>78839</v>
      </c>
      <c r="BL9" s="1834">
        <f t="shared" si="20"/>
        <v>148072</v>
      </c>
      <c r="BM9" s="1834">
        <v>69515</v>
      </c>
      <c r="BN9" s="1834">
        <v>81212</v>
      </c>
      <c r="BO9" s="1834">
        <f t="shared" si="21"/>
        <v>150727</v>
      </c>
      <c r="BP9" s="1834">
        <v>69629</v>
      </c>
      <c r="BQ9" s="1834">
        <v>82107</v>
      </c>
      <c r="BR9" s="1834">
        <f t="shared" si="22"/>
        <v>151736</v>
      </c>
      <c r="BS9" s="1834">
        <v>69904</v>
      </c>
      <c r="BT9" s="1834">
        <v>83153</v>
      </c>
      <c r="BU9" s="1834">
        <f t="shared" si="23"/>
        <v>153057</v>
      </c>
      <c r="BV9" s="1823">
        <v>70053</v>
      </c>
      <c r="BW9" s="1823">
        <v>83630</v>
      </c>
      <c r="BX9" s="1823">
        <f t="shared" si="24"/>
        <v>153683</v>
      </c>
      <c r="BY9" s="1823">
        <v>69878</v>
      </c>
      <c r="BZ9" s="1823">
        <v>83137</v>
      </c>
      <c r="CA9" s="1823">
        <v>70938</v>
      </c>
      <c r="CB9" s="1823">
        <v>87375</v>
      </c>
      <c r="CC9" s="1823">
        <f t="shared" si="25"/>
        <v>158313</v>
      </c>
      <c r="CD9" s="1823">
        <v>70772</v>
      </c>
      <c r="CE9" s="1823">
        <v>87598</v>
      </c>
      <c r="CF9" s="1823">
        <f t="shared" si="26"/>
        <v>158370</v>
      </c>
      <c r="CG9" s="1833">
        <v>70283</v>
      </c>
      <c r="CH9" s="1834">
        <v>86841</v>
      </c>
      <c r="CI9" s="1834">
        <f t="shared" si="27"/>
        <v>157124</v>
      </c>
      <c r="CJ9" s="1823">
        <v>70277</v>
      </c>
      <c r="CK9" s="1823">
        <v>86841</v>
      </c>
      <c r="CL9" s="1830">
        <v>69520</v>
      </c>
      <c r="CM9" s="1830">
        <v>85756</v>
      </c>
      <c r="CN9" s="1830">
        <f t="shared" si="28"/>
        <v>155276</v>
      </c>
      <c r="CO9" s="1823">
        <v>69385</v>
      </c>
      <c r="CP9" s="1823">
        <v>85373</v>
      </c>
      <c r="CQ9" s="1823">
        <f t="shared" si="29"/>
        <v>154758</v>
      </c>
      <c r="CR9" s="1831">
        <v>69464</v>
      </c>
      <c r="CS9" s="1832">
        <v>84845</v>
      </c>
      <c r="CT9" s="1832">
        <f t="shared" si="30"/>
        <v>154309</v>
      </c>
      <c r="CU9" s="1823">
        <v>68706</v>
      </c>
      <c r="CV9" s="1823">
        <v>84084</v>
      </c>
      <c r="CW9" s="1823">
        <f t="shared" si="31"/>
        <v>152790</v>
      </c>
      <c r="CX9" s="1833">
        <v>67493</v>
      </c>
      <c r="CY9" s="1834">
        <v>82590</v>
      </c>
      <c r="CZ9" s="1834">
        <f t="shared" si="32"/>
        <v>150083</v>
      </c>
      <c r="DA9" s="1834">
        <v>67141</v>
      </c>
      <c r="DB9" s="1834">
        <v>82206</v>
      </c>
      <c r="DC9" s="1834">
        <f t="shared" si="33"/>
        <v>149347</v>
      </c>
      <c r="DD9" s="1834">
        <v>66683</v>
      </c>
      <c r="DE9" s="1834">
        <v>81453</v>
      </c>
      <c r="DF9" s="1834">
        <f t="shared" si="34"/>
        <v>148136</v>
      </c>
      <c r="DG9" s="1834">
        <v>65945</v>
      </c>
      <c r="DH9" s="1834">
        <v>81029</v>
      </c>
      <c r="DI9" s="1834">
        <f t="shared" si="35"/>
        <v>146974</v>
      </c>
      <c r="DJ9" s="1823">
        <v>66277</v>
      </c>
      <c r="DK9" s="1823">
        <v>80828</v>
      </c>
      <c r="DL9" s="1823">
        <f t="shared" si="36"/>
        <v>147105</v>
      </c>
      <c r="DM9" s="1823">
        <v>64483</v>
      </c>
      <c r="DN9" s="1823">
        <v>79510</v>
      </c>
      <c r="DO9" s="1823">
        <f t="shared" si="37"/>
        <v>143993</v>
      </c>
      <c r="DP9" s="1823">
        <v>64690</v>
      </c>
      <c r="DQ9" s="1823">
        <v>79235</v>
      </c>
      <c r="DR9" s="1823">
        <f t="shared" si="38"/>
        <v>143925</v>
      </c>
      <c r="DS9" s="1833">
        <v>64673</v>
      </c>
      <c r="DT9" s="1834">
        <v>78845</v>
      </c>
      <c r="DU9" s="1834">
        <f t="shared" si="39"/>
        <v>143518</v>
      </c>
      <c r="DV9" s="1830">
        <v>64031</v>
      </c>
      <c r="DW9" s="1830">
        <v>77663</v>
      </c>
      <c r="DX9" s="1830">
        <f t="shared" si="40"/>
        <v>141694</v>
      </c>
      <c r="DY9" s="1823">
        <v>63482</v>
      </c>
      <c r="DZ9" s="1823">
        <v>76796</v>
      </c>
      <c r="EA9" s="1823">
        <f t="shared" si="41"/>
        <v>140278</v>
      </c>
      <c r="EB9" s="1831">
        <v>62549</v>
      </c>
      <c r="EC9" s="1832">
        <v>78265</v>
      </c>
      <c r="ED9" s="1832">
        <f t="shared" si="42"/>
        <v>140814</v>
      </c>
      <c r="EE9" s="1823">
        <v>61516</v>
      </c>
      <c r="EF9" s="1823">
        <v>74197</v>
      </c>
      <c r="EG9" s="1823">
        <f t="shared" si="43"/>
        <v>135713</v>
      </c>
      <c r="EH9" s="1833">
        <v>60576</v>
      </c>
      <c r="EI9" s="1834">
        <v>73197</v>
      </c>
      <c r="EJ9" s="1834">
        <f t="shared" si="44"/>
        <v>133773</v>
      </c>
      <c r="EK9" s="1834">
        <v>60064</v>
      </c>
      <c r="EL9" s="1834">
        <v>72387</v>
      </c>
      <c r="EM9" s="1834">
        <f t="shared" si="45"/>
        <v>132451</v>
      </c>
      <c r="EN9" s="1834">
        <v>59237</v>
      </c>
      <c r="EO9" s="1834">
        <v>71586</v>
      </c>
      <c r="EP9" s="1834">
        <f t="shared" si="46"/>
        <v>130823</v>
      </c>
      <c r="EQ9" s="1834">
        <v>58055</v>
      </c>
      <c r="ER9" s="1834">
        <v>69992</v>
      </c>
      <c r="ES9" s="1834">
        <f t="shared" si="47"/>
        <v>128047</v>
      </c>
      <c r="ET9" s="1823">
        <v>57279</v>
      </c>
      <c r="EU9" s="1823">
        <v>69135</v>
      </c>
      <c r="EV9" s="1823">
        <f t="shared" si="48"/>
        <v>126414</v>
      </c>
      <c r="EW9" s="1823">
        <v>54528</v>
      </c>
      <c r="EX9" s="1823">
        <v>66425</v>
      </c>
      <c r="EY9" s="1823">
        <f t="shared" si="49"/>
        <v>120953</v>
      </c>
      <c r="EZ9" s="1823">
        <v>54013</v>
      </c>
      <c r="FA9" s="1823">
        <v>65777</v>
      </c>
      <c r="FB9" s="1823">
        <f t="shared" si="50"/>
        <v>119790</v>
      </c>
      <c r="FC9" s="1833">
        <v>53631</v>
      </c>
      <c r="FD9" s="1834">
        <v>65256</v>
      </c>
      <c r="FE9" s="1834">
        <f t="shared" si="51"/>
        <v>118887</v>
      </c>
      <c r="FF9" s="1830">
        <v>53303</v>
      </c>
      <c r="FG9" s="1830">
        <v>64953</v>
      </c>
      <c r="FH9" s="1830">
        <f t="shared" si="52"/>
        <v>118256</v>
      </c>
      <c r="FI9" s="1823">
        <v>53141</v>
      </c>
      <c r="FJ9" s="1823">
        <v>64856</v>
      </c>
      <c r="FK9" s="1823">
        <f t="shared" si="53"/>
        <v>117997</v>
      </c>
      <c r="FL9" s="1831">
        <v>52933</v>
      </c>
      <c r="FM9" s="1832">
        <v>64605</v>
      </c>
      <c r="FN9" s="1832">
        <f t="shared" si="54"/>
        <v>117538</v>
      </c>
      <c r="FO9" s="1823">
        <v>52586</v>
      </c>
      <c r="FP9" s="1823">
        <v>64270</v>
      </c>
      <c r="FQ9" s="1823">
        <f t="shared" si="55"/>
        <v>116856</v>
      </c>
      <c r="FR9" s="1835">
        <v>52404</v>
      </c>
      <c r="FS9" s="1834">
        <v>64194</v>
      </c>
      <c r="FT9" s="1834">
        <f t="shared" si="56"/>
        <v>116598</v>
      </c>
      <c r="FU9" s="1834">
        <v>52220</v>
      </c>
      <c r="FV9" s="1834">
        <v>66970</v>
      </c>
      <c r="FW9" s="1834">
        <f t="shared" si="57"/>
        <v>119190</v>
      </c>
      <c r="FX9" s="1834">
        <v>51965</v>
      </c>
      <c r="FY9" s="1834">
        <v>64226</v>
      </c>
      <c r="FZ9" s="1834">
        <f t="shared" si="58"/>
        <v>116191</v>
      </c>
      <c r="GA9" s="1834">
        <v>52150</v>
      </c>
      <c r="GB9" s="1834">
        <v>64195</v>
      </c>
      <c r="GC9" s="1834">
        <f t="shared" si="59"/>
        <v>116345</v>
      </c>
      <c r="GD9" s="1823">
        <v>51656</v>
      </c>
      <c r="GE9" s="1823">
        <v>63856</v>
      </c>
      <c r="GF9" s="1823">
        <f t="shared" si="60"/>
        <v>115512</v>
      </c>
      <c r="GG9" s="1823">
        <v>50999</v>
      </c>
      <c r="GH9" s="1823">
        <v>63172</v>
      </c>
      <c r="GI9" s="1823">
        <f t="shared" si="61"/>
        <v>114171</v>
      </c>
      <c r="GJ9" s="1823">
        <v>50983</v>
      </c>
      <c r="GK9" s="1823">
        <v>62749</v>
      </c>
      <c r="GL9" s="1823">
        <f t="shared" si="62"/>
        <v>113732</v>
      </c>
      <c r="GM9" s="1833">
        <v>50939</v>
      </c>
      <c r="GN9" s="1834">
        <v>62697</v>
      </c>
      <c r="GO9" s="1834">
        <f t="shared" si="63"/>
        <v>113636</v>
      </c>
      <c r="GP9" s="1830">
        <v>50872</v>
      </c>
      <c r="GQ9" s="1830">
        <v>62279</v>
      </c>
      <c r="GR9" s="1830">
        <f t="shared" si="64"/>
        <v>113151</v>
      </c>
      <c r="GS9" s="1823">
        <v>50784</v>
      </c>
      <c r="GT9" s="1823">
        <v>62125</v>
      </c>
      <c r="GU9" s="1823">
        <f t="shared" si="65"/>
        <v>112909</v>
      </c>
      <c r="GV9" s="1831">
        <v>50849</v>
      </c>
      <c r="GW9" s="1832">
        <v>61969</v>
      </c>
      <c r="GX9" s="1832">
        <f t="shared" si="66"/>
        <v>112818</v>
      </c>
      <c r="GY9" s="1823">
        <v>50746</v>
      </c>
      <c r="GZ9" s="1823">
        <v>61928</v>
      </c>
      <c r="HA9" s="1823">
        <f t="shared" si="67"/>
        <v>112674</v>
      </c>
      <c r="HB9" s="1835">
        <v>50736</v>
      </c>
      <c r="HC9" s="1834">
        <v>61881</v>
      </c>
      <c r="HD9" s="1834">
        <f t="shared" si="68"/>
        <v>112617</v>
      </c>
      <c r="HE9" s="1834">
        <v>50691</v>
      </c>
      <c r="HF9" s="1834">
        <v>61723</v>
      </c>
      <c r="HG9" s="1834">
        <f t="shared" si="69"/>
        <v>112414</v>
      </c>
      <c r="HH9" s="1834">
        <v>50506</v>
      </c>
      <c r="HI9" s="1834">
        <v>61398</v>
      </c>
      <c r="HJ9" s="1834">
        <f t="shared" si="70"/>
        <v>111904</v>
      </c>
      <c r="HK9" s="1834">
        <v>50330</v>
      </c>
      <c r="HL9" s="1834">
        <v>61979</v>
      </c>
      <c r="HM9" s="1834">
        <f t="shared" si="71"/>
        <v>112309</v>
      </c>
      <c r="HN9" s="1823">
        <v>50141</v>
      </c>
      <c r="HO9" s="1823">
        <v>62124</v>
      </c>
      <c r="HP9" s="1823">
        <f t="shared" si="72"/>
        <v>112265</v>
      </c>
      <c r="HQ9" s="1823">
        <v>49319</v>
      </c>
      <c r="HR9" s="1823">
        <v>62335</v>
      </c>
      <c r="HS9" s="1823">
        <f t="shared" si="73"/>
        <v>111654</v>
      </c>
      <c r="HT9" s="1823">
        <v>49568</v>
      </c>
      <c r="HU9" s="1823">
        <v>61776</v>
      </c>
      <c r="HV9" s="1823">
        <f t="shared" si="74"/>
        <v>111344</v>
      </c>
      <c r="HW9" s="1836">
        <v>49561</v>
      </c>
      <c r="HX9" s="1837">
        <v>61649</v>
      </c>
      <c r="HY9" s="1834">
        <f t="shared" si="75"/>
        <v>111210</v>
      </c>
      <c r="HZ9" s="1830">
        <v>49506</v>
      </c>
      <c r="IA9" s="1830">
        <v>61406</v>
      </c>
      <c r="IB9" s="1830">
        <f t="shared" si="76"/>
        <v>110912</v>
      </c>
      <c r="IC9" s="1823">
        <v>49506</v>
      </c>
      <c r="ID9" s="1823">
        <v>61318</v>
      </c>
      <c r="IE9" s="1823">
        <f t="shared" si="77"/>
        <v>110824</v>
      </c>
      <c r="IF9" s="1831">
        <v>49560</v>
      </c>
      <c r="IG9" s="1832">
        <v>61132</v>
      </c>
      <c r="IH9" s="1832">
        <f t="shared" si="78"/>
        <v>110692</v>
      </c>
      <c r="II9" s="1815">
        <v>49743</v>
      </c>
      <c r="IJ9" s="1815">
        <v>61209</v>
      </c>
      <c r="IK9" s="1815">
        <f t="shared" si="79"/>
        <v>110952</v>
      </c>
      <c r="IL9" s="1815">
        <f t="shared" si="79"/>
        <v>172161</v>
      </c>
    </row>
    <row r="10" spans="1:246" hidden="1">
      <c r="A10" s="1899" t="s">
        <v>845</v>
      </c>
      <c r="B10" s="1815">
        <v>210073</v>
      </c>
      <c r="C10" s="1815">
        <v>977</v>
      </c>
      <c r="D10" s="1823">
        <f t="shared" si="0"/>
        <v>211050</v>
      </c>
      <c r="E10" s="1824">
        <v>217832</v>
      </c>
      <c r="F10" s="1824">
        <v>3269</v>
      </c>
      <c r="G10" s="1824">
        <f t="shared" si="1"/>
        <v>221101</v>
      </c>
      <c r="H10" s="1824">
        <v>221974</v>
      </c>
      <c r="I10" s="1824">
        <v>10500</v>
      </c>
      <c r="J10" s="1824">
        <f t="shared" si="2"/>
        <v>232474</v>
      </c>
      <c r="K10" s="1825">
        <v>227252</v>
      </c>
      <c r="L10" s="1825">
        <v>19234</v>
      </c>
      <c r="M10" s="1825">
        <f t="shared" si="3"/>
        <v>246486</v>
      </c>
      <c r="N10" s="1827">
        <v>219342</v>
      </c>
      <c r="O10" s="1827">
        <v>21895</v>
      </c>
      <c r="P10" s="1827">
        <f t="shared" si="4"/>
        <v>241237</v>
      </c>
      <c r="Q10" s="1823">
        <v>211239</v>
      </c>
      <c r="R10" s="1823">
        <v>27739</v>
      </c>
      <c r="S10" s="1823">
        <f t="shared" si="5"/>
        <v>238978</v>
      </c>
      <c r="T10" s="1823">
        <v>224087</v>
      </c>
      <c r="U10" s="1823">
        <v>28245</v>
      </c>
      <c r="V10" s="1823">
        <f t="shared" si="6"/>
        <v>252332</v>
      </c>
      <c r="W10" s="1825">
        <v>229705</v>
      </c>
      <c r="X10" s="1825">
        <v>31903</v>
      </c>
      <c r="Y10" s="1825">
        <f t="shared" si="7"/>
        <v>261608</v>
      </c>
      <c r="Z10" s="1825">
        <v>227545</v>
      </c>
      <c r="AA10" s="1825">
        <v>37190</v>
      </c>
      <c r="AB10" s="1825">
        <f t="shared" si="8"/>
        <v>264735</v>
      </c>
      <c r="AC10" s="1828">
        <v>236863</v>
      </c>
      <c r="AD10" s="1828">
        <v>42387</v>
      </c>
      <c r="AE10" s="1828">
        <f t="shared" si="9"/>
        <v>279250</v>
      </c>
      <c r="AF10" s="1829">
        <v>230542</v>
      </c>
      <c r="AG10" s="1829">
        <v>48966</v>
      </c>
      <c r="AH10" s="1830">
        <f t="shared" si="10"/>
        <v>279508</v>
      </c>
      <c r="AI10" s="1829">
        <v>233386</v>
      </c>
      <c r="AJ10" s="1829">
        <v>55787</v>
      </c>
      <c r="AK10" s="1830">
        <f t="shared" si="11"/>
        <v>289173</v>
      </c>
      <c r="AL10" s="1823">
        <v>237426</v>
      </c>
      <c r="AM10" s="1823">
        <v>60136</v>
      </c>
      <c r="AN10" s="1823">
        <f t="shared" si="12"/>
        <v>297562</v>
      </c>
      <c r="AO10" s="1829">
        <v>234526</v>
      </c>
      <c r="AP10" s="1829">
        <v>62477</v>
      </c>
      <c r="AQ10" s="1830">
        <f t="shared" si="13"/>
        <v>297003</v>
      </c>
      <c r="AR10" s="1829">
        <v>203802</v>
      </c>
      <c r="AS10" s="1829">
        <v>56155</v>
      </c>
      <c r="AT10" s="1830">
        <f t="shared" si="14"/>
        <v>259957</v>
      </c>
      <c r="AU10" s="1829">
        <v>192178</v>
      </c>
      <c r="AV10" s="1829">
        <v>57337</v>
      </c>
      <c r="AW10" s="1830">
        <f t="shared" si="15"/>
        <v>249515</v>
      </c>
      <c r="AX10" s="1829">
        <v>188956</v>
      </c>
      <c r="AY10" s="1829">
        <v>60080</v>
      </c>
      <c r="AZ10" s="1830">
        <f t="shared" si="16"/>
        <v>249036</v>
      </c>
      <c r="BA10" s="1823">
        <v>191135</v>
      </c>
      <c r="BB10" s="1823">
        <v>62736</v>
      </c>
      <c r="BC10" s="1823">
        <f t="shared" si="17"/>
        <v>253871</v>
      </c>
      <c r="BD10" s="1838">
        <v>187833</v>
      </c>
      <c r="BE10" s="1839">
        <v>65129</v>
      </c>
      <c r="BF10" s="1832">
        <f t="shared" si="18"/>
        <v>252962</v>
      </c>
      <c r="BG10" s="1823">
        <v>183236</v>
      </c>
      <c r="BH10" s="1823">
        <v>66331</v>
      </c>
      <c r="BI10" s="1823">
        <f t="shared" si="19"/>
        <v>249567</v>
      </c>
      <c r="BJ10" s="1833">
        <v>173605</v>
      </c>
      <c r="BK10" s="1834">
        <v>66118</v>
      </c>
      <c r="BL10" s="1834">
        <f t="shared" si="20"/>
        <v>239723</v>
      </c>
      <c r="BM10" s="1834">
        <v>171325</v>
      </c>
      <c r="BN10" s="1834">
        <v>67733</v>
      </c>
      <c r="BO10" s="1834">
        <f t="shared" si="21"/>
        <v>239058</v>
      </c>
      <c r="BP10" s="1834">
        <v>164653</v>
      </c>
      <c r="BQ10" s="1834">
        <v>67382</v>
      </c>
      <c r="BR10" s="1834">
        <f t="shared" si="22"/>
        <v>232035</v>
      </c>
      <c r="BS10" s="1834">
        <v>166348</v>
      </c>
      <c r="BT10" s="1834">
        <v>69439</v>
      </c>
      <c r="BU10" s="1834">
        <f t="shared" si="23"/>
        <v>235787</v>
      </c>
      <c r="BV10" s="1823">
        <v>162115</v>
      </c>
      <c r="BW10" s="1823">
        <v>69610</v>
      </c>
      <c r="BX10" s="1823">
        <f t="shared" si="24"/>
        <v>231725</v>
      </c>
      <c r="BY10" s="1823">
        <v>167316</v>
      </c>
      <c r="BZ10" s="1823">
        <v>69963</v>
      </c>
      <c r="CA10" s="1823">
        <v>153718</v>
      </c>
      <c r="CB10" s="1823">
        <v>69210</v>
      </c>
      <c r="CC10" s="1823">
        <f t="shared" si="25"/>
        <v>222928</v>
      </c>
      <c r="CD10" s="1823">
        <v>148193</v>
      </c>
      <c r="CE10" s="1823">
        <v>69079</v>
      </c>
      <c r="CF10" s="1823">
        <f t="shared" si="26"/>
        <v>217272</v>
      </c>
      <c r="CG10" s="1833">
        <v>142571</v>
      </c>
      <c r="CH10" s="1834">
        <v>68031</v>
      </c>
      <c r="CI10" s="1834">
        <f t="shared" si="27"/>
        <v>210602</v>
      </c>
      <c r="CJ10" s="1823">
        <v>141326</v>
      </c>
      <c r="CK10" s="1823">
        <v>67563</v>
      </c>
      <c r="CL10" s="1829">
        <v>138575</v>
      </c>
      <c r="CM10" s="1829">
        <v>67396</v>
      </c>
      <c r="CN10" s="1830">
        <f t="shared" si="28"/>
        <v>205971</v>
      </c>
      <c r="CO10" s="1823">
        <v>156702</v>
      </c>
      <c r="CP10" s="1823">
        <v>73668</v>
      </c>
      <c r="CQ10" s="1823">
        <f t="shared" si="29"/>
        <v>230370</v>
      </c>
      <c r="CR10" s="1838">
        <v>142711</v>
      </c>
      <c r="CS10" s="1839">
        <v>71062</v>
      </c>
      <c r="CT10" s="1832">
        <f t="shared" si="30"/>
        <v>213773</v>
      </c>
      <c r="CU10" s="1823">
        <v>141320</v>
      </c>
      <c r="CV10" s="1823">
        <v>70510</v>
      </c>
      <c r="CW10" s="1823">
        <f t="shared" si="31"/>
        <v>211830</v>
      </c>
      <c r="CX10" s="1833">
        <v>137159</v>
      </c>
      <c r="CY10" s="1834">
        <v>69610</v>
      </c>
      <c r="CZ10" s="1834">
        <f t="shared" si="32"/>
        <v>206769</v>
      </c>
      <c r="DA10" s="1834">
        <v>132058</v>
      </c>
      <c r="DB10" s="1834">
        <v>68888</v>
      </c>
      <c r="DC10" s="1834">
        <f t="shared" si="33"/>
        <v>200946</v>
      </c>
      <c r="DD10" s="1834">
        <v>133025</v>
      </c>
      <c r="DE10" s="1834">
        <v>69282</v>
      </c>
      <c r="DF10" s="1834">
        <f t="shared" si="34"/>
        <v>202307</v>
      </c>
      <c r="DG10" s="1834">
        <v>130277</v>
      </c>
      <c r="DH10" s="1834">
        <v>69867</v>
      </c>
      <c r="DI10" s="1834">
        <f t="shared" si="35"/>
        <v>200144</v>
      </c>
      <c r="DJ10" s="1823">
        <v>127333</v>
      </c>
      <c r="DK10" s="1823">
        <v>70275</v>
      </c>
      <c r="DL10" s="1823">
        <f t="shared" si="36"/>
        <v>197608</v>
      </c>
      <c r="DM10" s="1823">
        <v>122519</v>
      </c>
      <c r="DN10" s="1823">
        <v>67632</v>
      </c>
      <c r="DO10" s="1823">
        <f t="shared" si="37"/>
        <v>190151</v>
      </c>
      <c r="DP10" s="1823">
        <v>123032</v>
      </c>
      <c r="DQ10" s="1823">
        <v>68369</v>
      </c>
      <c r="DR10" s="1823">
        <f t="shared" si="38"/>
        <v>191401</v>
      </c>
      <c r="DS10" s="1833">
        <v>119566</v>
      </c>
      <c r="DT10" s="1834">
        <v>67512</v>
      </c>
      <c r="DU10" s="1834">
        <f t="shared" si="39"/>
        <v>187078</v>
      </c>
      <c r="DV10" s="1829">
        <v>113261</v>
      </c>
      <c r="DW10" s="1829">
        <v>63344</v>
      </c>
      <c r="DX10" s="1830">
        <f t="shared" si="40"/>
        <v>176605</v>
      </c>
      <c r="DY10" s="1823">
        <v>112864</v>
      </c>
      <c r="DZ10" s="1823">
        <v>63521</v>
      </c>
      <c r="EA10" s="1823">
        <f t="shared" si="41"/>
        <v>176385</v>
      </c>
      <c r="EB10" s="1838">
        <v>118320</v>
      </c>
      <c r="EC10" s="1839">
        <v>64557</v>
      </c>
      <c r="ED10" s="1832">
        <f t="shared" si="42"/>
        <v>182877</v>
      </c>
      <c r="EE10" s="1823">
        <v>110962</v>
      </c>
      <c r="EF10" s="1823">
        <v>62056</v>
      </c>
      <c r="EG10" s="1823">
        <f t="shared" si="43"/>
        <v>173018</v>
      </c>
      <c r="EH10" s="1833">
        <v>102132</v>
      </c>
      <c r="EI10" s="1834">
        <v>57504</v>
      </c>
      <c r="EJ10" s="1834">
        <f t="shared" si="44"/>
        <v>159636</v>
      </c>
      <c r="EK10" s="1834">
        <v>103605</v>
      </c>
      <c r="EL10" s="1834">
        <v>58818</v>
      </c>
      <c r="EM10" s="1834">
        <f t="shared" si="45"/>
        <v>162423</v>
      </c>
      <c r="EN10" s="1834">
        <v>101545</v>
      </c>
      <c r="EO10" s="1834">
        <v>57534</v>
      </c>
      <c r="EP10" s="1834">
        <f t="shared" si="46"/>
        <v>159079</v>
      </c>
      <c r="EQ10" s="1834">
        <v>99003</v>
      </c>
      <c r="ER10" s="1834">
        <v>56529</v>
      </c>
      <c r="ES10" s="1834">
        <f t="shared" si="47"/>
        <v>155532</v>
      </c>
      <c r="ET10" s="1823">
        <v>92228</v>
      </c>
      <c r="EU10" s="1823">
        <v>52830</v>
      </c>
      <c r="EV10" s="1823">
        <f t="shared" si="48"/>
        <v>145058</v>
      </c>
      <c r="EW10" s="1823">
        <v>95596</v>
      </c>
      <c r="EX10" s="1823">
        <v>55955</v>
      </c>
      <c r="EY10" s="1823">
        <f t="shared" si="49"/>
        <v>151551</v>
      </c>
      <c r="EZ10" s="1823">
        <v>90618</v>
      </c>
      <c r="FA10" s="1823">
        <v>53253</v>
      </c>
      <c r="FB10" s="1823">
        <f t="shared" si="50"/>
        <v>143871</v>
      </c>
      <c r="FC10" s="1833">
        <v>86465</v>
      </c>
      <c r="FD10" s="1834">
        <v>50551</v>
      </c>
      <c r="FE10" s="1834">
        <f t="shared" si="51"/>
        <v>137016</v>
      </c>
      <c r="FF10" s="1829">
        <v>87719</v>
      </c>
      <c r="FG10" s="1829">
        <v>51993</v>
      </c>
      <c r="FH10" s="1830">
        <f t="shared" si="52"/>
        <v>139712</v>
      </c>
      <c r="FI10" s="1823">
        <v>85512</v>
      </c>
      <c r="FJ10" s="1823">
        <v>50209</v>
      </c>
      <c r="FK10" s="1823">
        <f t="shared" si="53"/>
        <v>135721</v>
      </c>
      <c r="FL10" s="1838">
        <v>83870</v>
      </c>
      <c r="FM10" s="1839">
        <v>48998</v>
      </c>
      <c r="FN10" s="1832">
        <f t="shared" si="54"/>
        <v>132868</v>
      </c>
      <c r="FO10" s="1823">
        <v>83300</v>
      </c>
      <c r="FP10" s="1823">
        <v>49106</v>
      </c>
      <c r="FQ10" s="1823">
        <f t="shared" si="55"/>
        <v>132406</v>
      </c>
      <c r="FR10" s="1835">
        <v>81205</v>
      </c>
      <c r="FS10" s="1834">
        <v>48442</v>
      </c>
      <c r="FT10" s="1834">
        <f t="shared" si="56"/>
        <v>129647</v>
      </c>
      <c r="FU10" s="1834">
        <v>79964</v>
      </c>
      <c r="FV10" s="1834">
        <v>47914</v>
      </c>
      <c r="FW10" s="1834">
        <f t="shared" si="57"/>
        <v>127878</v>
      </c>
      <c r="FX10" s="1834">
        <v>77888</v>
      </c>
      <c r="FY10" s="1834">
        <v>46893</v>
      </c>
      <c r="FZ10" s="1834">
        <f t="shared" si="58"/>
        <v>124781</v>
      </c>
      <c r="GA10" s="1834">
        <v>78031</v>
      </c>
      <c r="GB10" s="1834">
        <v>46653</v>
      </c>
      <c r="GC10" s="1834">
        <f t="shared" si="59"/>
        <v>124684</v>
      </c>
      <c r="GD10" s="1823">
        <v>75459</v>
      </c>
      <c r="GE10" s="1823">
        <v>45689</v>
      </c>
      <c r="GF10" s="1823">
        <f t="shared" si="60"/>
        <v>121148</v>
      </c>
      <c r="GG10" s="1823">
        <v>73063</v>
      </c>
      <c r="GH10" s="1823">
        <v>44314</v>
      </c>
      <c r="GI10" s="1823">
        <f t="shared" si="61"/>
        <v>117377</v>
      </c>
      <c r="GJ10" s="1823">
        <v>73673</v>
      </c>
      <c r="GK10" s="1823">
        <v>44612</v>
      </c>
      <c r="GL10" s="1823">
        <f t="shared" si="62"/>
        <v>118285</v>
      </c>
      <c r="GM10" s="1833">
        <v>70409</v>
      </c>
      <c r="GN10" s="1834">
        <v>42575</v>
      </c>
      <c r="GO10" s="1834">
        <f t="shared" si="63"/>
        <v>112984</v>
      </c>
      <c r="GP10" s="1829">
        <v>71624</v>
      </c>
      <c r="GQ10" s="1829">
        <v>43419</v>
      </c>
      <c r="GR10" s="1830">
        <f t="shared" si="64"/>
        <v>115043</v>
      </c>
      <c r="GS10" s="1823">
        <v>71169</v>
      </c>
      <c r="GT10" s="1823">
        <v>43402</v>
      </c>
      <c r="GU10" s="1823">
        <f t="shared" si="65"/>
        <v>114571</v>
      </c>
      <c r="GV10" s="1838">
        <v>72149</v>
      </c>
      <c r="GW10" s="1839">
        <v>44072</v>
      </c>
      <c r="GX10" s="1832">
        <f t="shared" si="66"/>
        <v>116221</v>
      </c>
      <c r="GY10" s="1823">
        <v>68703</v>
      </c>
      <c r="GZ10" s="1823">
        <v>42177</v>
      </c>
      <c r="HA10" s="1823">
        <f t="shared" si="67"/>
        <v>110880</v>
      </c>
      <c r="HB10" s="1835">
        <v>69810</v>
      </c>
      <c r="HC10" s="1834">
        <v>42881</v>
      </c>
      <c r="HD10" s="1834">
        <f t="shared" si="68"/>
        <v>112691</v>
      </c>
      <c r="HE10" s="1834">
        <v>69558</v>
      </c>
      <c r="HF10" s="1834">
        <v>42946</v>
      </c>
      <c r="HG10" s="1834">
        <f t="shared" si="69"/>
        <v>112504</v>
      </c>
      <c r="HH10" s="1834">
        <v>68162</v>
      </c>
      <c r="HI10" s="1834">
        <v>42676</v>
      </c>
      <c r="HJ10" s="1834">
        <f t="shared" si="70"/>
        <v>110838</v>
      </c>
      <c r="HK10" s="1834">
        <v>67962</v>
      </c>
      <c r="HL10" s="1834">
        <v>42853</v>
      </c>
      <c r="HM10" s="1834">
        <f t="shared" si="71"/>
        <v>110815</v>
      </c>
      <c r="HN10" s="1823">
        <v>66024</v>
      </c>
      <c r="HO10" s="1823">
        <v>42076</v>
      </c>
      <c r="HP10" s="1823">
        <f t="shared" si="72"/>
        <v>108100</v>
      </c>
      <c r="HQ10" s="1823">
        <v>63679</v>
      </c>
      <c r="HR10" s="1823">
        <v>40815</v>
      </c>
      <c r="HS10" s="1823">
        <f t="shared" si="73"/>
        <v>104494</v>
      </c>
      <c r="HT10" s="1823">
        <v>64762</v>
      </c>
      <c r="HU10" s="1823">
        <v>41357</v>
      </c>
      <c r="HV10" s="1823">
        <f t="shared" si="74"/>
        <v>106119</v>
      </c>
      <c r="HW10" s="1836">
        <v>64165</v>
      </c>
      <c r="HX10" s="1837">
        <v>40518</v>
      </c>
      <c r="HY10" s="1834">
        <f t="shared" si="75"/>
        <v>104683</v>
      </c>
      <c r="HZ10" s="1829">
        <v>61320</v>
      </c>
      <c r="IA10" s="1829">
        <v>39087</v>
      </c>
      <c r="IB10" s="1830">
        <f t="shared" si="76"/>
        <v>100407</v>
      </c>
      <c r="IC10" s="1823">
        <v>58723</v>
      </c>
      <c r="ID10" s="1823">
        <v>36992</v>
      </c>
      <c r="IE10" s="1823">
        <f t="shared" si="77"/>
        <v>95715</v>
      </c>
      <c r="IF10" s="1838">
        <v>63143</v>
      </c>
      <c r="IG10" s="1839">
        <v>40158</v>
      </c>
      <c r="IH10" s="1832">
        <f t="shared" si="78"/>
        <v>103301</v>
      </c>
      <c r="II10" s="1815">
        <v>60706</v>
      </c>
      <c r="IJ10" s="1815">
        <v>38879</v>
      </c>
      <c r="IK10" s="1815">
        <f t="shared" si="79"/>
        <v>99585</v>
      </c>
      <c r="IL10" s="1815">
        <f t="shared" si="79"/>
        <v>138464</v>
      </c>
    </row>
    <row r="11" spans="1:246" hidden="1">
      <c r="A11" s="1899" t="s">
        <v>1590</v>
      </c>
      <c r="B11" s="1815">
        <v>6951</v>
      </c>
      <c r="C11" s="1815">
        <v>943</v>
      </c>
      <c r="D11" s="1823">
        <f t="shared" si="0"/>
        <v>7894</v>
      </c>
      <c r="E11" s="1824">
        <v>8808</v>
      </c>
      <c r="F11" s="1824">
        <v>2193</v>
      </c>
      <c r="G11" s="1824">
        <f t="shared" si="1"/>
        <v>11001</v>
      </c>
      <c r="H11" s="1824">
        <v>8825</v>
      </c>
      <c r="I11" s="1824">
        <v>2398</v>
      </c>
      <c r="J11" s="1824">
        <f t="shared" si="2"/>
        <v>11223</v>
      </c>
      <c r="K11" s="1825">
        <v>8004</v>
      </c>
      <c r="L11" s="1825">
        <v>2857</v>
      </c>
      <c r="M11" s="1825">
        <f t="shared" si="3"/>
        <v>10861</v>
      </c>
      <c r="N11" s="1827">
        <v>8025</v>
      </c>
      <c r="O11" s="1827">
        <v>3074</v>
      </c>
      <c r="P11" s="1827">
        <f t="shared" si="4"/>
        <v>11099</v>
      </c>
      <c r="Q11" s="1823">
        <v>7975</v>
      </c>
      <c r="R11" s="1823">
        <v>3743</v>
      </c>
      <c r="S11" s="1823">
        <f t="shared" si="5"/>
        <v>11718</v>
      </c>
      <c r="T11" s="1823">
        <v>8469</v>
      </c>
      <c r="U11" s="1823">
        <v>3883</v>
      </c>
      <c r="V11" s="1823">
        <f t="shared" si="6"/>
        <v>12352</v>
      </c>
      <c r="W11" s="1825">
        <v>8831</v>
      </c>
      <c r="X11" s="1825">
        <v>4139</v>
      </c>
      <c r="Y11" s="1825">
        <f t="shared" si="7"/>
        <v>12970</v>
      </c>
      <c r="Z11" s="1825">
        <v>8775</v>
      </c>
      <c r="AA11" s="1825">
        <v>4235</v>
      </c>
      <c r="AB11" s="1825">
        <f t="shared" si="8"/>
        <v>13010</v>
      </c>
      <c r="AC11" s="1828">
        <v>9479</v>
      </c>
      <c r="AD11" s="1828">
        <v>4595</v>
      </c>
      <c r="AE11" s="1828">
        <f t="shared" si="9"/>
        <v>14074</v>
      </c>
      <c r="AF11" s="1829">
        <v>9095</v>
      </c>
      <c r="AG11" s="1829">
        <v>4601</v>
      </c>
      <c r="AH11" s="1830">
        <f t="shared" si="10"/>
        <v>13696</v>
      </c>
      <c r="AI11" s="1829">
        <v>9530</v>
      </c>
      <c r="AJ11" s="1829">
        <v>4516</v>
      </c>
      <c r="AK11" s="1830">
        <f t="shared" si="11"/>
        <v>14046</v>
      </c>
      <c r="AL11" s="1823">
        <v>9845</v>
      </c>
      <c r="AM11" s="1823">
        <v>4610</v>
      </c>
      <c r="AN11" s="1823">
        <f t="shared" si="12"/>
        <v>14455</v>
      </c>
      <c r="AO11" s="1829">
        <v>10002</v>
      </c>
      <c r="AP11" s="1829">
        <v>4666</v>
      </c>
      <c r="AQ11" s="1830">
        <f t="shared" si="13"/>
        <v>14668</v>
      </c>
      <c r="AR11" s="1829">
        <v>9901</v>
      </c>
      <c r="AS11" s="1829">
        <v>4598</v>
      </c>
      <c r="AT11" s="1830">
        <f t="shared" si="14"/>
        <v>14499</v>
      </c>
      <c r="AU11" s="1829">
        <v>9796</v>
      </c>
      <c r="AV11" s="1829">
        <v>4469</v>
      </c>
      <c r="AW11" s="1830">
        <f t="shared" si="15"/>
        <v>14265</v>
      </c>
      <c r="AX11" s="1829">
        <v>10040</v>
      </c>
      <c r="AY11" s="1829">
        <v>4792</v>
      </c>
      <c r="AZ11" s="1830">
        <f t="shared" si="16"/>
        <v>14832</v>
      </c>
      <c r="BA11" s="1823">
        <v>10230</v>
      </c>
      <c r="BB11" s="1823">
        <v>5040</v>
      </c>
      <c r="BC11" s="1823">
        <f t="shared" si="17"/>
        <v>15270</v>
      </c>
      <c r="BD11" s="1838">
        <v>10487</v>
      </c>
      <c r="BE11" s="1839">
        <v>5204</v>
      </c>
      <c r="BF11" s="1832">
        <f t="shared" si="18"/>
        <v>15691</v>
      </c>
      <c r="BG11" s="1823">
        <v>10801</v>
      </c>
      <c r="BH11" s="1823">
        <v>5379</v>
      </c>
      <c r="BI11" s="1823">
        <f t="shared" si="19"/>
        <v>16180</v>
      </c>
      <c r="BJ11" s="1833">
        <v>10962</v>
      </c>
      <c r="BK11" s="1834">
        <v>5497</v>
      </c>
      <c r="BL11" s="1834">
        <f t="shared" si="20"/>
        <v>16459</v>
      </c>
      <c r="BM11" s="1834">
        <v>11359</v>
      </c>
      <c r="BN11" s="1834">
        <v>5887</v>
      </c>
      <c r="BO11" s="1834">
        <f t="shared" si="21"/>
        <v>17246</v>
      </c>
      <c r="BP11" s="1834">
        <v>11421</v>
      </c>
      <c r="BQ11" s="1834">
        <v>6075</v>
      </c>
      <c r="BR11" s="1834">
        <f t="shared" si="22"/>
        <v>17496</v>
      </c>
      <c r="BS11" s="1834">
        <v>14061</v>
      </c>
      <c r="BT11" s="1834">
        <v>6760</v>
      </c>
      <c r="BU11" s="1834">
        <f t="shared" si="23"/>
        <v>20821</v>
      </c>
      <c r="BV11" s="1823">
        <v>13518</v>
      </c>
      <c r="BW11" s="1823">
        <v>7027</v>
      </c>
      <c r="BX11" s="1823">
        <f t="shared" si="24"/>
        <v>20545</v>
      </c>
      <c r="BY11" s="1823">
        <v>13984</v>
      </c>
      <c r="BZ11" s="1823">
        <v>6730</v>
      </c>
      <c r="CA11" s="1823">
        <v>14155</v>
      </c>
      <c r="CB11" s="1823">
        <v>7374</v>
      </c>
      <c r="CC11" s="1823">
        <f t="shared" si="25"/>
        <v>21529</v>
      </c>
      <c r="CD11" s="1823">
        <v>14860</v>
      </c>
      <c r="CE11" s="1823">
        <v>8037</v>
      </c>
      <c r="CF11" s="1823">
        <f t="shared" si="26"/>
        <v>22897</v>
      </c>
      <c r="CG11" s="1833">
        <v>14364</v>
      </c>
      <c r="CH11" s="1834">
        <v>8074</v>
      </c>
      <c r="CI11" s="1834">
        <f t="shared" si="27"/>
        <v>22438</v>
      </c>
      <c r="CJ11" s="1823">
        <v>14323</v>
      </c>
      <c r="CK11" s="1823">
        <v>8056</v>
      </c>
      <c r="CL11" s="1829">
        <v>14435</v>
      </c>
      <c r="CM11" s="1829">
        <v>8522</v>
      </c>
      <c r="CN11" s="1830">
        <f t="shared" si="28"/>
        <v>22957</v>
      </c>
      <c r="CO11" s="1823">
        <v>16817</v>
      </c>
      <c r="CP11" s="1823">
        <v>9228</v>
      </c>
      <c r="CQ11" s="1823">
        <f t="shared" si="29"/>
        <v>26045</v>
      </c>
      <c r="CR11" s="1838">
        <v>15713</v>
      </c>
      <c r="CS11" s="1839">
        <v>9582</v>
      </c>
      <c r="CT11" s="1832">
        <f t="shared" si="30"/>
        <v>25295</v>
      </c>
      <c r="CU11" s="1823">
        <v>15085</v>
      </c>
      <c r="CV11" s="1823">
        <v>9390</v>
      </c>
      <c r="CW11" s="1823">
        <f t="shared" si="31"/>
        <v>24475</v>
      </c>
      <c r="CX11" s="1833">
        <v>14867</v>
      </c>
      <c r="CY11" s="1834">
        <v>9431</v>
      </c>
      <c r="CZ11" s="1834">
        <f t="shared" si="32"/>
        <v>24298</v>
      </c>
      <c r="DA11" s="1834">
        <v>14430</v>
      </c>
      <c r="DB11" s="1834">
        <v>9122</v>
      </c>
      <c r="DC11" s="1834">
        <f t="shared" si="33"/>
        <v>23552</v>
      </c>
      <c r="DD11" s="1834">
        <v>14785</v>
      </c>
      <c r="DE11" s="1834">
        <v>9321</v>
      </c>
      <c r="DF11" s="1834">
        <f t="shared" si="34"/>
        <v>24106</v>
      </c>
      <c r="DG11" s="1834">
        <v>15038</v>
      </c>
      <c r="DH11" s="1834">
        <v>9929</v>
      </c>
      <c r="DI11" s="1834">
        <f t="shared" si="35"/>
        <v>24967</v>
      </c>
      <c r="DJ11" s="1823">
        <v>14499</v>
      </c>
      <c r="DK11" s="1823">
        <v>9421</v>
      </c>
      <c r="DL11" s="1823">
        <f t="shared" si="36"/>
        <v>23920</v>
      </c>
      <c r="DM11" s="1823">
        <v>14712</v>
      </c>
      <c r="DN11" s="1823">
        <v>9539</v>
      </c>
      <c r="DO11" s="1823">
        <f t="shared" si="37"/>
        <v>24251</v>
      </c>
      <c r="DP11" s="1823">
        <v>14798</v>
      </c>
      <c r="DQ11" s="1823">
        <v>10014</v>
      </c>
      <c r="DR11" s="1823">
        <f t="shared" si="38"/>
        <v>24812</v>
      </c>
      <c r="DS11" s="1833">
        <v>15799</v>
      </c>
      <c r="DT11" s="1834">
        <v>10402</v>
      </c>
      <c r="DU11" s="1834">
        <f t="shared" si="39"/>
        <v>26201</v>
      </c>
      <c r="DV11" s="1829">
        <v>16222</v>
      </c>
      <c r="DW11" s="1829">
        <v>10287</v>
      </c>
      <c r="DX11" s="1830">
        <f t="shared" si="40"/>
        <v>26509</v>
      </c>
      <c r="DY11" s="1823">
        <v>17778</v>
      </c>
      <c r="DZ11" s="1823">
        <v>10928</v>
      </c>
      <c r="EA11" s="1823">
        <f t="shared" si="41"/>
        <v>28706</v>
      </c>
      <c r="EB11" s="1838">
        <v>19634</v>
      </c>
      <c r="EC11" s="1839">
        <v>11010</v>
      </c>
      <c r="ED11" s="1832">
        <f t="shared" si="42"/>
        <v>30644</v>
      </c>
      <c r="EE11" s="1823">
        <v>20751</v>
      </c>
      <c r="EF11" s="1823">
        <v>11208</v>
      </c>
      <c r="EG11" s="1823">
        <f t="shared" si="43"/>
        <v>31959</v>
      </c>
      <c r="EH11" s="1833">
        <v>20881</v>
      </c>
      <c r="EI11" s="1834">
        <v>11027</v>
      </c>
      <c r="EJ11" s="1834">
        <f t="shared" si="44"/>
        <v>31908</v>
      </c>
      <c r="EK11" s="1834">
        <v>22743</v>
      </c>
      <c r="EL11" s="1834">
        <v>12233</v>
      </c>
      <c r="EM11" s="1834">
        <f t="shared" si="45"/>
        <v>34976</v>
      </c>
      <c r="EN11" s="1834">
        <v>24544</v>
      </c>
      <c r="EO11" s="1834">
        <v>12504</v>
      </c>
      <c r="EP11" s="1834">
        <f t="shared" si="46"/>
        <v>37048</v>
      </c>
      <c r="EQ11" s="1834">
        <v>26544</v>
      </c>
      <c r="ER11" s="1834">
        <v>12803</v>
      </c>
      <c r="ES11" s="1834">
        <f t="shared" si="47"/>
        <v>39347</v>
      </c>
      <c r="ET11" s="1823">
        <v>28879</v>
      </c>
      <c r="EU11" s="1823">
        <v>13292</v>
      </c>
      <c r="EV11" s="1823">
        <f t="shared" si="48"/>
        <v>42171</v>
      </c>
      <c r="EW11" s="1823">
        <v>30582</v>
      </c>
      <c r="EX11" s="1823">
        <v>13379</v>
      </c>
      <c r="EY11" s="1823">
        <f t="shared" si="49"/>
        <v>43961</v>
      </c>
      <c r="EZ11" s="1823">
        <v>31496</v>
      </c>
      <c r="FA11" s="1823">
        <v>14162</v>
      </c>
      <c r="FB11" s="1823">
        <f t="shared" si="50"/>
        <v>45658</v>
      </c>
      <c r="FC11" s="1833">
        <v>33368</v>
      </c>
      <c r="FD11" s="1834">
        <v>14524</v>
      </c>
      <c r="FE11" s="1834">
        <f t="shared" si="51"/>
        <v>47892</v>
      </c>
      <c r="FF11" s="1829">
        <v>33830</v>
      </c>
      <c r="FG11" s="1829">
        <v>14916</v>
      </c>
      <c r="FH11" s="1830">
        <f t="shared" si="52"/>
        <v>48746</v>
      </c>
      <c r="FI11" s="1823">
        <v>33901</v>
      </c>
      <c r="FJ11" s="1823">
        <v>15477</v>
      </c>
      <c r="FK11" s="1823">
        <f t="shared" si="53"/>
        <v>49378</v>
      </c>
      <c r="FL11" s="1838">
        <v>36546</v>
      </c>
      <c r="FM11" s="1839">
        <v>16454</v>
      </c>
      <c r="FN11" s="1832">
        <f t="shared" si="54"/>
        <v>53000</v>
      </c>
      <c r="FO11" s="1823">
        <v>36328</v>
      </c>
      <c r="FP11" s="1823">
        <v>16822</v>
      </c>
      <c r="FQ11" s="1823">
        <f t="shared" si="55"/>
        <v>53150</v>
      </c>
      <c r="FR11" s="1835">
        <v>36917</v>
      </c>
      <c r="FS11" s="1834">
        <v>17235</v>
      </c>
      <c r="FT11" s="1834">
        <f t="shared" si="56"/>
        <v>54152</v>
      </c>
      <c r="FU11" s="1834">
        <v>38383</v>
      </c>
      <c r="FV11" s="1834">
        <v>17964</v>
      </c>
      <c r="FW11" s="1834">
        <f t="shared" si="57"/>
        <v>56347</v>
      </c>
      <c r="FX11" s="1834">
        <v>38627</v>
      </c>
      <c r="FY11" s="1834">
        <v>20729</v>
      </c>
      <c r="FZ11" s="1834">
        <f t="shared" si="58"/>
        <v>59356</v>
      </c>
      <c r="GA11" s="1834">
        <v>40888</v>
      </c>
      <c r="GB11" s="1834">
        <v>19473</v>
      </c>
      <c r="GC11" s="1834">
        <f t="shared" si="59"/>
        <v>60361</v>
      </c>
      <c r="GD11" s="1823">
        <v>39072</v>
      </c>
      <c r="GE11" s="1823">
        <v>19250</v>
      </c>
      <c r="GF11" s="1823">
        <f t="shared" si="60"/>
        <v>58322</v>
      </c>
      <c r="GG11" s="1823">
        <v>37699</v>
      </c>
      <c r="GH11" s="1823">
        <v>19035</v>
      </c>
      <c r="GI11" s="1823">
        <f t="shared" si="61"/>
        <v>56734</v>
      </c>
      <c r="GJ11" s="1823">
        <v>37820</v>
      </c>
      <c r="GK11" s="1823">
        <v>19640</v>
      </c>
      <c r="GL11" s="1823">
        <f t="shared" si="62"/>
        <v>57460</v>
      </c>
      <c r="GM11" s="1833">
        <v>38403</v>
      </c>
      <c r="GN11" s="1834">
        <v>20416</v>
      </c>
      <c r="GO11" s="1834">
        <f t="shared" si="63"/>
        <v>58819</v>
      </c>
      <c r="GP11" s="1829">
        <v>38058</v>
      </c>
      <c r="GQ11" s="1829">
        <v>20176</v>
      </c>
      <c r="GR11" s="1830">
        <f t="shared" si="64"/>
        <v>58234</v>
      </c>
      <c r="GS11" s="1823">
        <v>38478</v>
      </c>
      <c r="GT11" s="1823">
        <v>20746</v>
      </c>
      <c r="GU11" s="1823">
        <f t="shared" si="65"/>
        <v>59224</v>
      </c>
      <c r="GV11" s="1838">
        <v>38535</v>
      </c>
      <c r="GW11" s="1839">
        <v>20941</v>
      </c>
      <c r="GX11" s="1832">
        <f t="shared" si="66"/>
        <v>59476</v>
      </c>
      <c r="GY11" s="1823">
        <v>38615</v>
      </c>
      <c r="GZ11" s="1823">
        <v>20696</v>
      </c>
      <c r="HA11" s="1823">
        <f t="shared" si="67"/>
        <v>59311</v>
      </c>
      <c r="HB11" s="1835">
        <v>40114</v>
      </c>
      <c r="HC11" s="1834">
        <v>22512</v>
      </c>
      <c r="HD11" s="1834">
        <f t="shared" si="68"/>
        <v>62626</v>
      </c>
      <c r="HE11" s="1834">
        <v>40663</v>
      </c>
      <c r="HF11" s="1834">
        <v>22754</v>
      </c>
      <c r="HG11" s="1834">
        <f t="shared" si="69"/>
        <v>63417</v>
      </c>
      <c r="HH11" s="1834">
        <v>41897</v>
      </c>
      <c r="HI11" s="1834">
        <v>23163</v>
      </c>
      <c r="HJ11" s="1834">
        <f t="shared" si="70"/>
        <v>65060</v>
      </c>
      <c r="HK11" s="1834">
        <v>42951</v>
      </c>
      <c r="HL11" s="1834">
        <v>24305</v>
      </c>
      <c r="HM11" s="1834">
        <f t="shared" si="71"/>
        <v>67256</v>
      </c>
      <c r="HN11" s="1823">
        <v>43778</v>
      </c>
      <c r="HO11" s="1823">
        <v>24318</v>
      </c>
      <c r="HP11" s="1823">
        <f t="shared" si="72"/>
        <v>68096</v>
      </c>
      <c r="HQ11" s="1823">
        <v>43796</v>
      </c>
      <c r="HR11" s="1823">
        <v>25158</v>
      </c>
      <c r="HS11" s="1823">
        <f t="shared" si="73"/>
        <v>68954</v>
      </c>
      <c r="HT11" s="1823">
        <v>46194</v>
      </c>
      <c r="HU11" s="1823">
        <v>26226</v>
      </c>
      <c r="HV11" s="1823">
        <f t="shared" si="74"/>
        <v>72420</v>
      </c>
      <c r="HW11" s="1836">
        <v>47099</v>
      </c>
      <c r="HX11" s="1837">
        <v>27645</v>
      </c>
      <c r="HY11" s="1834">
        <f t="shared" si="75"/>
        <v>74744</v>
      </c>
      <c r="HZ11" s="1829">
        <v>48455</v>
      </c>
      <c r="IA11" s="1829">
        <v>27795</v>
      </c>
      <c r="IB11" s="1830">
        <f t="shared" si="76"/>
        <v>76250</v>
      </c>
      <c r="IC11" s="1823">
        <v>49825</v>
      </c>
      <c r="ID11" s="1823">
        <v>29626</v>
      </c>
      <c r="IE11" s="1823">
        <f t="shared" si="77"/>
        <v>79451</v>
      </c>
      <c r="IF11" s="1838">
        <v>51037</v>
      </c>
      <c r="IG11" s="1839">
        <v>29982</v>
      </c>
      <c r="IH11" s="1832">
        <f t="shared" si="78"/>
        <v>81019</v>
      </c>
      <c r="II11" s="1815">
        <v>53123</v>
      </c>
      <c r="IJ11" s="1815">
        <v>31599</v>
      </c>
      <c r="IK11" s="1815">
        <f t="shared" si="79"/>
        <v>84722</v>
      </c>
      <c r="IL11" s="1815">
        <f t="shared" si="79"/>
        <v>116321</v>
      </c>
    </row>
    <row r="12" spans="1:246">
      <c r="A12" s="1900" t="s">
        <v>1596</v>
      </c>
      <c r="B12" s="1815">
        <v>14707</v>
      </c>
      <c r="C12" s="1815">
        <v>8557</v>
      </c>
      <c r="D12" s="1823">
        <f t="shared" si="0"/>
        <v>23264</v>
      </c>
      <c r="E12" s="1824">
        <v>15061</v>
      </c>
      <c r="F12" s="1824">
        <v>8991</v>
      </c>
      <c r="G12" s="1824">
        <f t="shared" si="1"/>
        <v>24052</v>
      </c>
      <c r="H12" s="1824">
        <v>15002</v>
      </c>
      <c r="I12" s="1824">
        <v>8968</v>
      </c>
      <c r="J12" s="1824">
        <f t="shared" si="2"/>
        <v>23970</v>
      </c>
      <c r="K12" s="1825">
        <v>15146</v>
      </c>
      <c r="L12" s="1825">
        <v>8887</v>
      </c>
      <c r="M12" s="1825">
        <f t="shared" si="3"/>
        <v>24033</v>
      </c>
      <c r="N12" s="1826">
        <v>15259</v>
      </c>
      <c r="O12" s="1826">
        <v>8937</v>
      </c>
      <c r="P12" s="1827">
        <f t="shared" si="4"/>
        <v>24196</v>
      </c>
      <c r="Q12" s="1823">
        <v>14342</v>
      </c>
      <c r="R12" s="1823">
        <v>8780</v>
      </c>
      <c r="S12" s="1823">
        <f t="shared" si="5"/>
        <v>23122</v>
      </c>
      <c r="T12" s="1823">
        <v>14732</v>
      </c>
      <c r="U12" s="1823">
        <v>8888</v>
      </c>
      <c r="V12" s="1823">
        <f t="shared" si="6"/>
        <v>23620</v>
      </c>
      <c r="W12" s="1825">
        <v>14515</v>
      </c>
      <c r="X12" s="1825">
        <v>9744</v>
      </c>
      <c r="Y12" s="1825">
        <f t="shared" si="7"/>
        <v>24259</v>
      </c>
      <c r="Z12" s="1825">
        <v>14506</v>
      </c>
      <c r="AA12" s="1825">
        <v>9714</v>
      </c>
      <c r="AB12" s="1825">
        <f t="shared" si="8"/>
        <v>24220</v>
      </c>
      <c r="AC12" s="1828">
        <v>15155</v>
      </c>
      <c r="AD12" s="1828">
        <v>9878</v>
      </c>
      <c r="AE12" s="1828">
        <f t="shared" si="9"/>
        <v>25033</v>
      </c>
      <c r="AF12" s="1829">
        <v>14693</v>
      </c>
      <c r="AG12" s="1829">
        <v>9653</v>
      </c>
      <c r="AH12" s="1830">
        <f t="shared" si="10"/>
        <v>24346</v>
      </c>
      <c r="AI12" s="1829">
        <v>14331</v>
      </c>
      <c r="AJ12" s="1829">
        <v>9479</v>
      </c>
      <c r="AK12" s="1830">
        <f t="shared" si="11"/>
        <v>23810</v>
      </c>
      <c r="AL12" s="1823">
        <v>14680</v>
      </c>
      <c r="AM12" s="1823">
        <v>10927</v>
      </c>
      <c r="AN12" s="1823">
        <f t="shared" si="12"/>
        <v>25607</v>
      </c>
      <c r="AO12" s="1829">
        <v>14533</v>
      </c>
      <c r="AP12" s="1829">
        <v>11084</v>
      </c>
      <c r="AQ12" s="1830">
        <f t="shared" si="13"/>
        <v>25617</v>
      </c>
      <c r="AR12" s="1829">
        <v>14541</v>
      </c>
      <c r="AS12" s="1829">
        <v>11171</v>
      </c>
      <c r="AT12" s="1830">
        <f t="shared" si="14"/>
        <v>25712</v>
      </c>
      <c r="AU12" s="1829">
        <v>14472</v>
      </c>
      <c r="AV12" s="1829">
        <v>11225</v>
      </c>
      <c r="AW12" s="1830">
        <f t="shared" si="15"/>
        <v>25697</v>
      </c>
      <c r="AX12" s="1829">
        <v>14703</v>
      </c>
      <c r="AY12" s="1829">
        <v>11625</v>
      </c>
      <c r="AZ12" s="1830">
        <f t="shared" si="16"/>
        <v>26328</v>
      </c>
      <c r="BA12" s="1823">
        <v>14888</v>
      </c>
      <c r="BB12" s="1823">
        <v>12247</v>
      </c>
      <c r="BC12" s="1823">
        <f t="shared" si="17"/>
        <v>27135</v>
      </c>
      <c r="BD12" s="1831">
        <v>14825</v>
      </c>
      <c r="BE12" s="1832">
        <v>12905</v>
      </c>
      <c r="BF12" s="1832">
        <f t="shared" si="18"/>
        <v>27730</v>
      </c>
      <c r="BG12" s="1823">
        <v>15049</v>
      </c>
      <c r="BH12" s="1823">
        <v>13639</v>
      </c>
      <c r="BI12" s="1823">
        <f t="shared" si="19"/>
        <v>28688</v>
      </c>
      <c r="BJ12" s="1833">
        <v>15144</v>
      </c>
      <c r="BK12" s="1834">
        <v>13984</v>
      </c>
      <c r="BL12" s="1834">
        <f t="shared" si="20"/>
        <v>29128</v>
      </c>
      <c r="BM12" s="1834">
        <v>15473</v>
      </c>
      <c r="BN12" s="1834">
        <v>14681</v>
      </c>
      <c r="BO12" s="1834">
        <f t="shared" si="21"/>
        <v>30154</v>
      </c>
      <c r="BP12" s="1834">
        <v>15566</v>
      </c>
      <c r="BQ12" s="1834">
        <v>15331</v>
      </c>
      <c r="BR12" s="1834">
        <f t="shared" si="22"/>
        <v>30897</v>
      </c>
      <c r="BS12" s="1834">
        <v>15816</v>
      </c>
      <c r="BT12" s="1834">
        <v>16051</v>
      </c>
      <c r="BU12" s="1834">
        <f t="shared" si="23"/>
        <v>31867</v>
      </c>
      <c r="BV12" s="1823">
        <v>15800</v>
      </c>
      <c r="BW12" s="1823">
        <v>16347</v>
      </c>
      <c r="BX12" s="1823">
        <f t="shared" si="24"/>
        <v>32147</v>
      </c>
      <c r="BY12" s="1823">
        <v>15852</v>
      </c>
      <c r="BZ12" s="1823">
        <v>16089</v>
      </c>
      <c r="CA12" s="1823">
        <v>15868</v>
      </c>
      <c r="CB12" s="1823">
        <v>16692</v>
      </c>
      <c r="CC12" s="1823">
        <f t="shared" si="25"/>
        <v>32560</v>
      </c>
      <c r="CD12" s="1823">
        <v>15885</v>
      </c>
      <c r="CE12" s="1823">
        <v>17088</v>
      </c>
      <c r="CF12" s="1823">
        <f t="shared" si="26"/>
        <v>32973</v>
      </c>
      <c r="CG12" s="1833">
        <v>16153</v>
      </c>
      <c r="CH12" s="1834">
        <v>17536</v>
      </c>
      <c r="CI12" s="1834">
        <f t="shared" si="27"/>
        <v>33689</v>
      </c>
      <c r="CJ12" s="1823">
        <v>16105</v>
      </c>
      <c r="CK12" s="1823">
        <v>17506</v>
      </c>
      <c r="CL12" s="1829">
        <v>16259</v>
      </c>
      <c r="CM12" s="1829">
        <v>17820</v>
      </c>
      <c r="CN12" s="1830">
        <f t="shared" si="28"/>
        <v>34079</v>
      </c>
      <c r="CO12" s="1823">
        <v>16800</v>
      </c>
      <c r="CP12" s="1823">
        <v>17976</v>
      </c>
      <c r="CQ12" s="1823">
        <f t="shared" si="29"/>
        <v>34776</v>
      </c>
      <c r="CR12" s="1831">
        <v>16764</v>
      </c>
      <c r="CS12" s="1832">
        <v>18460</v>
      </c>
      <c r="CT12" s="1832">
        <f t="shared" si="30"/>
        <v>35224</v>
      </c>
      <c r="CU12" s="1823">
        <v>17116</v>
      </c>
      <c r="CV12" s="1823">
        <v>18718</v>
      </c>
      <c r="CW12" s="1823">
        <f t="shared" si="31"/>
        <v>35834</v>
      </c>
      <c r="CX12" s="1833">
        <v>17390</v>
      </c>
      <c r="CY12" s="1834">
        <v>19068</v>
      </c>
      <c r="CZ12" s="1834">
        <f t="shared" si="32"/>
        <v>36458</v>
      </c>
      <c r="DA12" s="1834">
        <v>17547</v>
      </c>
      <c r="DB12" s="1834">
        <v>19335</v>
      </c>
      <c r="DC12" s="1834">
        <f t="shared" si="33"/>
        <v>36882</v>
      </c>
      <c r="DD12" s="1834">
        <v>17822</v>
      </c>
      <c r="DE12" s="1834">
        <v>19357</v>
      </c>
      <c r="DF12" s="1834">
        <f t="shared" si="34"/>
        <v>37179</v>
      </c>
      <c r="DG12" s="1834">
        <v>17826</v>
      </c>
      <c r="DH12" s="1834">
        <v>19533</v>
      </c>
      <c r="DI12" s="1834">
        <f t="shared" si="35"/>
        <v>37359</v>
      </c>
      <c r="DJ12" s="1823">
        <v>18098</v>
      </c>
      <c r="DK12" s="1823">
        <v>20053</v>
      </c>
      <c r="DL12" s="1823">
        <f t="shared" si="36"/>
        <v>38151</v>
      </c>
      <c r="DM12" s="1823">
        <v>18030</v>
      </c>
      <c r="DN12" s="1823">
        <v>20087</v>
      </c>
      <c r="DO12" s="1823">
        <f t="shared" si="37"/>
        <v>38117</v>
      </c>
      <c r="DP12" s="1823">
        <v>18307</v>
      </c>
      <c r="DQ12" s="1823">
        <v>20649</v>
      </c>
      <c r="DR12" s="1823">
        <f t="shared" si="38"/>
        <v>38956</v>
      </c>
      <c r="DS12" s="1833">
        <v>18518</v>
      </c>
      <c r="DT12" s="1834">
        <v>20811</v>
      </c>
      <c r="DU12" s="1834">
        <f t="shared" si="39"/>
        <v>39329</v>
      </c>
      <c r="DV12" s="1829">
        <v>18654</v>
      </c>
      <c r="DW12" s="1829">
        <v>21007</v>
      </c>
      <c r="DX12" s="1830">
        <f t="shared" si="40"/>
        <v>39661</v>
      </c>
      <c r="DY12" s="1823">
        <v>19077</v>
      </c>
      <c r="DZ12" s="1823">
        <v>21334</v>
      </c>
      <c r="EA12" s="1823">
        <f t="shared" si="41"/>
        <v>40411</v>
      </c>
      <c r="EB12" s="1831">
        <v>19378</v>
      </c>
      <c r="EC12" s="1832">
        <v>21626</v>
      </c>
      <c r="ED12" s="1832">
        <f t="shared" si="42"/>
        <v>41004</v>
      </c>
      <c r="EE12" s="1823">
        <v>19462</v>
      </c>
      <c r="EF12" s="1823">
        <v>21616</v>
      </c>
      <c r="EG12" s="1823">
        <f t="shared" si="43"/>
        <v>41078</v>
      </c>
      <c r="EH12" s="1833">
        <v>19204</v>
      </c>
      <c r="EI12" s="1834">
        <v>23153</v>
      </c>
      <c r="EJ12" s="1834">
        <f t="shared" si="44"/>
        <v>42357</v>
      </c>
      <c r="EK12" s="1834">
        <v>19687</v>
      </c>
      <c r="EL12" s="1834">
        <v>21964</v>
      </c>
      <c r="EM12" s="1834">
        <f t="shared" si="45"/>
        <v>41651</v>
      </c>
      <c r="EN12" s="1834">
        <v>20023</v>
      </c>
      <c r="EO12" s="1834">
        <v>22081</v>
      </c>
      <c r="EP12" s="1834">
        <f t="shared" si="46"/>
        <v>42104</v>
      </c>
      <c r="EQ12" s="1834">
        <v>20230</v>
      </c>
      <c r="ER12" s="1834">
        <v>22439</v>
      </c>
      <c r="ES12" s="1834">
        <f t="shared" si="47"/>
        <v>42669</v>
      </c>
      <c r="ET12" s="1823">
        <v>20046</v>
      </c>
      <c r="EU12" s="1823">
        <v>22553</v>
      </c>
      <c r="EV12" s="1823">
        <f t="shared" si="48"/>
        <v>42599</v>
      </c>
      <c r="EW12" s="1823">
        <v>19885</v>
      </c>
      <c r="EX12" s="1823">
        <v>21869</v>
      </c>
      <c r="EY12" s="1823">
        <f t="shared" si="49"/>
        <v>41754</v>
      </c>
      <c r="EZ12" s="1823">
        <v>20174</v>
      </c>
      <c r="FA12" s="1823">
        <v>22282</v>
      </c>
      <c r="FB12" s="1823">
        <f t="shared" si="50"/>
        <v>42456</v>
      </c>
      <c r="FC12" s="1833">
        <v>20657</v>
      </c>
      <c r="FD12" s="1834">
        <v>22282</v>
      </c>
      <c r="FE12" s="1834">
        <f t="shared" si="51"/>
        <v>42939</v>
      </c>
      <c r="FF12" s="1829">
        <v>20721</v>
      </c>
      <c r="FG12" s="1829">
        <v>22536</v>
      </c>
      <c r="FH12" s="1830">
        <f t="shared" si="52"/>
        <v>43257</v>
      </c>
      <c r="FI12" s="1823">
        <v>20824</v>
      </c>
      <c r="FJ12" s="1823">
        <v>22659</v>
      </c>
      <c r="FK12" s="1823">
        <f t="shared" si="53"/>
        <v>43483</v>
      </c>
      <c r="FL12" s="1831">
        <v>21322</v>
      </c>
      <c r="FM12" s="1832">
        <v>22645</v>
      </c>
      <c r="FN12" s="1832">
        <f t="shared" si="54"/>
        <v>43967</v>
      </c>
      <c r="FO12" s="1823">
        <v>21421</v>
      </c>
      <c r="FP12" s="1823">
        <v>22983</v>
      </c>
      <c r="FQ12" s="1823">
        <f t="shared" si="55"/>
        <v>44404</v>
      </c>
      <c r="FR12" s="1835">
        <v>22064</v>
      </c>
      <c r="FS12" s="1834">
        <v>23213</v>
      </c>
      <c r="FT12" s="1834">
        <f t="shared" si="56"/>
        <v>45277</v>
      </c>
      <c r="FU12" s="1834">
        <v>22247</v>
      </c>
      <c r="FV12" s="1834">
        <v>23621</v>
      </c>
      <c r="FW12" s="1834">
        <f t="shared" si="57"/>
        <v>45868</v>
      </c>
      <c r="FX12" s="1834">
        <v>21742</v>
      </c>
      <c r="FY12" s="1834">
        <v>23421</v>
      </c>
      <c r="FZ12" s="1834">
        <f t="shared" si="58"/>
        <v>45163</v>
      </c>
      <c r="GA12" s="1834">
        <v>22297</v>
      </c>
      <c r="GB12" s="1834">
        <v>24064</v>
      </c>
      <c r="GC12" s="1834">
        <f t="shared" si="59"/>
        <v>46361</v>
      </c>
      <c r="GD12" s="1823">
        <v>21953</v>
      </c>
      <c r="GE12" s="1823">
        <v>23772</v>
      </c>
      <c r="GF12" s="1823">
        <f t="shared" si="60"/>
        <v>45725</v>
      </c>
      <c r="GG12" s="1823">
        <v>21599</v>
      </c>
      <c r="GH12" s="1823">
        <v>23812</v>
      </c>
      <c r="GI12" s="1823">
        <f t="shared" si="61"/>
        <v>45411</v>
      </c>
      <c r="GJ12" s="1823">
        <v>21605</v>
      </c>
      <c r="GK12" s="1823">
        <v>23888</v>
      </c>
      <c r="GL12" s="1823">
        <f t="shared" si="62"/>
        <v>45493</v>
      </c>
      <c r="GM12" s="1833">
        <v>21396</v>
      </c>
      <c r="GN12" s="1834">
        <v>24010</v>
      </c>
      <c r="GO12" s="1834">
        <f t="shared" si="63"/>
        <v>45406</v>
      </c>
      <c r="GP12" s="1829">
        <v>21694</v>
      </c>
      <c r="GQ12" s="1829">
        <v>24091</v>
      </c>
      <c r="GR12" s="1830">
        <f t="shared" si="64"/>
        <v>45785</v>
      </c>
      <c r="GS12" s="1823">
        <v>21878</v>
      </c>
      <c r="GT12" s="1823">
        <v>24211</v>
      </c>
      <c r="GU12" s="1823">
        <f t="shared" si="65"/>
        <v>46089</v>
      </c>
      <c r="GV12" s="1831">
        <v>22268</v>
      </c>
      <c r="GW12" s="1832">
        <v>24763</v>
      </c>
      <c r="GX12" s="1832">
        <f t="shared" si="66"/>
        <v>47031</v>
      </c>
      <c r="GY12" s="1823">
        <v>22337</v>
      </c>
      <c r="GZ12" s="1823">
        <v>24846</v>
      </c>
      <c r="HA12" s="1823">
        <f t="shared" si="67"/>
        <v>47183</v>
      </c>
      <c r="HB12" s="1835">
        <v>22600</v>
      </c>
      <c r="HC12" s="1834">
        <v>25114</v>
      </c>
      <c r="HD12" s="1834">
        <f t="shared" si="68"/>
        <v>47714</v>
      </c>
      <c r="HE12" s="1834">
        <v>22638</v>
      </c>
      <c r="HF12" s="1834">
        <v>25268</v>
      </c>
      <c r="HG12" s="1834">
        <f t="shared" si="69"/>
        <v>47906</v>
      </c>
      <c r="HH12" s="1834">
        <v>22668</v>
      </c>
      <c r="HI12" s="1834">
        <v>25120</v>
      </c>
      <c r="HJ12" s="1834">
        <f t="shared" si="70"/>
        <v>47788</v>
      </c>
      <c r="HK12" s="1834">
        <v>22680</v>
      </c>
      <c r="HL12" s="1834">
        <v>25301</v>
      </c>
      <c r="HM12" s="1834">
        <f t="shared" si="71"/>
        <v>47981</v>
      </c>
      <c r="HN12" s="1823">
        <v>22523</v>
      </c>
      <c r="HO12" s="1823">
        <v>25150</v>
      </c>
      <c r="HP12" s="1823">
        <f t="shared" si="72"/>
        <v>47673</v>
      </c>
      <c r="HQ12" s="1823">
        <v>22021</v>
      </c>
      <c r="HR12" s="1823">
        <v>25347</v>
      </c>
      <c r="HS12" s="1823">
        <f t="shared" si="73"/>
        <v>47368</v>
      </c>
      <c r="HT12" s="1823">
        <v>22318</v>
      </c>
      <c r="HU12" s="1823">
        <v>25578</v>
      </c>
      <c r="HV12" s="1823">
        <f t="shared" si="74"/>
        <v>47896</v>
      </c>
      <c r="HW12" s="1836">
        <v>22127</v>
      </c>
      <c r="HX12" s="1837">
        <v>25708</v>
      </c>
      <c r="HY12" s="1834">
        <f t="shared" si="75"/>
        <v>47835</v>
      </c>
      <c r="HZ12" s="1829">
        <v>22541</v>
      </c>
      <c r="IA12" s="1829">
        <v>25766</v>
      </c>
      <c r="IB12" s="1830">
        <f t="shared" si="76"/>
        <v>48307</v>
      </c>
      <c r="IC12" s="1823">
        <v>22664</v>
      </c>
      <c r="ID12" s="1823">
        <v>25888</v>
      </c>
      <c r="IE12" s="1823">
        <f t="shared" si="77"/>
        <v>48552</v>
      </c>
      <c r="IF12" s="1831">
        <v>22840</v>
      </c>
      <c r="IG12" s="1832">
        <v>26216</v>
      </c>
      <c r="IH12" s="1832">
        <f t="shared" si="78"/>
        <v>49056</v>
      </c>
      <c r="II12" s="1815">
        <v>23008</v>
      </c>
      <c r="IJ12" s="1815">
        <v>26300</v>
      </c>
      <c r="IK12" s="1815">
        <f t="shared" si="79"/>
        <v>49308</v>
      </c>
      <c r="IL12" s="1815">
        <v>51038</v>
      </c>
    </row>
    <row r="13" spans="1:246">
      <c r="A13" s="1900" t="s">
        <v>1589</v>
      </c>
      <c r="B13" s="1815">
        <v>7860</v>
      </c>
      <c r="C13" s="1815">
        <v>6832</v>
      </c>
      <c r="D13" s="1823">
        <f t="shared" si="0"/>
        <v>14692</v>
      </c>
      <c r="E13" s="1824">
        <v>8288</v>
      </c>
      <c r="F13" s="1824">
        <v>6500</v>
      </c>
      <c r="G13" s="1824">
        <f t="shared" si="1"/>
        <v>14788</v>
      </c>
      <c r="H13" s="1824">
        <v>8544</v>
      </c>
      <c r="I13" s="1824">
        <v>7314</v>
      </c>
      <c r="J13" s="1824">
        <f t="shared" si="2"/>
        <v>15858</v>
      </c>
      <c r="K13" s="1825">
        <v>9171</v>
      </c>
      <c r="L13" s="1825">
        <v>7848</v>
      </c>
      <c r="M13" s="1825">
        <f t="shared" si="3"/>
        <v>17019</v>
      </c>
      <c r="N13" s="1827">
        <v>9363</v>
      </c>
      <c r="O13" s="1827">
        <v>7876</v>
      </c>
      <c r="P13" s="1827">
        <f t="shared" si="4"/>
        <v>17239</v>
      </c>
      <c r="Q13" s="1823">
        <v>9408</v>
      </c>
      <c r="R13" s="1823">
        <v>8214</v>
      </c>
      <c r="S13" s="1823">
        <f t="shared" si="5"/>
        <v>17622</v>
      </c>
      <c r="T13" s="1823">
        <v>9800</v>
      </c>
      <c r="U13" s="1823">
        <v>8448</v>
      </c>
      <c r="V13" s="1823">
        <f t="shared" si="6"/>
        <v>18248</v>
      </c>
      <c r="W13" s="1825">
        <v>9828</v>
      </c>
      <c r="X13" s="1825">
        <v>8435</v>
      </c>
      <c r="Y13" s="1825">
        <f t="shared" si="7"/>
        <v>18263</v>
      </c>
      <c r="Z13" s="1825">
        <v>9906</v>
      </c>
      <c r="AA13" s="1825">
        <v>8603</v>
      </c>
      <c r="AB13" s="1825">
        <f t="shared" si="8"/>
        <v>18509</v>
      </c>
      <c r="AC13" s="1828">
        <v>10480</v>
      </c>
      <c r="AD13" s="1828">
        <v>9140</v>
      </c>
      <c r="AE13" s="1828">
        <f t="shared" si="9"/>
        <v>19620</v>
      </c>
      <c r="AF13" s="1829">
        <v>10044</v>
      </c>
      <c r="AG13" s="1829">
        <v>8819</v>
      </c>
      <c r="AH13" s="1830">
        <f t="shared" si="10"/>
        <v>18863</v>
      </c>
      <c r="AI13" s="1829">
        <v>10456</v>
      </c>
      <c r="AJ13" s="1829">
        <v>8981</v>
      </c>
      <c r="AK13" s="1830">
        <f t="shared" si="11"/>
        <v>19437</v>
      </c>
      <c r="AL13" s="1823">
        <v>11029</v>
      </c>
      <c r="AM13" s="1823">
        <v>9137</v>
      </c>
      <c r="AN13" s="1823">
        <f t="shared" si="12"/>
        <v>20166</v>
      </c>
      <c r="AO13" s="1829">
        <v>11305</v>
      </c>
      <c r="AP13" s="1829">
        <v>8883</v>
      </c>
      <c r="AQ13" s="1830">
        <f t="shared" si="13"/>
        <v>20188</v>
      </c>
      <c r="AR13" s="1829">
        <v>10652</v>
      </c>
      <c r="AS13" s="1829">
        <v>7824</v>
      </c>
      <c r="AT13" s="1830">
        <f t="shared" si="14"/>
        <v>18476</v>
      </c>
      <c r="AU13" s="1829">
        <v>10510</v>
      </c>
      <c r="AV13" s="1829">
        <v>7532</v>
      </c>
      <c r="AW13" s="1830">
        <f t="shared" si="15"/>
        <v>18042</v>
      </c>
      <c r="AX13" s="1829">
        <v>10338</v>
      </c>
      <c r="AY13" s="1829">
        <v>7229</v>
      </c>
      <c r="AZ13" s="1830">
        <f t="shared" si="16"/>
        <v>17567</v>
      </c>
      <c r="BA13" s="1823">
        <v>10394</v>
      </c>
      <c r="BB13" s="1823">
        <v>7375</v>
      </c>
      <c r="BC13" s="1823">
        <f t="shared" si="17"/>
        <v>17769</v>
      </c>
      <c r="BD13" s="1838">
        <v>10808</v>
      </c>
      <c r="BE13" s="1839">
        <v>7605</v>
      </c>
      <c r="BF13" s="1832">
        <f t="shared" si="18"/>
        <v>18413</v>
      </c>
      <c r="BG13" s="1823">
        <v>10586</v>
      </c>
      <c r="BH13" s="1823">
        <v>7409</v>
      </c>
      <c r="BI13" s="1823">
        <f t="shared" si="19"/>
        <v>17995</v>
      </c>
      <c r="BJ13" s="1833">
        <v>10522</v>
      </c>
      <c r="BK13" s="1834">
        <v>7365</v>
      </c>
      <c r="BL13" s="1834">
        <f t="shared" si="20"/>
        <v>17887</v>
      </c>
      <c r="BM13" s="1834">
        <v>11003</v>
      </c>
      <c r="BN13" s="1834">
        <v>7549</v>
      </c>
      <c r="BO13" s="1834">
        <f t="shared" si="21"/>
        <v>18552</v>
      </c>
      <c r="BP13" s="1834">
        <v>10723</v>
      </c>
      <c r="BQ13" s="1834">
        <v>7394</v>
      </c>
      <c r="BR13" s="1834">
        <f t="shared" si="22"/>
        <v>18117</v>
      </c>
      <c r="BS13" s="1834">
        <v>11218</v>
      </c>
      <c r="BT13" s="1834">
        <v>7700</v>
      </c>
      <c r="BU13" s="1834">
        <f t="shared" si="23"/>
        <v>18918</v>
      </c>
      <c r="BV13" s="1823">
        <v>11209</v>
      </c>
      <c r="BW13" s="1823">
        <v>7726</v>
      </c>
      <c r="BX13" s="1823">
        <f t="shared" si="24"/>
        <v>18935</v>
      </c>
      <c r="BY13" s="1823">
        <v>11140</v>
      </c>
      <c r="BZ13" s="1823">
        <v>7635</v>
      </c>
      <c r="CA13" s="1823">
        <v>11263</v>
      </c>
      <c r="CB13" s="1823">
        <v>7827</v>
      </c>
      <c r="CC13" s="1823">
        <f t="shared" si="25"/>
        <v>19090</v>
      </c>
      <c r="CD13" s="1823">
        <v>11431</v>
      </c>
      <c r="CE13" s="1823">
        <v>7867</v>
      </c>
      <c r="CF13" s="1823">
        <f t="shared" si="26"/>
        <v>19298</v>
      </c>
      <c r="CG13" s="1833">
        <v>11484</v>
      </c>
      <c r="CH13" s="1834">
        <v>8231</v>
      </c>
      <c r="CI13" s="1834">
        <f t="shared" si="27"/>
        <v>19715</v>
      </c>
      <c r="CJ13" s="1823">
        <v>11421</v>
      </c>
      <c r="CK13" s="1823">
        <v>8187</v>
      </c>
      <c r="CL13" s="1829">
        <v>11772</v>
      </c>
      <c r="CM13" s="1829">
        <v>8513</v>
      </c>
      <c r="CN13" s="1830">
        <f t="shared" si="28"/>
        <v>20285</v>
      </c>
      <c r="CO13" s="1823">
        <v>13096</v>
      </c>
      <c r="CP13" s="1823">
        <v>9244</v>
      </c>
      <c r="CQ13" s="1823">
        <f t="shared" si="29"/>
        <v>22340</v>
      </c>
      <c r="CR13" s="1838">
        <v>12888</v>
      </c>
      <c r="CS13" s="1839">
        <v>9479</v>
      </c>
      <c r="CT13" s="1832">
        <f t="shared" si="30"/>
        <v>22367</v>
      </c>
      <c r="CU13" s="1823">
        <v>13083</v>
      </c>
      <c r="CV13" s="1823">
        <v>9639</v>
      </c>
      <c r="CW13" s="1823">
        <f t="shared" si="31"/>
        <v>22722</v>
      </c>
      <c r="CX13" s="1833">
        <v>13284</v>
      </c>
      <c r="CY13" s="1834">
        <v>9878</v>
      </c>
      <c r="CZ13" s="1834">
        <f t="shared" si="32"/>
        <v>23162</v>
      </c>
      <c r="DA13" s="1834">
        <v>13374</v>
      </c>
      <c r="DB13" s="1834">
        <v>10046</v>
      </c>
      <c r="DC13" s="1834">
        <f t="shared" si="33"/>
        <v>23420</v>
      </c>
      <c r="DD13" s="1834">
        <v>13974</v>
      </c>
      <c r="DE13" s="1834">
        <v>10566</v>
      </c>
      <c r="DF13" s="1834">
        <f t="shared" si="34"/>
        <v>24540</v>
      </c>
      <c r="DG13" s="1834">
        <v>14101</v>
      </c>
      <c r="DH13" s="1834">
        <v>10724</v>
      </c>
      <c r="DI13" s="1834">
        <f t="shared" si="35"/>
        <v>24825</v>
      </c>
      <c r="DJ13" s="1823">
        <v>14397</v>
      </c>
      <c r="DK13" s="1823">
        <v>11155</v>
      </c>
      <c r="DL13" s="1823">
        <f t="shared" si="36"/>
        <v>25552</v>
      </c>
      <c r="DM13" s="1823">
        <v>14579</v>
      </c>
      <c r="DN13" s="1823">
        <v>11467</v>
      </c>
      <c r="DO13" s="1823">
        <f t="shared" si="37"/>
        <v>26046</v>
      </c>
      <c r="DP13" s="1823">
        <v>15101</v>
      </c>
      <c r="DQ13" s="1823">
        <v>11863</v>
      </c>
      <c r="DR13" s="1823">
        <f t="shared" si="38"/>
        <v>26964</v>
      </c>
      <c r="DS13" s="1833">
        <v>15592</v>
      </c>
      <c r="DT13" s="1834">
        <v>12403</v>
      </c>
      <c r="DU13" s="1834">
        <f t="shared" si="39"/>
        <v>27995</v>
      </c>
      <c r="DV13" s="1829">
        <v>15333</v>
      </c>
      <c r="DW13" s="1829">
        <v>12126</v>
      </c>
      <c r="DX13" s="1830">
        <f t="shared" si="40"/>
        <v>27459</v>
      </c>
      <c r="DY13" s="1823">
        <v>15764</v>
      </c>
      <c r="DZ13" s="1823">
        <v>12749</v>
      </c>
      <c r="EA13" s="1823">
        <f t="shared" si="41"/>
        <v>28513</v>
      </c>
      <c r="EB13" s="1838">
        <v>16302</v>
      </c>
      <c r="EC13" s="1839">
        <v>13033</v>
      </c>
      <c r="ED13" s="1832">
        <f t="shared" si="42"/>
        <v>29335</v>
      </c>
      <c r="EE13" s="1823">
        <v>16405</v>
      </c>
      <c r="EF13" s="1823">
        <v>13433</v>
      </c>
      <c r="EG13" s="1823">
        <f t="shared" si="43"/>
        <v>29838</v>
      </c>
      <c r="EH13" s="1833">
        <v>16058</v>
      </c>
      <c r="EI13" s="1834">
        <v>13190</v>
      </c>
      <c r="EJ13" s="1834">
        <f t="shared" si="44"/>
        <v>29248</v>
      </c>
      <c r="EK13" s="1834">
        <v>16693</v>
      </c>
      <c r="EL13" s="1834">
        <v>13850</v>
      </c>
      <c r="EM13" s="1834">
        <f t="shared" si="45"/>
        <v>30543</v>
      </c>
      <c r="EN13" s="1834">
        <v>16837</v>
      </c>
      <c r="EO13" s="1834">
        <v>14083</v>
      </c>
      <c r="EP13" s="1834">
        <f t="shared" si="46"/>
        <v>30920</v>
      </c>
      <c r="EQ13" s="1834">
        <v>17158</v>
      </c>
      <c r="ER13" s="1834">
        <v>14541</v>
      </c>
      <c r="ES13" s="1834">
        <f t="shared" si="47"/>
        <v>31699</v>
      </c>
      <c r="ET13" s="1823">
        <v>17128</v>
      </c>
      <c r="EU13" s="1823">
        <v>14774</v>
      </c>
      <c r="EV13" s="1823">
        <f t="shared" si="48"/>
        <v>31902</v>
      </c>
      <c r="EW13" s="1823">
        <v>17920</v>
      </c>
      <c r="EX13" s="1823">
        <v>15281</v>
      </c>
      <c r="EY13" s="1823">
        <f t="shared" si="49"/>
        <v>33201</v>
      </c>
      <c r="EZ13" s="1823">
        <v>18385</v>
      </c>
      <c r="FA13" s="1823">
        <v>15857</v>
      </c>
      <c r="FB13" s="1823">
        <f t="shared" si="50"/>
        <v>34242</v>
      </c>
      <c r="FC13" s="1833">
        <v>18696</v>
      </c>
      <c r="FD13" s="1834">
        <v>16116</v>
      </c>
      <c r="FE13" s="1834">
        <f t="shared" si="51"/>
        <v>34812</v>
      </c>
      <c r="FF13" s="1829">
        <v>18189</v>
      </c>
      <c r="FG13" s="1829">
        <v>15918</v>
      </c>
      <c r="FH13" s="1830">
        <f t="shared" si="52"/>
        <v>34107</v>
      </c>
      <c r="FI13" s="1823">
        <v>18433</v>
      </c>
      <c r="FJ13" s="1823">
        <v>16232</v>
      </c>
      <c r="FK13" s="1823">
        <f t="shared" si="53"/>
        <v>34665</v>
      </c>
      <c r="FL13" s="1838">
        <v>18936</v>
      </c>
      <c r="FM13" s="1839">
        <v>17086</v>
      </c>
      <c r="FN13" s="1832">
        <f t="shared" si="54"/>
        <v>36022</v>
      </c>
      <c r="FO13" s="1823">
        <v>19150</v>
      </c>
      <c r="FP13" s="1823">
        <v>17226</v>
      </c>
      <c r="FQ13" s="1823">
        <f t="shared" si="55"/>
        <v>36376</v>
      </c>
      <c r="FR13" s="1835">
        <v>19553</v>
      </c>
      <c r="FS13" s="1834">
        <v>17816</v>
      </c>
      <c r="FT13" s="1834">
        <f t="shared" si="56"/>
        <v>37369</v>
      </c>
      <c r="FU13" s="1834">
        <v>19346</v>
      </c>
      <c r="FV13" s="1834">
        <v>17786</v>
      </c>
      <c r="FW13" s="1834">
        <f t="shared" si="57"/>
        <v>37132</v>
      </c>
      <c r="FX13" s="1834">
        <v>19323</v>
      </c>
      <c r="FY13" s="1834">
        <v>18117</v>
      </c>
      <c r="FZ13" s="1834">
        <f t="shared" si="58"/>
        <v>37440</v>
      </c>
      <c r="GA13" s="1834">
        <v>20427</v>
      </c>
      <c r="GB13" s="1834">
        <v>19212</v>
      </c>
      <c r="GC13" s="1834">
        <f t="shared" si="59"/>
        <v>39639</v>
      </c>
      <c r="GD13" s="1823">
        <v>20244</v>
      </c>
      <c r="GE13" s="1823">
        <v>19229</v>
      </c>
      <c r="GF13" s="1823">
        <f t="shared" si="60"/>
        <v>39473</v>
      </c>
      <c r="GG13" s="1823">
        <v>19867</v>
      </c>
      <c r="GH13" s="1823">
        <v>19083</v>
      </c>
      <c r="GI13" s="1823">
        <f t="shared" si="61"/>
        <v>38950</v>
      </c>
      <c r="GJ13" s="1823">
        <v>20049</v>
      </c>
      <c r="GK13" s="1823">
        <v>19320</v>
      </c>
      <c r="GL13" s="1823">
        <f t="shared" si="62"/>
        <v>39369</v>
      </c>
      <c r="GM13" s="1833">
        <v>20509</v>
      </c>
      <c r="GN13" s="1834">
        <v>19995</v>
      </c>
      <c r="GO13" s="1834">
        <f t="shared" si="63"/>
        <v>40504</v>
      </c>
      <c r="GP13" s="1829">
        <v>20887</v>
      </c>
      <c r="GQ13" s="1829">
        <v>20665</v>
      </c>
      <c r="GR13" s="1830">
        <f t="shared" si="64"/>
        <v>41552</v>
      </c>
      <c r="GS13" s="1823">
        <v>20880</v>
      </c>
      <c r="GT13" s="1823">
        <v>20746</v>
      </c>
      <c r="GU13" s="1823">
        <f t="shared" si="65"/>
        <v>41626</v>
      </c>
      <c r="GV13" s="1838">
        <v>21071</v>
      </c>
      <c r="GW13" s="1839">
        <v>20907</v>
      </c>
      <c r="GX13" s="1832">
        <f t="shared" si="66"/>
        <v>41978</v>
      </c>
      <c r="GY13" s="1823">
        <v>21412</v>
      </c>
      <c r="GZ13" s="1823">
        <v>21307</v>
      </c>
      <c r="HA13" s="1823">
        <f t="shared" si="67"/>
        <v>42719</v>
      </c>
      <c r="HB13" s="1835">
        <v>22092</v>
      </c>
      <c r="HC13" s="1834">
        <v>22020</v>
      </c>
      <c r="HD13" s="1834">
        <f t="shared" si="68"/>
        <v>44112</v>
      </c>
      <c r="HE13" s="1834">
        <v>22361</v>
      </c>
      <c r="HF13" s="1834">
        <v>22460</v>
      </c>
      <c r="HG13" s="1834">
        <f t="shared" si="69"/>
        <v>44821</v>
      </c>
      <c r="HH13" s="1834">
        <v>22425</v>
      </c>
      <c r="HI13" s="1834">
        <v>22477</v>
      </c>
      <c r="HJ13" s="1834">
        <f t="shared" si="70"/>
        <v>44902</v>
      </c>
      <c r="HK13" s="1834">
        <v>22593</v>
      </c>
      <c r="HL13" s="1834">
        <v>22716</v>
      </c>
      <c r="HM13" s="1834">
        <f t="shared" si="71"/>
        <v>45309</v>
      </c>
      <c r="HN13" s="1823">
        <v>22736</v>
      </c>
      <c r="HO13" s="1823">
        <v>22974</v>
      </c>
      <c r="HP13" s="1823">
        <f t="shared" si="72"/>
        <v>45710</v>
      </c>
      <c r="HQ13" s="1823">
        <v>22651</v>
      </c>
      <c r="HR13" s="1823">
        <v>23013</v>
      </c>
      <c r="HS13" s="1823">
        <f t="shared" si="73"/>
        <v>45664</v>
      </c>
      <c r="HT13" s="1823">
        <v>23536</v>
      </c>
      <c r="HU13" s="1823">
        <v>23904</v>
      </c>
      <c r="HV13" s="1823">
        <f t="shared" si="74"/>
        <v>47440</v>
      </c>
      <c r="HW13" s="1836">
        <v>23576</v>
      </c>
      <c r="HX13" s="1837">
        <v>24075</v>
      </c>
      <c r="HY13" s="1834">
        <f t="shared" si="75"/>
        <v>47651</v>
      </c>
      <c r="HZ13" s="1829">
        <v>23162</v>
      </c>
      <c r="IA13" s="1829">
        <v>23812</v>
      </c>
      <c r="IB13" s="1830">
        <f t="shared" si="76"/>
        <v>46974</v>
      </c>
      <c r="IC13" s="1823">
        <v>23661</v>
      </c>
      <c r="ID13" s="1823">
        <v>24405</v>
      </c>
      <c r="IE13" s="1823">
        <f t="shared" si="77"/>
        <v>48066</v>
      </c>
      <c r="IF13" s="1838">
        <v>23858</v>
      </c>
      <c r="IG13" s="1839">
        <v>24683</v>
      </c>
      <c r="IH13" s="1832">
        <f t="shared" si="78"/>
        <v>48541</v>
      </c>
      <c r="II13" s="1815">
        <v>24006</v>
      </c>
      <c r="IJ13" s="1815">
        <v>25057</v>
      </c>
      <c r="IK13" s="1815">
        <f t="shared" si="79"/>
        <v>49063</v>
      </c>
      <c r="IL13" s="1815">
        <v>50387</v>
      </c>
    </row>
    <row r="14" spans="1:246">
      <c r="A14" s="1900" t="s">
        <v>852</v>
      </c>
      <c r="B14" s="1815">
        <v>4516</v>
      </c>
      <c r="C14" s="1815">
        <v>770</v>
      </c>
      <c r="D14" s="1823">
        <f t="shared" si="0"/>
        <v>5286</v>
      </c>
      <c r="E14" s="1824">
        <v>4677</v>
      </c>
      <c r="F14" s="1824">
        <v>670</v>
      </c>
      <c r="G14" s="1824">
        <f t="shared" si="1"/>
        <v>5347</v>
      </c>
      <c r="H14" s="1824">
        <v>5208</v>
      </c>
      <c r="I14" s="1840">
        <v>826</v>
      </c>
      <c r="J14" s="1824">
        <f t="shared" si="2"/>
        <v>6034</v>
      </c>
      <c r="K14" s="1825">
        <v>5441</v>
      </c>
      <c r="L14" s="1825">
        <v>920</v>
      </c>
      <c r="M14" s="1825">
        <f t="shared" si="3"/>
        <v>6361</v>
      </c>
      <c r="N14" s="1826">
        <v>5233</v>
      </c>
      <c r="O14" s="1826">
        <v>974</v>
      </c>
      <c r="P14" s="1827">
        <f t="shared" si="4"/>
        <v>6207</v>
      </c>
      <c r="Q14" s="1823">
        <v>5167</v>
      </c>
      <c r="R14" s="1823">
        <v>1080</v>
      </c>
      <c r="S14" s="1823">
        <f t="shared" si="5"/>
        <v>6247</v>
      </c>
      <c r="T14" s="1823">
        <v>5868</v>
      </c>
      <c r="U14" s="1823">
        <v>1162</v>
      </c>
      <c r="V14" s="1823">
        <f t="shared" si="6"/>
        <v>7030</v>
      </c>
      <c r="W14" s="1825">
        <v>5602</v>
      </c>
      <c r="X14" s="1825">
        <v>1472</v>
      </c>
      <c r="Y14" s="1825">
        <f t="shared" si="7"/>
        <v>7074</v>
      </c>
      <c r="Z14" s="1825">
        <v>5491</v>
      </c>
      <c r="AA14" s="1825">
        <v>1776</v>
      </c>
      <c r="AB14" s="1825">
        <f t="shared" si="8"/>
        <v>7267</v>
      </c>
      <c r="AC14" s="1828">
        <v>5685</v>
      </c>
      <c r="AD14" s="1828">
        <v>1995</v>
      </c>
      <c r="AE14" s="1828">
        <f t="shared" si="9"/>
        <v>7680</v>
      </c>
      <c r="AF14" s="1830">
        <v>5356</v>
      </c>
      <c r="AG14" s="1830">
        <v>2007</v>
      </c>
      <c r="AH14" s="1830">
        <f t="shared" si="10"/>
        <v>7363</v>
      </c>
      <c r="AI14" s="1830">
        <v>6216</v>
      </c>
      <c r="AJ14" s="1830">
        <v>2305</v>
      </c>
      <c r="AK14" s="1830">
        <f t="shared" si="11"/>
        <v>8521</v>
      </c>
      <c r="AL14" s="1823">
        <v>6723</v>
      </c>
      <c r="AM14" s="1823">
        <v>2526</v>
      </c>
      <c r="AN14" s="1823">
        <f t="shared" si="12"/>
        <v>9249</v>
      </c>
      <c r="AO14" s="1830">
        <v>6523</v>
      </c>
      <c r="AP14" s="1830">
        <v>2811</v>
      </c>
      <c r="AQ14" s="1830">
        <f t="shared" si="13"/>
        <v>9334</v>
      </c>
      <c r="AR14" s="1830">
        <v>6180</v>
      </c>
      <c r="AS14" s="1830">
        <v>2844</v>
      </c>
      <c r="AT14" s="1830">
        <f t="shared" si="14"/>
        <v>9024</v>
      </c>
      <c r="AU14" s="1830">
        <v>5903</v>
      </c>
      <c r="AV14" s="1830">
        <v>3098</v>
      </c>
      <c r="AW14" s="1830">
        <f t="shared" si="15"/>
        <v>9001</v>
      </c>
      <c r="AX14" s="1830">
        <v>5941</v>
      </c>
      <c r="AY14" s="1830">
        <v>3168</v>
      </c>
      <c r="AZ14" s="1830">
        <f t="shared" si="16"/>
        <v>9109</v>
      </c>
      <c r="BA14" s="1823">
        <v>6072</v>
      </c>
      <c r="BB14" s="1823">
        <v>3213</v>
      </c>
      <c r="BC14" s="1823">
        <f t="shared" si="17"/>
        <v>9285</v>
      </c>
      <c r="BD14" s="1831">
        <v>6044</v>
      </c>
      <c r="BE14" s="1832">
        <v>3342</v>
      </c>
      <c r="BF14" s="1832">
        <f t="shared" si="18"/>
        <v>9386</v>
      </c>
      <c r="BG14" s="1823">
        <v>6089</v>
      </c>
      <c r="BH14" s="1823">
        <v>3390</v>
      </c>
      <c r="BI14" s="1823">
        <f t="shared" si="19"/>
        <v>9479</v>
      </c>
      <c r="BJ14" s="1833">
        <v>6068</v>
      </c>
      <c r="BK14" s="1834">
        <v>3357</v>
      </c>
      <c r="BL14" s="1834">
        <f t="shared" si="20"/>
        <v>9425</v>
      </c>
      <c r="BM14" s="1834">
        <v>6321</v>
      </c>
      <c r="BN14" s="1834">
        <v>3603</v>
      </c>
      <c r="BO14" s="1834">
        <f t="shared" si="21"/>
        <v>9924</v>
      </c>
      <c r="BP14" s="1834">
        <v>7979</v>
      </c>
      <c r="BQ14" s="1834">
        <v>4288</v>
      </c>
      <c r="BR14" s="1834">
        <f t="shared" si="22"/>
        <v>12267</v>
      </c>
      <c r="BS14" s="1834">
        <v>12858</v>
      </c>
      <c r="BT14" s="1834">
        <v>6030</v>
      </c>
      <c r="BU14" s="1834">
        <f t="shared" si="23"/>
        <v>18888</v>
      </c>
      <c r="BV14" s="1823">
        <v>12299</v>
      </c>
      <c r="BW14" s="1823">
        <v>6204</v>
      </c>
      <c r="BX14" s="1823">
        <f t="shared" si="24"/>
        <v>18503</v>
      </c>
      <c r="BY14" s="1823">
        <v>12925</v>
      </c>
      <c r="BZ14" s="1823">
        <v>6061</v>
      </c>
      <c r="CA14" s="1823">
        <v>10321</v>
      </c>
      <c r="CB14" s="1823">
        <v>4874</v>
      </c>
      <c r="CC14" s="1823">
        <f t="shared" si="25"/>
        <v>15195</v>
      </c>
      <c r="CD14" s="1823">
        <v>11254</v>
      </c>
      <c r="CE14" s="1823">
        <v>6100</v>
      </c>
      <c r="CF14" s="1823">
        <f t="shared" si="26"/>
        <v>17354</v>
      </c>
      <c r="CG14" s="1833">
        <v>9856</v>
      </c>
      <c r="CH14" s="1834">
        <v>5030</v>
      </c>
      <c r="CI14" s="1834">
        <f t="shared" si="27"/>
        <v>14886</v>
      </c>
      <c r="CJ14" s="1823">
        <v>9834</v>
      </c>
      <c r="CK14" s="1823">
        <v>5022</v>
      </c>
      <c r="CL14" s="1830">
        <v>9750</v>
      </c>
      <c r="CM14" s="1830">
        <v>5037</v>
      </c>
      <c r="CN14" s="1830">
        <f t="shared" si="28"/>
        <v>14787</v>
      </c>
      <c r="CO14" s="1823">
        <v>11443</v>
      </c>
      <c r="CP14" s="1823">
        <v>5678</v>
      </c>
      <c r="CQ14" s="1823">
        <f t="shared" si="29"/>
        <v>17121</v>
      </c>
      <c r="CR14" s="1831">
        <v>11122</v>
      </c>
      <c r="CS14" s="1832">
        <v>5788</v>
      </c>
      <c r="CT14" s="1832">
        <f t="shared" si="30"/>
        <v>16910</v>
      </c>
      <c r="CU14" s="1823">
        <v>11703</v>
      </c>
      <c r="CV14" s="1823">
        <v>5612</v>
      </c>
      <c r="CW14" s="1823">
        <f t="shared" si="31"/>
        <v>17315</v>
      </c>
      <c r="CX14" s="1833">
        <v>12511</v>
      </c>
      <c r="CY14" s="1834">
        <v>5545</v>
      </c>
      <c r="CZ14" s="1834">
        <f t="shared" si="32"/>
        <v>18056</v>
      </c>
      <c r="DA14" s="1834">
        <v>13022</v>
      </c>
      <c r="DB14" s="1834">
        <v>5572</v>
      </c>
      <c r="DC14" s="1834">
        <f t="shared" si="33"/>
        <v>18594</v>
      </c>
      <c r="DD14" s="1834">
        <v>15966</v>
      </c>
      <c r="DE14" s="1834">
        <v>6353</v>
      </c>
      <c r="DF14" s="1834">
        <f t="shared" si="34"/>
        <v>22319</v>
      </c>
      <c r="DG14" s="1834">
        <v>15896</v>
      </c>
      <c r="DH14" s="1834">
        <v>6323</v>
      </c>
      <c r="DI14" s="1834">
        <f t="shared" si="35"/>
        <v>22219</v>
      </c>
      <c r="DJ14" s="1823">
        <v>16506</v>
      </c>
      <c r="DK14" s="1823">
        <v>6507</v>
      </c>
      <c r="DL14" s="1823">
        <f t="shared" si="36"/>
        <v>23013</v>
      </c>
      <c r="DM14" s="1823">
        <v>18249</v>
      </c>
      <c r="DN14" s="1823">
        <v>6971</v>
      </c>
      <c r="DO14" s="1823">
        <f t="shared" si="37"/>
        <v>25220</v>
      </c>
      <c r="DP14" s="1823">
        <v>17357</v>
      </c>
      <c r="DQ14" s="1823">
        <v>7118</v>
      </c>
      <c r="DR14" s="1823">
        <f t="shared" si="38"/>
        <v>24475</v>
      </c>
      <c r="DS14" s="1833">
        <v>18001</v>
      </c>
      <c r="DT14" s="1834">
        <v>7659</v>
      </c>
      <c r="DU14" s="1834">
        <f t="shared" si="39"/>
        <v>25660</v>
      </c>
      <c r="DV14" s="1830">
        <v>17787</v>
      </c>
      <c r="DW14" s="1830">
        <v>7794</v>
      </c>
      <c r="DX14" s="1830">
        <f t="shared" si="40"/>
        <v>25581</v>
      </c>
      <c r="DY14" s="1823">
        <v>17801</v>
      </c>
      <c r="DZ14" s="1823">
        <v>8251</v>
      </c>
      <c r="EA14" s="1823">
        <f t="shared" si="41"/>
        <v>26052</v>
      </c>
      <c r="EB14" s="1831">
        <v>18717</v>
      </c>
      <c r="EC14" s="1832">
        <v>8756</v>
      </c>
      <c r="ED14" s="1832">
        <f t="shared" si="42"/>
        <v>27473</v>
      </c>
      <c r="EE14" s="1823">
        <v>18086</v>
      </c>
      <c r="EF14" s="1823">
        <v>8920</v>
      </c>
      <c r="EG14" s="1823">
        <f t="shared" si="43"/>
        <v>27006</v>
      </c>
      <c r="EH14" s="1833">
        <v>15696</v>
      </c>
      <c r="EI14" s="1834">
        <v>7485</v>
      </c>
      <c r="EJ14" s="1834">
        <f t="shared" si="44"/>
        <v>23181</v>
      </c>
      <c r="EK14" s="1834">
        <v>18117</v>
      </c>
      <c r="EL14" s="1834">
        <v>9003</v>
      </c>
      <c r="EM14" s="1834">
        <f t="shared" si="45"/>
        <v>27120</v>
      </c>
      <c r="EN14" s="1834">
        <v>17981</v>
      </c>
      <c r="EO14" s="1834">
        <v>9226</v>
      </c>
      <c r="EP14" s="1834">
        <f t="shared" si="46"/>
        <v>27207</v>
      </c>
      <c r="EQ14" s="1834">
        <v>17818</v>
      </c>
      <c r="ER14" s="1834">
        <v>9203</v>
      </c>
      <c r="ES14" s="1834">
        <f t="shared" si="47"/>
        <v>27021</v>
      </c>
      <c r="ET14" s="1823">
        <v>19312</v>
      </c>
      <c r="EU14" s="1823">
        <v>9422</v>
      </c>
      <c r="EV14" s="1823">
        <f t="shared" si="48"/>
        <v>28734</v>
      </c>
      <c r="EW14" s="1823">
        <v>19498</v>
      </c>
      <c r="EX14" s="1823">
        <v>8068</v>
      </c>
      <c r="EY14" s="1823">
        <f t="shared" si="49"/>
        <v>27566</v>
      </c>
      <c r="EZ14" s="1823">
        <v>21114</v>
      </c>
      <c r="FA14" s="1823">
        <v>8039</v>
      </c>
      <c r="FB14" s="1823">
        <f t="shared" si="50"/>
        <v>29153</v>
      </c>
      <c r="FC14" s="1833">
        <v>22927</v>
      </c>
      <c r="FD14" s="1834">
        <v>8438</v>
      </c>
      <c r="FE14" s="1834">
        <f t="shared" si="51"/>
        <v>31365</v>
      </c>
      <c r="FF14" s="1830">
        <v>22437</v>
      </c>
      <c r="FG14" s="1830">
        <v>8560</v>
      </c>
      <c r="FH14" s="1830">
        <f t="shared" si="52"/>
        <v>30997</v>
      </c>
      <c r="FI14" s="1823">
        <v>22041</v>
      </c>
      <c r="FJ14" s="1823">
        <v>8910</v>
      </c>
      <c r="FK14" s="1823">
        <f t="shared" si="53"/>
        <v>30951</v>
      </c>
      <c r="FL14" s="1831">
        <v>22582</v>
      </c>
      <c r="FM14" s="1832">
        <v>9648</v>
      </c>
      <c r="FN14" s="1832">
        <f t="shared" si="54"/>
        <v>32230</v>
      </c>
      <c r="FO14" s="1823">
        <v>22453</v>
      </c>
      <c r="FP14" s="1823">
        <v>9622</v>
      </c>
      <c r="FQ14" s="1823">
        <f t="shared" si="55"/>
        <v>32075</v>
      </c>
      <c r="FR14" s="1835">
        <v>22566</v>
      </c>
      <c r="FS14" s="1834">
        <v>9806</v>
      </c>
      <c r="FT14" s="1834">
        <f t="shared" si="56"/>
        <v>32372</v>
      </c>
      <c r="FU14" s="1834">
        <v>23397</v>
      </c>
      <c r="FV14" s="1834">
        <v>10490</v>
      </c>
      <c r="FW14" s="1834">
        <f t="shared" si="57"/>
        <v>33887</v>
      </c>
      <c r="FX14" s="1834">
        <v>22855</v>
      </c>
      <c r="FY14" s="1834">
        <v>10282</v>
      </c>
      <c r="FZ14" s="1834">
        <f t="shared" si="58"/>
        <v>33137</v>
      </c>
      <c r="GA14" s="1834">
        <v>24306</v>
      </c>
      <c r="GB14" s="1834">
        <v>11160</v>
      </c>
      <c r="GC14" s="1834">
        <f t="shared" si="59"/>
        <v>35466</v>
      </c>
      <c r="GD14" s="1823">
        <v>23922</v>
      </c>
      <c r="GE14" s="1823">
        <v>10974</v>
      </c>
      <c r="GF14" s="1823">
        <f t="shared" si="60"/>
        <v>34896</v>
      </c>
      <c r="GG14" s="1823">
        <v>23511</v>
      </c>
      <c r="GH14" s="1823">
        <v>11282</v>
      </c>
      <c r="GI14" s="1823">
        <f t="shared" si="61"/>
        <v>34793</v>
      </c>
      <c r="GJ14" s="1823">
        <v>23754</v>
      </c>
      <c r="GK14" s="1823">
        <v>11515</v>
      </c>
      <c r="GL14" s="1823">
        <f t="shared" si="62"/>
        <v>35269</v>
      </c>
      <c r="GM14" s="1833">
        <v>23993</v>
      </c>
      <c r="GN14" s="1834">
        <v>11864</v>
      </c>
      <c r="GO14" s="1834">
        <f t="shared" si="63"/>
        <v>35857</v>
      </c>
      <c r="GP14" s="1830">
        <v>23737</v>
      </c>
      <c r="GQ14" s="1830">
        <v>13298</v>
      </c>
      <c r="GR14" s="1830">
        <f t="shared" si="64"/>
        <v>37035</v>
      </c>
      <c r="GS14" s="1823">
        <v>23795</v>
      </c>
      <c r="GT14" s="1823">
        <v>11934</v>
      </c>
      <c r="GU14" s="1823">
        <f t="shared" si="65"/>
        <v>35729</v>
      </c>
      <c r="GV14" s="1831">
        <v>24160</v>
      </c>
      <c r="GW14" s="1832">
        <v>12375</v>
      </c>
      <c r="GX14" s="1832">
        <f t="shared" si="66"/>
        <v>36535</v>
      </c>
      <c r="GY14" s="1823">
        <v>24072</v>
      </c>
      <c r="GZ14" s="1823">
        <v>12568</v>
      </c>
      <c r="HA14" s="1823">
        <f t="shared" si="67"/>
        <v>36640</v>
      </c>
      <c r="HB14" s="1835">
        <v>24605</v>
      </c>
      <c r="HC14" s="1834">
        <v>13118</v>
      </c>
      <c r="HD14" s="1834">
        <f t="shared" si="68"/>
        <v>37723</v>
      </c>
      <c r="HE14" s="1834">
        <v>24251</v>
      </c>
      <c r="HF14" s="1834">
        <v>13322</v>
      </c>
      <c r="HG14" s="1834">
        <f t="shared" si="69"/>
        <v>37573</v>
      </c>
      <c r="HH14" s="1834">
        <v>24622</v>
      </c>
      <c r="HI14" s="1834">
        <v>13617</v>
      </c>
      <c r="HJ14" s="1834">
        <f t="shared" si="70"/>
        <v>38239</v>
      </c>
      <c r="HK14" s="1834">
        <v>24852</v>
      </c>
      <c r="HL14" s="1834">
        <v>14007</v>
      </c>
      <c r="HM14" s="1834">
        <f t="shared" si="71"/>
        <v>38859</v>
      </c>
      <c r="HN14" s="1823">
        <v>24501</v>
      </c>
      <c r="HO14" s="1823">
        <v>13783</v>
      </c>
      <c r="HP14" s="1823">
        <f t="shared" si="72"/>
        <v>38284</v>
      </c>
      <c r="HQ14" s="1823">
        <v>24133</v>
      </c>
      <c r="HR14" s="1823">
        <v>14063</v>
      </c>
      <c r="HS14" s="1823">
        <f t="shared" si="73"/>
        <v>38196</v>
      </c>
      <c r="HT14" s="1823">
        <v>24948</v>
      </c>
      <c r="HU14" s="1823">
        <v>14671</v>
      </c>
      <c r="HV14" s="1823">
        <f t="shared" si="74"/>
        <v>39619</v>
      </c>
      <c r="HW14" s="1836">
        <v>24811</v>
      </c>
      <c r="HX14" s="1837">
        <v>14578</v>
      </c>
      <c r="HY14" s="1834">
        <f t="shared" si="75"/>
        <v>39389</v>
      </c>
      <c r="HZ14" s="1830">
        <v>25150</v>
      </c>
      <c r="IA14" s="1830">
        <v>15037</v>
      </c>
      <c r="IB14" s="1830">
        <f t="shared" si="76"/>
        <v>40187</v>
      </c>
      <c r="IC14" s="1823">
        <v>25540</v>
      </c>
      <c r="ID14" s="1823">
        <v>15292</v>
      </c>
      <c r="IE14" s="1823">
        <f t="shared" si="77"/>
        <v>40832</v>
      </c>
      <c r="IF14" s="1831">
        <v>25434</v>
      </c>
      <c r="IG14" s="1832">
        <v>15475</v>
      </c>
      <c r="IH14" s="1832">
        <f t="shared" si="78"/>
        <v>40909</v>
      </c>
      <c r="II14" s="1815">
        <v>26001</v>
      </c>
      <c r="IJ14" s="1815">
        <v>16043</v>
      </c>
      <c r="IK14" s="1815">
        <f t="shared" si="79"/>
        <v>42044</v>
      </c>
      <c r="IL14" s="1815">
        <v>43183</v>
      </c>
    </row>
    <row r="15" spans="1:246">
      <c r="A15" s="1900" t="s">
        <v>1598</v>
      </c>
      <c r="B15" s="1815">
        <v>5870</v>
      </c>
      <c r="C15" s="1815">
        <v>5433</v>
      </c>
      <c r="D15" s="1823">
        <f t="shared" si="0"/>
        <v>11303</v>
      </c>
      <c r="E15" s="1824">
        <v>6038</v>
      </c>
      <c r="F15" s="1824">
        <v>5401</v>
      </c>
      <c r="G15" s="1824">
        <f t="shared" si="1"/>
        <v>11439</v>
      </c>
      <c r="H15" s="1824">
        <v>5970</v>
      </c>
      <c r="I15" s="1824">
        <v>5303</v>
      </c>
      <c r="J15" s="1824">
        <f t="shared" si="2"/>
        <v>11273</v>
      </c>
      <c r="K15" s="1825">
        <v>6047</v>
      </c>
      <c r="L15" s="1825">
        <v>5422</v>
      </c>
      <c r="M15" s="1825">
        <f t="shared" si="3"/>
        <v>11469</v>
      </c>
      <c r="N15" s="1827">
        <v>5948</v>
      </c>
      <c r="O15" s="1827">
        <v>5594</v>
      </c>
      <c r="P15" s="1827">
        <f t="shared" si="4"/>
        <v>11542</v>
      </c>
      <c r="Q15" s="1823">
        <v>6387</v>
      </c>
      <c r="R15" s="1823">
        <v>6093</v>
      </c>
      <c r="S15" s="1823">
        <f t="shared" si="5"/>
        <v>12480</v>
      </c>
      <c r="T15" s="1823">
        <v>6486</v>
      </c>
      <c r="U15" s="1823">
        <v>6138</v>
      </c>
      <c r="V15" s="1823">
        <f t="shared" si="6"/>
        <v>12624</v>
      </c>
      <c r="W15" s="1825">
        <v>6702</v>
      </c>
      <c r="X15" s="1825">
        <v>6795</v>
      </c>
      <c r="Y15" s="1825">
        <f t="shared" si="7"/>
        <v>13497</v>
      </c>
      <c r="Z15" s="1825">
        <v>6673</v>
      </c>
      <c r="AA15" s="1825">
        <v>6895</v>
      </c>
      <c r="AB15" s="1825">
        <f t="shared" si="8"/>
        <v>13568</v>
      </c>
      <c r="AC15" s="1828">
        <v>6755</v>
      </c>
      <c r="AD15" s="1828">
        <v>7045</v>
      </c>
      <c r="AE15" s="1828">
        <f t="shared" si="9"/>
        <v>13800</v>
      </c>
      <c r="AF15" s="1830">
        <v>6679</v>
      </c>
      <c r="AG15" s="1830">
        <v>7110</v>
      </c>
      <c r="AH15" s="1830">
        <f t="shared" si="10"/>
        <v>13789</v>
      </c>
      <c r="AI15" s="1830">
        <v>6776</v>
      </c>
      <c r="AJ15" s="1830">
        <v>7240</v>
      </c>
      <c r="AK15" s="1830">
        <f t="shared" si="11"/>
        <v>14016</v>
      </c>
      <c r="AL15" s="1823">
        <v>6850</v>
      </c>
      <c r="AM15" s="1823">
        <v>7263</v>
      </c>
      <c r="AN15" s="1823">
        <f t="shared" si="12"/>
        <v>14113</v>
      </c>
      <c r="AO15" s="1830">
        <v>6732</v>
      </c>
      <c r="AP15" s="1830">
        <v>7181</v>
      </c>
      <c r="AQ15" s="1830">
        <f t="shared" si="13"/>
        <v>13913</v>
      </c>
      <c r="AR15" s="1830">
        <v>6035</v>
      </c>
      <c r="AS15" s="1830">
        <v>6467</v>
      </c>
      <c r="AT15" s="1830">
        <f t="shared" si="14"/>
        <v>12502</v>
      </c>
      <c r="AU15" s="1830">
        <v>5848</v>
      </c>
      <c r="AV15" s="1830">
        <v>6365</v>
      </c>
      <c r="AW15" s="1830">
        <f t="shared" si="15"/>
        <v>12213</v>
      </c>
      <c r="AX15" s="1830">
        <v>6868</v>
      </c>
      <c r="AY15" s="1830">
        <v>6664</v>
      </c>
      <c r="AZ15" s="1830">
        <f t="shared" si="16"/>
        <v>13532</v>
      </c>
      <c r="BA15" s="1823">
        <v>6971</v>
      </c>
      <c r="BB15" s="1823">
        <v>7396</v>
      </c>
      <c r="BC15" s="1823">
        <f t="shared" si="17"/>
        <v>14367</v>
      </c>
      <c r="BD15" s="1831">
        <v>6989</v>
      </c>
      <c r="BE15" s="1832">
        <v>7471</v>
      </c>
      <c r="BF15" s="1832">
        <f t="shared" si="18"/>
        <v>14460</v>
      </c>
      <c r="BG15" s="1823">
        <v>6847</v>
      </c>
      <c r="BH15" s="1823">
        <v>7540</v>
      </c>
      <c r="BI15" s="1823">
        <f t="shared" si="19"/>
        <v>14387</v>
      </c>
      <c r="BJ15" s="1833">
        <v>6623</v>
      </c>
      <c r="BK15" s="1834">
        <v>7488</v>
      </c>
      <c r="BL15" s="1834">
        <f t="shared" si="20"/>
        <v>14111</v>
      </c>
      <c r="BM15" s="1834">
        <v>6598</v>
      </c>
      <c r="BN15" s="1834">
        <v>7454</v>
      </c>
      <c r="BO15" s="1834">
        <f t="shared" si="21"/>
        <v>14052</v>
      </c>
      <c r="BP15" s="1834">
        <v>6396</v>
      </c>
      <c r="BQ15" s="1834">
        <v>7401</v>
      </c>
      <c r="BR15" s="1834">
        <f t="shared" si="22"/>
        <v>13797</v>
      </c>
      <c r="BS15" s="1834">
        <v>6703</v>
      </c>
      <c r="BT15" s="1834">
        <v>7667</v>
      </c>
      <c r="BU15" s="1834">
        <f t="shared" si="23"/>
        <v>14370</v>
      </c>
      <c r="BV15" s="1823">
        <v>6647</v>
      </c>
      <c r="BW15" s="1823">
        <v>7755</v>
      </c>
      <c r="BX15" s="1823">
        <f t="shared" si="24"/>
        <v>14402</v>
      </c>
      <c r="BY15" s="1823">
        <v>6631</v>
      </c>
      <c r="BZ15" s="1823">
        <v>7654</v>
      </c>
      <c r="CA15" s="1823">
        <v>6570</v>
      </c>
      <c r="CB15" s="1823">
        <v>7775</v>
      </c>
      <c r="CC15" s="1823">
        <f t="shared" si="25"/>
        <v>14345</v>
      </c>
      <c r="CD15" s="1823">
        <v>6627</v>
      </c>
      <c r="CE15" s="1823">
        <v>7875</v>
      </c>
      <c r="CF15" s="1823">
        <f t="shared" si="26"/>
        <v>14502</v>
      </c>
      <c r="CG15" s="1833">
        <v>6661</v>
      </c>
      <c r="CH15" s="1834">
        <v>8019</v>
      </c>
      <c r="CI15" s="1834">
        <f t="shared" si="27"/>
        <v>14680</v>
      </c>
      <c r="CJ15" s="1823">
        <v>6642</v>
      </c>
      <c r="CK15" s="1823">
        <v>8009</v>
      </c>
      <c r="CL15" s="1830">
        <v>6919</v>
      </c>
      <c r="CM15" s="1830">
        <v>8336</v>
      </c>
      <c r="CN15" s="1830">
        <f t="shared" si="28"/>
        <v>15255</v>
      </c>
      <c r="CO15" s="1823">
        <v>7370</v>
      </c>
      <c r="CP15" s="1823">
        <v>8597</v>
      </c>
      <c r="CQ15" s="1823">
        <f t="shared" si="29"/>
        <v>15967</v>
      </c>
      <c r="CR15" s="1831">
        <v>7184</v>
      </c>
      <c r="CS15" s="1832">
        <v>8732</v>
      </c>
      <c r="CT15" s="1832">
        <f t="shared" si="30"/>
        <v>15916</v>
      </c>
      <c r="CU15" s="1823">
        <v>7229</v>
      </c>
      <c r="CV15" s="1823">
        <v>8756</v>
      </c>
      <c r="CW15" s="1823">
        <f t="shared" si="31"/>
        <v>15985</v>
      </c>
      <c r="CX15" s="1833">
        <v>7293</v>
      </c>
      <c r="CY15" s="1834">
        <v>8859</v>
      </c>
      <c r="CZ15" s="1834">
        <f t="shared" si="32"/>
        <v>16152</v>
      </c>
      <c r="DA15" s="1834">
        <v>7358</v>
      </c>
      <c r="DB15" s="1834">
        <v>8967</v>
      </c>
      <c r="DC15" s="1834">
        <f t="shared" si="33"/>
        <v>16325</v>
      </c>
      <c r="DD15" s="1834">
        <v>7447</v>
      </c>
      <c r="DE15" s="1834">
        <v>8969</v>
      </c>
      <c r="DF15" s="1834">
        <f t="shared" si="34"/>
        <v>16416</v>
      </c>
      <c r="DG15" s="1834">
        <v>7493</v>
      </c>
      <c r="DH15" s="1834">
        <v>9166</v>
      </c>
      <c r="DI15" s="1834">
        <f t="shared" si="35"/>
        <v>16659</v>
      </c>
      <c r="DJ15" s="1823">
        <v>7538</v>
      </c>
      <c r="DK15" s="1823">
        <v>9383</v>
      </c>
      <c r="DL15" s="1823">
        <f t="shared" si="36"/>
        <v>16921</v>
      </c>
      <c r="DM15" s="1823">
        <v>7603</v>
      </c>
      <c r="DN15" s="1823">
        <v>9531</v>
      </c>
      <c r="DO15" s="1823">
        <f t="shared" si="37"/>
        <v>17134</v>
      </c>
      <c r="DP15" s="1823">
        <v>7695</v>
      </c>
      <c r="DQ15" s="1823">
        <v>9699</v>
      </c>
      <c r="DR15" s="1823">
        <f t="shared" si="38"/>
        <v>17394</v>
      </c>
      <c r="DS15" s="1833">
        <v>7855</v>
      </c>
      <c r="DT15" s="1834">
        <v>9860</v>
      </c>
      <c r="DU15" s="1834">
        <f t="shared" si="39"/>
        <v>17715</v>
      </c>
      <c r="DV15" s="1830">
        <v>7712</v>
      </c>
      <c r="DW15" s="1830">
        <v>9835</v>
      </c>
      <c r="DX15" s="1830">
        <f t="shared" si="40"/>
        <v>17547</v>
      </c>
      <c r="DY15" s="1823">
        <v>7846</v>
      </c>
      <c r="DZ15" s="1823">
        <v>9930</v>
      </c>
      <c r="EA15" s="1823">
        <f t="shared" si="41"/>
        <v>17776</v>
      </c>
      <c r="EB15" s="1831">
        <v>7922</v>
      </c>
      <c r="EC15" s="1832">
        <v>9936</v>
      </c>
      <c r="ED15" s="1832">
        <f t="shared" si="42"/>
        <v>17858</v>
      </c>
      <c r="EE15" s="1823">
        <v>7853</v>
      </c>
      <c r="EF15" s="1823">
        <v>9950</v>
      </c>
      <c r="EG15" s="1823">
        <f t="shared" si="43"/>
        <v>17803</v>
      </c>
      <c r="EH15" s="1833">
        <v>7517</v>
      </c>
      <c r="EI15" s="1834">
        <v>9694</v>
      </c>
      <c r="EJ15" s="1834">
        <f t="shared" si="44"/>
        <v>17211</v>
      </c>
      <c r="EK15" s="1834">
        <v>7585</v>
      </c>
      <c r="EL15" s="1834">
        <v>9624</v>
      </c>
      <c r="EM15" s="1834">
        <f t="shared" si="45"/>
        <v>17209</v>
      </c>
      <c r="EN15" s="1834">
        <v>7748</v>
      </c>
      <c r="EO15" s="1834">
        <v>9956</v>
      </c>
      <c r="EP15" s="1834">
        <f t="shared" si="46"/>
        <v>17704</v>
      </c>
      <c r="EQ15" s="1834">
        <v>7716</v>
      </c>
      <c r="ER15" s="1834">
        <v>9991</v>
      </c>
      <c r="ES15" s="1834">
        <f t="shared" si="47"/>
        <v>17707</v>
      </c>
      <c r="ET15" s="1823">
        <v>7405</v>
      </c>
      <c r="EU15" s="1823">
        <v>9728</v>
      </c>
      <c r="EV15" s="1823">
        <f t="shared" si="48"/>
        <v>17133</v>
      </c>
      <c r="EW15" s="1823">
        <v>7358</v>
      </c>
      <c r="EX15" s="1823">
        <v>9456</v>
      </c>
      <c r="EY15" s="1823">
        <f t="shared" si="49"/>
        <v>16814</v>
      </c>
      <c r="EZ15" s="1823">
        <v>7273</v>
      </c>
      <c r="FA15" s="1823">
        <v>9279</v>
      </c>
      <c r="FB15" s="1823">
        <f t="shared" si="50"/>
        <v>16552</v>
      </c>
      <c r="FC15" s="1833">
        <v>7412</v>
      </c>
      <c r="FD15" s="1834">
        <v>9406</v>
      </c>
      <c r="FE15" s="1834">
        <f t="shared" si="51"/>
        <v>16818</v>
      </c>
      <c r="FF15" s="1830">
        <v>7223</v>
      </c>
      <c r="FG15" s="1830">
        <v>9322</v>
      </c>
      <c r="FH15" s="1830">
        <f t="shared" si="52"/>
        <v>16545</v>
      </c>
      <c r="FI15" s="1823">
        <v>7227</v>
      </c>
      <c r="FJ15" s="1823">
        <v>9259</v>
      </c>
      <c r="FK15" s="1823">
        <f t="shared" si="53"/>
        <v>16486</v>
      </c>
      <c r="FL15" s="1831">
        <v>7447</v>
      </c>
      <c r="FM15" s="1832">
        <v>9532</v>
      </c>
      <c r="FN15" s="1832">
        <f t="shared" si="54"/>
        <v>16979</v>
      </c>
      <c r="FO15" s="1823">
        <v>7206</v>
      </c>
      <c r="FP15" s="1823">
        <v>9275</v>
      </c>
      <c r="FQ15" s="1823">
        <f t="shared" si="55"/>
        <v>16481</v>
      </c>
      <c r="FR15" s="1835">
        <v>7262</v>
      </c>
      <c r="FS15" s="1834">
        <v>9345</v>
      </c>
      <c r="FT15" s="1834">
        <f t="shared" si="56"/>
        <v>16607</v>
      </c>
      <c r="FU15" s="1834">
        <v>7127</v>
      </c>
      <c r="FV15" s="1834">
        <v>9224</v>
      </c>
      <c r="FW15" s="1834">
        <f t="shared" si="57"/>
        <v>16351</v>
      </c>
      <c r="FX15" s="1834">
        <v>7203</v>
      </c>
      <c r="FY15" s="1834">
        <v>9337</v>
      </c>
      <c r="FZ15" s="1834">
        <f t="shared" si="58"/>
        <v>16540</v>
      </c>
      <c r="GA15" s="1834">
        <v>7398</v>
      </c>
      <c r="GB15" s="1834">
        <v>9498</v>
      </c>
      <c r="GC15" s="1834">
        <f t="shared" si="59"/>
        <v>16896</v>
      </c>
      <c r="GD15" s="1823">
        <v>7428</v>
      </c>
      <c r="GE15" s="1823">
        <v>9375</v>
      </c>
      <c r="GF15" s="1823">
        <f t="shared" si="60"/>
        <v>16803</v>
      </c>
      <c r="GG15" s="1823">
        <v>7230</v>
      </c>
      <c r="GH15" s="1823">
        <v>9176</v>
      </c>
      <c r="GI15" s="1823">
        <f t="shared" si="61"/>
        <v>16406</v>
      </c>
      <c r="GJ15" s="1823">
        <v>7259</v>
      </c>
      <c r="GK15" s="1823">
        <v>9154</v>
      </c>
      <c r="GL15" s="1823">
        <f t="shared" si="62"/>
        <v>16413</v>
      </c>
      <c r="GM15" s="1833">
        <v>7362</v>
      </c>
      <c r="GN15" s="1834">
        <v>9285</v>
      </c>
      <c r="GO15" s="1834">
        <f t="shared" si="63"/>
        <v>16647</v>
      </c>
      <c r="GP15" s="1830">
        <v>7621</v>
      </c>
      <c r="GQ15" s="1830">
        <v>9208</v>
      </c>
      <c r="GR15" s="1830">
        <f t="shared" si="64"/>
        <v>16829</v>
      </c>
      <c r="GS15" s="1823">
        <v>8392</v>
      </c>
      <c r="GT15" s="1823">
        <v>9287</v>
      </c>
      <c r="GU15" s="1823">
        <f t="shared" si="65"/>
        <v>17679</v>
      </c>
      <c r="GV15" s="1831">
        <v>9293</v>
      </c>
      <c r="GW15" s="1832">
        <v>9336</v>
      </c>
      <c r="GX15" s="1832">
        <f t="shared" si="66"/>
        <v>18629</v>
      </c>
      <c r="GY15" s="1823">
        <v>9997</v>
      </c>
      <c r="GZ15" s="1823">
        <v>9326</v>
      </c>
      <c r="HA15" s="1823">
        <f t="shared" si="67"/>
        <v>19323</v>
      </c>
      <c r="HB15" s="1835">
        <v>10834</v>
      </c>
      <c r="HC15" s="1834">
        <v>9529</v>
      </c>
      <c r="HD15" s="1834">
        <f t="shared" si="68"/>
        <v>20363</v>
      </c>
      <c r="HE15" s="1834">
        <v>11375</v>
      </c>
      <c r="HF15" s="1834">
        <v>9841</v>
      </c>
      <c r="HG15" s="1834">
        <f t="shared" si="69"/>
        <v>21216</v>
      </c>
      <c r="HH15" s="1834">
        <v>12551</v>
      </c>
      <c r="HI15" s="1834">
        <v>9865</v>
      </c>
      <c r="HJ15" s="1834">
        <f t="shared" si="70"/>
        <v>22416</v>
      </c>
      <c r="HK15" s="1834">
        <v>13365</v>
      </c>
      <c r="HL15" s="1834">
        <v>9975</v>
      </c>
      <c r="HM15" s="1834">
        <f t="shared" si="71"/>
        <v>23340</v>
      </c>
      <c r="HN15" s="1823">
        <v>13924</v>
      </c>
      <c r="HO15" s="1823">
        <v>9710</v>
      </c>
      <c r="HP15" s="1823">
        <f t="shared" si="72"/>
        <v>23634</v>
      </c>
      <c r="HQ15" s="1823">
        <v>14505</v>
      </c>
      <c r="HR15" s="1823">
        <v>9900</v>
      </c>
      <c r="HS15" s="1823">
        <f t="shared" si="73"/>
        <v>24405</v>
      </c>
      <c r="HT15" s="1823">
        <v>15437</v>
      </c>
      <c r="HU15" s="1823">
        <v>10240</v>
      </c>
      <c r="HV15" s="1823">
        <f t="shared" si="74"/>
        <v>25677</v>
      </c>
      <c r="HW15" s="1836">
        <v>15599</v>
      </c>
      <c r="HX15" s="1837">
        <v>10425</v>
      </c>
      <c r="HY15" s="1834">
        <f t="shared" si="75"/>
        <v>26024</v>
      </c>
      <c r="HZ15" s="1830">
        <v>16278</v>
      </c>
      <c r="IA15" s="1830">
        <v>10300</v>
      </c>
      <c r="IB15" s="1830">
        <f t="shared" si="76"/>
        <v>26578</v>
      </c>
      <c r="IC15" s="1823">
        <v>17913</v>
      </c>
      <c r="ID15" s="1823">
        <v>10535</v>
      </c>
      <c r="IE15" s="1823">
        <f t="shared" si="77"/>
        <v>28448</v>
      </c>
      <c r="IF15" s="1831">
        <v>20003</v>
      </c>
      <c r="IG15" s="1832">
        <v>10809</v>
      </c>
      <c r="IH15" s="1832">
        <f t="shared" si="78"/>
        <v>30812</v>
      </c>
      <c r="II15" s="1815">
        <v>20655</v>
      </c>
      <c r="IJ15" s="1815">
        <v>10757</v>
      </c>
      <c r="IK15" s="1815">
        <f t="shared" si="79"/>
        <v>31412</v>
      </c>
      <c r="IL15" s="1815">
        <v>33992</v>
      </c>
    </row>
    <row r="16" spans="1:246">
      <c r="A16" s="1900" t="s">
        <v>855</v>
      </c>
      <c r="B16" s="1815">
        <v>19468</v>
      </c>
      <c r="C16" s="1815">
        <v>12130</v>
      </c>
      <c r="D16" s="1823">
        <f t="shared" si="0"/>
        <v>31598</v>
      </c>
      <c r="E16" s="1824">
        <v>20486</v>
      </c>
      <c r="F16" s="1824">
        <v>12670</v>
      </c>
      <c r="G16" s="1824">
        <f t="shared" si="1"/>
        <v>33156</v>
      </c>
      <c r="H16" s="1824">
        <v>21660</v>
      </c>
      <c r="I16" s="1824">
        <v>14281</v>
      </c>
      <c r="J16" s="1824">
        <f t="shared" si="2"/>
        <v>35941</v>
      </c>
      <c r="K16" s="1825">
        <v>21872</v>
      </c>
      <c r="L16" s="1825">
        <v>14268</v>
      </c>
      <c r="M16" s="1825">
        <f t="shared" si="3"/>
        <v>36140</v>
      </c>
      <c r="N16" s="1826">
        <v>22396</v>
      </c>
      <c r="O16" s="1826">
        <v>15106</v>
      </c>
      <c r="P16" s="1827">
        <f t="shared" si="4"/>
        <v>37502</v>
      </c>
      <c r="Q16" s="1823">
        <v>22227</v>
      </c>
      <c r="R16" s="1823">
        <v>15261</v>
      </c>
      <c r="S16" s="1823">
        <f t="shared" si="5"/>
        <v>37488</v>
      </c>
      <c r="T16" s="1823">
        <v>23007</v>
      </c>
      <c r="U16" s="1823">
        <v>15542</v>
      </c>
      <c r="V16" s="1823">
        <f t="shared" si="6"/>
        <v>38549</v>
      </c>
      <c r="W16" s="1825">
        <v>23024</v>
      </c>
      <c r="X16" s="1825">
        <v>15444</v>
      </c>
      <c r="Y16" s="1825">
        <f t="shared" si="7"/>
        <v>38468</v>
      </c>
      <c r="Z16" s="1825">
        <v>22823</v>
      </c>
      <c r="AA16" s="1825">
        <v>15436</v>
      </c>
      <c r="AB16" s="1825">
        <f t="shared" si="8"/>
        <v>38259</v>
      </c>
      <c r="AC16" s="1828">
        <v>23250</v>
      </c>
      <c r="AD16" s="1828">
        <v>15587</v>
      </c>
      <c r="AE16" s="1828">
        <f t="shared" si="9"/>
        <v>38837</v>
      </c>
      <c r="AF16" s="1829">
        <v>22904</v>
      </c>
      <c r="AG16" s="1829">
        <v>15402</v>
      </c>
      <c r="AH16" s="1830">
        <f t="shared" si="10"/>
        <v>38306</v>
      </c>
      <c r="AI16" s="1829">
        <v>23527</v>
      </c>
      <c r="AJ16" s="1829">
        <v>14538</v>
      </c>
      <c r="AK16" s="1830">
        <f t="shared" si="11"/>
        <v>38065</v>
      </c>
      <c r="AL16" s="1823">
        <v>23089</v>
      </c>
      <c r="AM16" s="1823">
        <v>14289</v>
      </c>
      <c r="AN16" s="1823">
        <f t="shared" si="12"/>
        <v>37378</v>
      </c>
      <c r="AO16" s="1829">
        <v>23270</v>
      </c>
      <c r="AP16" s="1829">
        <v>14302</v>
      </c>
      <c r="AQ16" s="1830">
        <f t="shared" si="13"/>
        <v>37572</v>
      </c>
      <c r="AR16" s="1829">
        <v>20452</v>
      </c>
      <c r="AS16" s="1829">
        <v>11406</v>
      </c>
      <c r="AT16" s="1830">
        <f t="shared" si="14"/>
        <v>31858</v>
      </c>
      <c r="AU16" s="1829">
        <v>17712</v>
      </c>
      <c r="AV16" s="1829">
        <v>9481</v>
      </c>
      <c r="AW16" s="1830">
        <f t="shared" si="15"/>
        <v>27193</v>
      </c>
      <c r="AX16" s="1829">
        <v>16989</v>
      </c>
      <c r="AY16" s="1829">
        <v>9059</v>
      </c>
      <c r="AZ16" s="1830">
        <f t="shared" si="16"/>
        <v>26048</v>
      </c>
      <c r="BA16" s="1823">
        <v>16352</v>
      </c>
      <c r="BB16" s="1823">
        <v>8423</v>
      </c>
      <c r="BC16" s="1823">
        <f t="shared" si="17"/>
        <v>24775</v>
      </c>
      <c r="BD16" s="1831">
        <v>16139</v>
      </c>
      <c r="BE16" s="1832">
        <v>8385</v>
      </c>
      <c r="BF16" s="1832">
        <f t="shared" si="18"/>
        <v>24524</v>
      </c>
      <c r="BG16" s="1823">
        <v>16185</v>
      </c>
      <c r="BH16" s="1823">
        <v>9187</v>
      </c>
      <c r="BI16" s="1823">
        <f t="shared" si="19"/>
        <v>25372</v>
      </c>
      <c r="BJ16" s="1833">
        <v>15208</v>
      </c>
      <c r="BK16" s="1834">
        <v>8682</v>
      </c>
      <c r="BL16" s="1834">
        <f t="shared" si="20"/>
        <v>23890</v>
      </c>
      <c r="BM16" s="1834">
        <v>14461</v>
      </c>
      <c r="BN16" s="1834">
        <v>8005</v>
      </c>
      <c r="BO16" s="1834">
        <f t="shared" si="21"/>
        <v>22466</v>
      </c>
      <c r="BP16" s="1834">
        <v>13882</v>
      </c>
      <c r="BQ16" s="1834">
        <v>7663</v>
      </c>
      <c r="BR16" s="1834">
        <f t="shared" si="22"/>
        <v>21545</v>
      </c>
      <c r="BS16" s="1834">
        <v>14225</v>
      </c>
      <c r="BT16" s="1834">
        <v>7809</v>
      </c>
      <c r="BU16" s="1834">
        <f t="shared" si="23"/>
        <v>22034</v>
      </c>
      <c r="BV16" s="1823">
        <v>13428</v>
      </c>
      <c r="BW16" s="1823">
        <v>7546</v>
      </c>
      <c r="BX16" s="1823">
        <f t="shared" si="24"/>
        <v>20974</v>
      </c>
      <c r="BY16" s="1823">
        <v>14256</v>
      </c>
      <c r="BZ16" s="1823">
        <v>7830</v>
      </c>
      <c r="CA16" s="1823">
        <v>12888</v>
      </c>
      <c r="CB16" s="1823">
        <v>7188</v>
      </c>
      <c r="CC16" s="1823">
        <f t="shared" si="25"/>
        <v>20076</v>
      </c>
      <c r="CD16" s="1823">
        <v>15947</v>
      </c>
      <c r="CE16" s="1823">
        <v>6846</v>
      </c>
      <c r="CF16" s="1823">
        <f t="shared" si="26"/>
        <v>22793</v>
      </c>
      <c r="CG16" s="1833">
        <v>15982</v>
      </c>
      <c r="CH16" s="1834">
        <v>6635</v>
      </c>
      <c r="CI16" s="1834">
        <f t="shared" si="27"/>
        <v>22617</v>
      </c>
      <c r="CJ16" s="1823">
        <v>15806</v>
      </c>
      <c r="CK16" s="1823">
        <v>6570</v>
      </c>
      <c r="CL16" s="1829">
        <v>17129</v>
      </c>
      <c r="CM16" s="1829">
        <v>6582</v>
      </c>
      <c r="CN16" s="1830">
        <f t="shared" si="28"/>
        <v>23711</v>
      </c>
      <c r="CO16" s="1823">
        <v>17933</v>
      </c>
      <c r="CP16" s="1823">
        <v>7035</v>
      </c>
      <c r="CQ16" s="1823">
        <f t="shared" si="29"/>
        <v>24968</v>
      </c>
      <c r="CR16" s="1831">
        <v>22577</v>
      </c>
      <c r="CS16" s="1832">
        <v>7250</v>
      </c>
      <c r="CT16" s="1832">
        <f t="shared" si="30"/>
        <v>29827</v>
      </c>
      <c r="CU16" s="1823">
        <v>21469</v>
      </c>
      <c r="CV16" s="1823">
        <v>7153</v>
      </c>
      <c r="CW16" s="1823">
        <f t="shared" si="31"/>
        <v>28622</v>
      </c>
      <c r="CX16" s="1833">
        <v>20491</v>
      </c>
      <c r="CY16" s="1834">
        <v>7280</v>
      </c>
      <c r="CZ16" s="1834">
        <f t="shared" si="32"/>
        <v>27771</v>
      </c>
      <c r="DA16" s="1834">
        <v>19258</v>
      </c>
      <c r="DB16" s="1834">
        <v>7464</v>
      </c>
      <c r="DC16" s="1834">
        <f t="shared" si="33"/>
        <v>26722</v>
      </c>
      <c r="DD16" s="1834">
        <v>19545</v>
      </c>
      <c r="DE16" s="1834">
        <v>7449</v>
      </c>
      <c r="DF16" s="1834">
        <f t="shared" si="34"/>
        <v>26994</v>
      </c>
      <c r="DG16" s="1834">
        <v>18755</v>
      </c>
      <c r="DH16" s="1834">
        <v>7518</v>
      </c>
      <c r="DI16" s="1834">
        <f t="shared" si="35"/>
        <v>26273</v>
      </c>
      <c r="DJ16" s="1823">
        <v>18202</v>
      </c>
      <c r="DK16" s="1823">
        <v>7574</v>
      </c>
      <c r="DL16" s="1823">
        <f t="shared" si="36"/>
        <v>25776</v>
      </c>
      <c r="DM16" s="1823">
        <v>17620</v>
      </c>
      <c r="DN16" s="1823">
        <v>7333</v>
      </c>
      <c r="DO16" s="1823">
        <f t="shared" si="37"/>
        <v>24953</v>
      </c>
      <c r="DP16" s="1823">
        <v>18595</v>
      </c>
      <c r="DQ16" s="1823">
        <v>7445</v>
      </c>
      <c r="DR16" s="1823">
        <f t="shared" si="38"/>
        <v>26040</v>
      </c>
      <c r="DS16" s="1833">
        <v>18814</v>
      </c>
      <c r="DT16" s="1834">
        <v>7348</v>
      </c>
      <c r="DU16" s="1834">
        <f t="shared" si="39"/>
        <v>26162</v>
      </c>
      <c r="DV16" s="1829">
        <v>19098</v>
      </c>
      <c r="DW16" s="1829">
        <v>7279</v>
      </c>
      <c r="DX16" s="1830">
        <f t="shared" si="40"/>
        <v>26377</v>
      </c>
      <c r="DY16" s="1823">
        <v>18590</v>
      </c>
      <c r="DZ16" s="1823">
        <v>7150</v>
      </c>
      <c r="EA16" s="1823">
        <f t="shared" si="41"/>
        <v>25740</v>
      </c>
      <c r="EB16" s="1831">
        <v>18443</v>
      </c>
      <c r="EC16" s="1832">
        <v>7250</v>
      </c>
      <c r="ED16" s="1832">
        <f t="shared" si="42"/>
        <v>25693</v>
      </c>
      <c r="EE16" s="1823">
        <v>17206</v>
      </c>
      <c r="EF16" s="1823">
        <v>6871</v>
      </c>
      <c r="EG16" s="1823">
        <f t="shared" si="43"/>
        <v>24077</v>
      </c>
      <c r="EH16" s="1833">
        <v>15988</v>
      </c>
      <c r="EI16" s="1834">
        <v>6589</v>
      </c>
      <c r="EJ16" s="1834">
        <f t="shared" si="44"/>
        <v>22577</v>
      </c>
      <c r="EK16" s="1834">
        <v>16188</v>
      </c>
      <c r="EL16" s="1834">
        <v>6584</v>
      </c>
      <c r="EM16" s="1834">
        <f t="shared" si="45"/>
        <v>22772</v>
      </c>
      <c r="EN16" s="1834">
        <v>16519</v>
      </c>
      <c r="EO16" s="1834">
        <v>6442</v>
      </c>
      <c r="EP16" s="1834">
        <f t="shared" si="46"/>
        <v>22961</v>
      </c>
      <c r="EQ16" s="1834">
        <v>15838</v>
      </c>
      <c r="ER16" s="1834">
        <v>6292</v>
      </c>
      <c r="ES16" s="1834">
        <f t="shared" si="47"/>
        <v>22130</v>
      </c>
      <c r="ET16" s="1823">
        <v>15775</v>
      </c>
      <c r="EU16" s="1823">
        <v>6616</v>
      </c>
      <c r="EV16" s="1823">
        <f t="shared" si="48"/>
        <v>22391</v>
      </c>
      <c r="EW16" s="1823">
        <v>15205</v>
      </c>
      <c r="EX16" s="1823">
        <v>6425</v>
      </c>
      <c r="EY16" s="1823">
        <f t="shared" si="49"/>
        <v>21630</v>
      </c>
      <c r="EZ16" s="1823">
        <v>14844</v>
      </c>
      <c r="FA16" s="1823">
        <v>7226</v>
      </c>
      <c r="FB16" s="1823">
        <f t="shared" si="50"/>
        <v>22070</v>
      </c>
      <c r="FC16" s="1833">
        <v>14536</v>
      </c>
      <c r="FD16" s="1834">
        <v>7032</v>
      </c>
      <c r="FE16" s="1834">
        <f t="shared" si="51"/>
        <v>21568</v>
      </c>
      <c r="FF16" s="1829">
        <v>13983</v>
      </c>
      <c r="FG16" s="1829">
        <v>6204</v>
      </c>
      <c r="FH16" s="1830">
        <f t="shared" si="52"/>
        <v>20187</v>
      </c>
      <c r="FI16" s="1823">
        <v>13992</v>
      </c>
      <c r="FJ16" s="1823">
        <v>6243</v>
      </c>
      <c r="FK16" s="1823">
        <f t="shared" si="53"/>
        <v>20235</v>
      </c>
      <c r="FL16" s="1831">
        <v>13825</v>
      </c>
      <c r="FM16" s="1832">
        <v>6255</v>
      </c>
      <c r="FN16" s="1832">
        <f t="shared" si="54"/>
        <v>20080</v>
      </c>
      <c r="FO16" s="1823">
        <v>13153</v>
      </c>
      <c r="FP16" s="1823">
        <v>6011</v>
      </c>
      <c r="FQ16" s="1823">
        <f t="shared" si="55"/>
        <v>19164</v>
      </c>
      <c r="FR16" s="1835">
        <v>12926</v>
      </c>
      <c r="FS16" s="1834">
        <v>5945</v>
      </c>
      <c r="FT16" s="1834">
        <f t="shared" si="56"/>
        <v>18871</v>
      </c>
      <c r="FU16" s="1834">
        <v>12856</v>
      </c>
      <c r="FV16" s="1834">
        <v>6185</v>
      </c>
      <c r="FW16" s="1834">
        <f t="shared" si="57"/>
        <v>19041</v>
      </c>
      <c r="FX16" s="1834">
        <v>12317</v>
      </c>
      <c r="FY16" s="1834">
        <v>5930</v>
      </c>
      <c r="FZ16" s="1834">
        <f t="shared" si="58"/>
        <v>18247</v>
      </c>
      <c r="GA16" s="1834">
        <v>12488</v>
      </c>
      <c r="GB16" s="1834">
        <v>6106</v>
      </c>
      <c r="GC16" s="1834">
        <f t="shared" si="59"/>
        <v>18594</v>
      </c>
      <c r="GD16" s="1823">
        <v>11920</v>
      </c>
      <c r="GE16" s="1823">
        <v>6554</v>
      </c>
      <c r="GF16" s="1823">
        <f t="shared" si="60"/>
        <v>18474</v>
      </c>
      <c r="GG16" s="1823">
        <v>11477</v>
      </c>
      <c r="GH16" s="1823">
        <v>5958</v>
      </c>
      <c r="GI16" s="1823">
        <f t="shared" si="61"/>
        <v>17435</v>
      </c>
      <c r="GJ16" s="1823">
        <v>11278</v>
      </c>
      <c r="GK16" s="1823">
        <v>5939</v>
      </c>
      <c r="GL16" s="1823">
        <f t="shared" si="62"/>
        <v>17217</v>
      </c>
      <c r="GM16" s="1833">
        <v>11292</v>
      </c>
      <c r="GN16" s="1834">
        <v>6577</v>
      </c>
      <c r="GO16" s="1834">
        <f t="shared" si="63"/>
        <v>17869</v>
      </c>
      <c r="GP16" s="1829">
        <v>11458</v>
      </c>
      <c r="GQ16" s="1829">
        <v>7143</v>
      </c>
      <c r="GR16" s="1830">
        <f t="shared" si="64"/>
        <v>18601</v>
      </c>
      <c r="GS16" s="1823">
        <v>12118</v>
      </c>
      <c r="GT16" s="1823">
        <v>7390</v>
      </c>
      <c r="GU16" s="1823">
        <f t="shared" si="65"/>
        <v>19508</v>
      </c>
      <c r="GV16" s="1831">
        <v>12823</v>
      </c>
      <c r="GW16" s="1832">
        <v>8210</v>
      </c>
      <c r="GX16" s="1832">
        <f t="shared" si="66"/>
        <v>21033</v>
      </c>
      <c r="GY16" s="1823">
        <v>12605</v>
      </c>
      <c r="GZ16" s="1823">
        <v>8243</v>
      </c>
      <c r="HA16" s="1823">
        <f t="shared" si="67"/>
        <v>20848</v>
      </c>
      <c r="HB16" s="1835">
        <v>13167</v>
      </c>
      <c r="HC16" s="1834">
        <v>8927</v>
      </c>
      <c r="HD16" s="1834">
        <f t="shared" si="68"/>
        <v>22094</v>
      </c>
      <c r="HE16" s="1834">
        <v>12932</v>
      </c>
      <c r="HF16" s="1834">
        <v>8892</v>
      </c>
      <c r="HG16" s="1834">
        <f t="shared" si="69"/>
        <v>21824</v>
      </c>
      <c r="HH16" s="1834">
        <v>12738</v>
      </c>
      <c r="HI16" s="1834">
        <v>9026</v>
      </c>
      <c r="HJ16" s="1834">
        <f t="shared" si="70"/>
        <v>21764</v>
      </c>
      <c r="HK16" s="1834">
        <v>12619</v>
      </c>
      <c r="HL16" s="1834">
        <v>8885</v>
      </c>
      <c r="HM16" s="1834">
        <f t="shared" si="71"/>
        <v>21504</v>
      </c>
      <c r="HN16" s="1823">
        <v>13446</v>
      </c>
      <c r="HO16" s="1823">
        <v>8774</v>
      </c>
      <c r="HP16" s="1823">
        <f t="shared" si="72"/>
        <v>22220</v>
      </c>
      <c r="HQ16" s="1823">
        <v>13598</v>
      </c>
      <c r="HR16" s="1823">
        <v>9279</v>
      </c>
      <c r="HS16" s="1823">
        <f t="shared" si="73"/>
        <v>22877</v>
      </c>
      <c r="HT16" s="1823">
        <v>14792</v>
      </c>
      <c r="HU16" s="1823">
        <v>10287</v>
      </c>
      <c r="HV16" s="1823">
        <f t="shared" si="74"/>
        <v>25079</v>
      </c>
      <c r="HW16" s="1836">
        <v>15035</v>
      </c>
      <c r="HX16" s="1837">
        <v>9828</v>
      </c>
      <c r="HY16" s="1834">
        <f t="shared" si="75"/>
        <v>24863</v>
      </c>
      <c r="HZ16" s="1829">
        <v>15267</v>
      </c>
      <c r="IA16" s="1829">
        <v>9670</v>
      </c>
      <c r="IB16" s="1830">
        <f t="shared" si="76"/>
        <v>24937</v>
      </c>
      <c r="IC16" s="1823">
        <v>15169</v>
      </c>
      <c r="ID16" s="1823">
        <v>9894</v>
      </c>
      <c r="IE16" s="1823">
        <f t="shared" si="77"/>
        <v>25063</v>
      </c>
      <c r="IF16" s="1831">
        <v>14689</v>
      </c>
      <c r="IG16" s="1832">
        <v>9748</v>
      </c>
      <c r="IH16" s="1832">
        <f t="shared" si="78"/>
        <v>24437</v>
      </c>
      <c r="II16" s="1815">
        <v>14691</v>
      </c>
      <c r="IJ16" s="1815">
        <v>9734</v>
      </c>
      <c r="IK16" s="1815">
        <f t="shared" si="79"/>
        <v>24425</v>
      </c>
      <c r="IL16" s="1815">
        <v>24682</v>
      </c>
    </row>
    <row r="17" spans="1:246">
      <c r="A17" s="1900" t="s">
        <v>859</v>
      </c>
      <c r="B17" s="1815">
        <v>5544</v>
      </c>
      <c r="C17" s="1815">
        <v>3463</v>
      </c>
      <c r="D17" s="1823">
        <f t="shared" si="0"/>
        <v>9007</v>
      </c>
      <c r="E17" s="1824">
        <v>5847</v>
      </c>
      <c r="F17" s="1824">
        <v>3890</v>
      </c>
      <c r="G17" s="1824">
        <f t="shared" si="1"/>
        <v>9737</v>
      </c>
      <c r="H17" s="1824">
        <v>5844</v>
      </c>
      <c r="I17" s="1824">
        <v>3976</v>
      </c>
      <c r="J17" s="1824">
        <f t="shared" si="2"/>
        <v>9820</v>
      </c>
      <c r="K17" s="1825">
        <v>6317</v>
      </c>
      <c r="L17" s="1825">
        <v>4667</v>
      </c>
      <c r="M17" s="1825">
        <f t="shared" si="3"/>
        <v>10984</v>
      </c>
      <c r="N17" s="1827">
        <v>6127</v>
      </c>
      <c r="O17" s="1827">
        <v>4615</v>
      </c>
      <c r="P17" s="1827">
        <f t="shared" si="4"/>
        <v>10742</v>
      </c>
      <c r="Q17" s="1823">
        <v>6118</v>
      </c>
      <c r="R17" s="1823">
        <v>4697</v>
      </c>
      <c r="S17" s="1823">
        <f t="shared" si="5"/>
        <v>10815</v>
      </c>
      <c r="T17" s="1823">
        <v>6417</v>
      </c>
      <c r="U17" s="1823">
        <v>4896</v>
      </c>
      <c r="V17" s="1823">
        <f t="shared" si="6"/>
        <v>11313</v>
      </c>
      <c r="W17" s="1825">
        <v>6416</v>
      </c>
      <c r="X17" s="1825">
        <v>4993</v>
      </c>
      <c r="Y17" s="1825">
        <f t="shared" si="7"/>
        <v>11409</v>
      </c>
      <c r="Z17" s="1825">
        <v>6485</v>
      </c>
      <c r="AA17" s="1825">
        <v>5153</v>
      </c>
      <c r="AB17" s="1825">
        <f t="shared" si="8"/>
        <v>11638</v>
      </c>
      <c r="AC17" s="1828">
        <v>6735</v>
      </c>
      <c r="AD17" s="1828">
        <v>5472</v>
      </c>
      <c r="AE17" s="1828">
        <f t="shared" si="9"/>
        <v>12207</v>
      </c>
      <c r="AF17" s="1829">
        <v>6363</v>
      </c>
      <c r="AG17" s="1829">
        <v>5254</v>
      </c>
      <c r="AH17" s="1830">
        <f t="shared" si="10"/>
        <v>11617</v>
      </c>
      <c r="AI17" s="1829">
        <v>6242</v>
      </c>
      <c r="AJ17" s="1829">
        <v>4950</v>
      </c>
      <c r="AK17" s="1830">
        <f t="shared" si="11"/>
        <v>11192</v>
      </c>
      <c r="AL17" s="1823">
        <v>6496</v>
      </c>
      <c r="AM17" s="1823">
        <v>5071</v>
      </c>
      <c r="AN17" s="1823">
        <f t="shared" si="12"/>
        <v>11567</v>
      </c>
      <c r="AO17" s="1829">
        <v>6502</v>
      </c>
      <c r="AP17" s="1829">
        <v>5030</v>
      </c>
      <c r="AQ17" s="1830">
        <f t="shared" si="13"/>
        <v>11532</v>
      </c>
      <c r="AR17" s="1829">
        <v>6382</v>
      </c>
      <c r="AS17" s="1829">
        <v>4903</v>
      </c>
      <c r="AT17" s="1830">
        <f t="shared" si="14"/>
        <v>11285</v>
      </c>
      <c r="AU17" s="1829">
        <v>6050</v>
      </c>
      <c r="AV17" s="1829">
        <v>4843</v>
      </c>
      <c r="AW17" s="1830">
        <f t="shared" si="15"/>
        <v>10893</v>
      </c>
      <c r="AX17" s="1829">
        <v>5992</v>
      </c>
      <c r="AY17" s="1829">
        <v>4828</v>
      </c>
      <c r="AZ17" s="1830">
        <f t="shared" si="16"/>
        <v>10820</v>
      </c>
      <c r="BA17" s="1823">
        <v>6171</v>
      </c>
      <c r="BB17" s="1823">
        <v>4763</v>
      </c>
      <c r="BC17" s="1823">
        <f t="shared" si="17"/>
        <v>10934</v>
      </c>
      <c r="BD17" s="1831">
        <v>6580</v>
      </c>
      <c r="BE17" s="1832">
        <v>5059</v>
      </c>
      <c r="BF17" s="1832">
        <f t="shared" si="18"/>
        <v>11639</v>
      </c>
      <c r="BG17" s="1823">
        <v>7194</v>
      </c>
      <c r="BH17" s="1823">
        <v>5664</v>
      </c>
      <c r="BI17" s="1823">
        <f t="shared" si="19"/>
        <v>12858</v>
      </c>
      <c r="BJ17" s="1833">
        <v>6850</v>
      </c>
      <c r="BK17" s="1834">
        <v>5442</v>
      </c>
      <c r="BL17" s="1834">
        <f t="shared" si="20"/>
        <v>12292</v>
      </c>
      <c r="BM17" s="1834">
        <v>6108</v>
      </c>
      <c r="BN17" s="1834">
        <v>4543</v>
      </c>
      <c r="BO17" s="1834">
        <f t="shared" si="21"/>
        <v>10651</v>
      </c>
      <c r="BP17" s="1834">
        <v>5995</v>
      </c>
      <c r="BQ17" s="1834">
        <v>4682</v>
      </c>
      <c r="BR17" s="1834">
        <f t="shared" si="22"/>
        <v>10677</v>
      </c>
      <c r="BS17" s="1834">
        <v>6335</v>
      </c>
      <c r="BT17" s="1834">
        <v>4647</v>
      </c>
      <c r="BU17" s="1834">
        <f t="shared" si="23"/>
        <v>10982</v>
      </c>
      <c r="BV17" s="1823">
        <v>6043</v>
      </c>
      <c r="BW17" s="1823">
        <v>4401</v>
      </c>
      <c r="BX17" s="1823">
        <f t="shared" si="24"/>
        <v>10444</v>
      </c>
      <c r="BY17" s="1823">
        <v>6288</v>
      </c>
      <c r="BZ17" s="1823">
        <v>4643</v>
      </c>
      <c r="CA17" s="1823">
        <v>5784</v>
      </c>
      <c r="CB17" s="1823">
        <v>4236</v>
      </c>
      <c r="CC17" s="1823">
        <f t="shared" si="25"/>
        <v>10020</v>
      </c>
      <c r="CD17" s="1823">
        <v>5621</v>
      </c>
      <c r="CE17" s="1823">
        <v>4199</v>
      </c>
      <c r="CF17" s="1823">
        <f t="shared" si="26"/>
        <v>9820</v>
      </c>
      <c r="CG17" s="1833">
        <v>5390</v>
      </c>
      <c r="CH17" s="1834">
        <v>4101</v>
      </c>
      <c r="CI17" s="1834">
        <f t="shared" si="27"/>
        <v>9491</v>
      </c>
      <c r="CJ17" s="1823">
        <v>5376</v>
      </c>
      <c r="CK17" s="1823">
        <v>4093</v>
      </c>
      <c r="CL17" s="1829">
        <v>5541</v>
      </c>
      <c r="CM17" s="1829">
        <v>4240</v>
      </c>
      <c r="CN17" s="1830">
        <f t="shared" si="28"/>
        <v>9781</v>
      </c>
      <c r="CO17" s="1823">
        <v>6358</v>
      </c>
      <c r="CP17" s="1823">
        <v>4555</v>
      </c>
      <c r="CQ17" s="1823">
        <f t="shared" si="29"/>
        <v>10913</v>
      </c>
      <c r="CR17" s="1831">
        <v>5991</v>
      </c>
      <c r="CS17" s="1832">
        <v>4555</v>
      </c>
      <c r="CT17" s="1832">
        <f t="shared" si="30"/>
        <v>10546</v>
      </c>
      <c r="CU17" s="1823">
        <v>5878</v>
      </c>
      <c r="CV17" s="1823">
        <v>4589</v>
      </c>
      <c r="CW17" s="1823">
        <f t="shared" si="31"/>
        <v>10467</v>
      </c>
      <c r="CX17" s="1833">
        <v>5670</v>
      </c>
      <c r="CY17" s="1834">
        <v>4540</v>
      </c>
      <c r="CZ17" s="1834">
        <f t="shared" si="32"/>
        <v>10210</v>
      </c>
      <c r="DA17" s="1834">
        <v>5653</v>
      </c>
      <c r="DB17" s="1834">
        <v>4608</v>
      </c>
      <c r="DC17" s="1834">
        <f t="shared" si="33"/>
        <v>10261</v>
      </c>
      <c r="DD17" s="1834">
        <v>5752</v>
      </c>
      <c r="DE17" s="1834">
        <v>4713</v>
      </c>
      <c r="DF17" s="1834">
        <f t="shared" si="34"/>
        <v>10465</v>
      </c>
      <c r="DG17" s="1834">
        <v>5623</v>
      </c>
      <c r="DH17" s="1834">
        <v>4627</v>
      </c>
      <c r="DI17" s="1834">
        <f t="shared" si="35"/>
        <v>10250</v>
      </c>
      <c r="DJ17" s="1823">
        <v>5656</v>
      </c>
      <c r="DK17" s="1823">
        <v>4789</v>
      </c>
      <c r="DL17" s="1823">
        <f t="shared" si="36"/>
        <v>10445</v>
      </c>
      <c r="DM17" s="1823">
        <v>5806</v>
      </c>
      <c r="DN17" s="1823">
        <v>4888</v>
      </c>
      <c r="DO17" s="1823">
        <f t="shared" si="37"/>
        <v>10694</v>
      </c>
      <c r="DP17" s="1823">
        <v>7384</v>
      </c>
      <c r="DQ17" s="1823">
        <v>6438</v>
      </c>
      <c r="DR17" s="1823">
        <f t="shared" si="38"/>
        <v>13822</v>
      </c>
      <c r="DS17" s="1833">
        <v>8285</v>
      </c>
      <c r="DT17" s="1834">
        <v>6925</v>
      </c>
      <c r="DU17" s="1834">
        <f t="shared" si="39"/>
        <v>15210</v>
      </c>
      <c r="DV17" s="1829">
        <v>8353</v>
      </c>
      <c r="DW17" s="1829">
        <v>7057</v>
      </c>
      <c r="DX17" s="1830">
        <f t="shared" si="40"/>
        <v>15410</v>
      </c>
      <c r="DY17" s="1823">
        <v>8437</v>
      </c>
      <c r="DZ17" s="1823">
        <v>7263</v>
      </c>
      <c r="EA17" s="1823">
        <f t="shared" si="41"/>
        <v>15700</v>
      </c>
      <c r="EB17" s="1831">
        <v>8851</v>
      </c>
      <c r="EC17" s="1832">
        <v>7466</v>
      </c>
      <c r="ED17" s="1832">
        <f t="shared" si="42"/>
        <v>16317</v>
      </c>
      <c r="EE17" s="1823">
        <v>8875</v>
      </c>
      <c r="EF17" s="1823">
        <v>7699</v>
      </c>
      <c r="EG17" s="1823">
        <f t="shared" si="43"/>
        <v>16574</v>
      </c>
      <c r="EH17" s="1833">
        <v>8530</v>
      </c>
      <c r="EI17" s="1834">
        <v>7677</v>
      </c>
      <c r="EJ17" s="1834">
        <f t="shared" si="44"/>
        <v>16207</v>
      </c>
      <c r="EK17" s="1834">
        <v>8776</v>
      </c>
      <c r="EL17" s="1834">
        <v>7772</v>
      </c>
      <c r="EM17" s="1834">
        <f t="shared" si="45"/>
        <v>16548</v>
      </c>
      <c r="EN17" s="1834">
        <v>8638</v>
      </c>
      <c r="EO17" s="1834">
        <v>8141</v>
      </c>
      <c r="EP17" s="1834">
        <f t="shared" si="46"/>
        <v>16779</v>
      </c>
      <c r="EQ17" s="1834">
        <v>9116</v>
      </c>
      <c r="ER17" s="1834">
        <v>8505</v>
      </c>
      <c r="ES17" s="1834">
        <f t="shared" si="47"/>
        <v>17621</v>
      </c>
      <c r="ET17" s="1823">
        <v>8856</v>
      </c>
      <c r="EU17" s="1823">
        <v>8787</v>
      </c>
      <c r="EV17" s="1823">
        <f t="shared" si="48"/>
        <v>17643</v>
      </c>
      <c r="EW17" s="1823">
        <v>8188</v>
      </c>
      <c r="EX17" s="1823">
        <v>7444</v>
      </c>
      <c r="EY17" s="1823">
        <f t="shared" si="49"/>
        <v>15632</v>
      </c>
      <c r="EZ17" s="1823">
        <v>8949</v>
      </c>
      <c r="FA17" s="1823">
        <v>8209</v>
      </c>
      <c r="FB17" s="1823">
        <f t="shared" si="50"/>
        <v>17158</v>
      </c>
      <c r="FC17" s="1833">
        <v>8533</v>
      </c>
      <c r="FD17" s="1834">
        <v>7840</v>
      </c>
      <c r="FE17" s="1834">
        <f t="shared" si="51"/>
        <v>16373</v>
      </c>
      <c r="FF17" s="1829">
        <v>8390</v>
      </c>
      <c r="FG17" s="1829">
        <v>7853</v>
      </c>
      <c r="FH17" s="1830">
        <f t="shared" si="52"/>
        <v>16243</v>
      </c>
      <c r="FI17" s="1823">
        <v>8924</v>
      </c>
      <c r="FJ17" s="1823">
        <v>8072</v>
      </c>
      <c r="FK17" s="1823">
        <f t="shared" si="53"/>
        <v>16996</v>
      </c>
      <c r="FL17" s="1831">
        <v>8571</v>
      </c>
      <c r="FM17" s="1832">
        <v>8135</v>
      </c>
      <c r="FN17" s="1832">
        <f t="shared" si="54"/>
        <v>16706</v>
      </c>
      <c r="FO17" s="1823">
        <v>8533</v>
      </c>
      <c r="FP17" s="1823">
        <v>7961</v>
      </c>
      <c r="FQ17" s="1823">
        <f t="shared" si="55"/>
        <v>16494</v>
      </c>
      <c r="FR17" s="1835">
        <v>8525</v>
      </c>
      <c r="FS17" s="1834">
        <v>8096</v>
      </c>
      <c r="FT17" s="1834">
        <f t="shared" si="56"/>
        <v>16621</v>
      </c>
      <c r="FU17" s="1834">
        <v>8541</v>
      </c>
      <c r="FV17" s="1834">
        <v>8198</v>
      </c>
      <c r="FW17" s="1834">
        <f t="shared" si="57"/>
        <v>16739</v>
      </c>
      <c r="FX17" s="1834">
        <v>8425</v>
      </c>
      <c r="FY17" s="1834">
        <v>8150</v>
      </c>
      <c r="FZ17" s="1834">
        <f t="shared" si="58"/>
        <v>16575</v>
      </c>
      <c r="GA17" s="1834">
        <v>8974</v>
      </c>
      <c r="GB17" s="1834">
        <v>8663</v>
      </c>
      <c r="GC17" s="1834">
        <f t="shared" si="59"/>
        <v>17637</v>
      </c>
      <c r="GD17" s="1823">
        <v>9159</v>
      </c>
      <c r="GE17" s="1823">
        <v>8798</v>
      </c>
      <c r="GF17" s="1823">
        <f t="shared" si="60"/>
        <v>17957</v>
      </c>
      <c r="GG17" s="1823">
        <v>8976</v>
      </c>
      <c r="GH17" s="1823">
        <v>8817</v>
      </c>
      <c r="GI17" s="1823">
        <f t="shared" si="61"/>
        <v>17793</v>
      </c>
      <c r="GJ17" s="1823">
        <v>9155</v>
      </c>
      <c r="GK17" s="1823">
        <v>9034</v>
      </c>
      <c r="GL17" s="1823">
        <f t="shared" si="62"/>
        <v>18189</v>
      </c>
      <c r="GM17" s="1833">
        <v>9448</v>
      </c>
      <c r="GN17" s="1834">
        <v>9351</v>
      </c>
      <c r="GO17" s="1834">
        <f t="shared" si="63"/>
        <v>18799</v>
      </c>
      <c r="GP17" s="1829">
        <v>9604</v>
      </c>
      <c r="GQ17" s="1829">
        <v>10152</v>
      </c>
      <c r="GR17" s="1830">
        <f t="shared" si="64"/>
        <v>19756</v>
      </c>
      <c r="GS17" s="1823">
        <v>9944</v>
      </c>
      <c r="GT17" s="1823">
        <v>9770</v>
      </c>
      <c r="GU17" s="1823">
        <f t="shared" si="65"/>
        <v>19714</v>
      </c>
      <c r="GV17" s="1831">
        <v>9829</v>
      </c>
      <c r="GW17" s="1832">
        <v>9743</v>
      </c>
      <c r="GX17" s="1832">
        <f t="shared" si="66"/>
        <v>19572</v>
      </c>
      <c r="GY17" s="1823">
        <v>9764</v>
      </c>
      <c r="GZ17" s="1823">
        <v>9529</v>
      </c>
      <c r="HA17" s="1823">
        <f t="shared" si="67"/>
        <v>19293</v>
      </c>
      <c r="HB17" s="1835">
        <v>10279</v>
      </c>
      <c r="HC17" s="1834">
        <v>10019</v>
      </c>
      <c r="HD17" s="1834">
        <f t="shared" si="68"/>
        <v>20298</v>
      </c>
      <c r="HE17" s="1834">
        <v>10252</v>
      </c>
      <c r="HF17" s="1834">
        <v>10238</v>
      </c>
      <c r="HG17" s="1834">
        <f t="shared" si="69"/>
        <v>20490</v>
      </c>
      <c r="HH17" s="1834">
        <v>10377</v>
      </c>
      <c r="HI17" s="1834">
        <v>10449</v>
      </c>
      <c r="HJ17" s="1834">
        <f t="shared" si="70"/>
        <v>20826</v>
      </c>
      <c r="HK17" s="1834">
        <v>10725</v>
      </c>
      <c r="HL17" s="1834">
        <v>10339</v>
      </c>
      <c r="HM17" s="1834">
        <f t="shared" si="71"/>
        <v>21064</v>
      </c>
      <c r="HN17" s="1823">
        <v>10725</v>
      </c>
      <c r="HO17" s="1823">
        <v>10360</v>
      </c>
      <c r="HP17" s="1823">
        <f t="shared" si="72"/>
        <v>21085</v>
      </c>
      <c r="HQ17" s="1823">
        <v>10438</v>
      </c>
      <c r="HR17" s="1823">
        <v>10412</v>
      </c>
      <c r="HS17" s="1823">
        <f t="shared" si="73"/>
        <v>20850</v>
      </c>
      <c r="HT17" s="1823">
        <v>10920</v>
      </c>
      <c r="HU17" s="1823">
        <v>11020</v>
      </c>
      <c r="HV17" s="1823">
        <f t="shared" si="74"/>
        <v>21940</v>
      </c>
      <c r="HW17" s="1836">
        <v>11548</v>
      </c>
      <c r="HX17" s="1837">
        <v>11323</v>
      </c>
      <c r="HY17" s="1834">
        <f t="shared" si="75"/>
        <v>22871</v>
      </c>
      <c r="HZ17" s="1829">
        <v>11283</v>
      </c>
      <c r="IA17" s="1829">
        <v>11119</v>
      </c>
      <c r="IB17" s="1830">
        <f t="shared" si="76"/>
        <v>22402</v>
      </c>
      <c r="IC17" s="1823">
        <v>11728</v>
      </c>
      <c r="ID17" s="1823">
        <v>11441</v>
      </c>
      <c r="IE17" s="1823">
        <f t="shared" si="77"/>
        <v>23169</v>
      </c>
      <c r="IF17" s="1831">
        <v>11897</v>
      </c>
      <c r="IG17" s="1832">
        <v>11699</v>
      </c>
      <c r="IH17" s="1832">
        <f t="shared" si="78"/>
        <v>23596</v>
      </c>
      <c r="II17" s="1815">
        <v>11929</v>
      </c>
      <c r="IJ17" s="1815">
        <v>11777</v>
      </c>
      <c r="IK17" s="1815">
        <f t="shared" si="79"/>
        <v>23706</v>
      </c>
      <c r="IL17" s="1815">
        <v>25208</v>
      </c>
    </row>
    <row r="18" spans="1:246">
      <c r="A18" s="1900" t="s">
        <v>1755</v>
      </c>
      <c r="B18" s="1815">
        <v>3516</v>
      </c>
      <c r="C18" s="1815">
        <v>1400</v>
      </c>
      <c r="D18" s="1823">
        <f t="shared" si="0"/>
        <v>4916</v>
      </c>
      <c r="E18" s="1824">
        <v>3538</v>
      </c>
      <c r="F18" s="1824">
        <v>1989</v>
      </c>
      <c r="G18" s="1824">
        <f t="shared" si="1"/>
        <v>5527</v>
      </c>
      <c r="H18" s="1824">
        <v>3514</v>
      </c>
      <c r="I18" s="1824">
        <v>1716</v>
      </c>
      <c r="J18" s="1824">
        <f t="shared" si="2"/>
        <v>5230</v>
      </c>
      <c r="K18" s="1825">
        <v>3546</v>
      </c>
      <c r="L18" s="1825">
        <v>1993</v>
      </c>
      <c r="M18" s="1825">
        <f t="shared" si="3"/>
        <v>5539</v>
      </c>
      <c r="N18" s="1826">
        <v>3650</v>
      </c>
      <c r="O18" s="1826">
        <v>2149</v>
      </c>
      <c r="P18" s="1827">
        <f t="shared" si="4"/>
        <v>5799</v>
      </c>
      <c r="Q18" s="1823">
        <v>3882</v>
      </c>
      <c r="R18" s="1823">
        <v>2363</v>
      </c>
      <c r="S18" s="1823">
        <f t="shared" si="5"/>
        <v>6245</v>
      </c>
      <c r="T18" s="1823">
        <v>4034</v>
      </c>
      <c r="U18" s="1823">
        <v>2423</v>
      </c>
      <c r="V18" s="1823">
        <f t="shared" si="6"/>
        <v>6457</v>
      </c>
      <c r="W18" s="1825">
        <v>4109</v>
      </c>
      <c r="X18" s="1825">
        <v>2332</v>
      </c>
      <c r="Y18" s="1825">
        <f t="shared" si="7"/>
        <v>6441</v>
      </c>
      <c r="Z18" s="1825">
        <v>4161</v>
      </c>
      <c r="AA18" s="1825">
        <v>2592</v>
      </c>
      <c r="AB18" s="1825">
        <f t="shared" si="8"/>
        <v>6753</v>
      </c>
      <c r="AC18" s="1828">
        <v>4324</v>
      </c>
      <c r="AD18" s="1828">
        <v>2696</v>
      </c>
      <c r="AE18" s="1828">
        <f t="shared" si="9"/>
        <v>7020</v>
      </c>
      <c r="AF18" s="1830">
        <v>4271</v>
      </c>
      <c r="AG18" s="1830">
        <v>2808</v>
      </c>
      <c r="AH18" s="1830">
        <f t="shared" si="10"/>
        <v>7079</v>
      </c>
      <c r="AI18" s="1830">
        <v>4307</v>
      </c>
      <c r="AJ18" s="1830">
        <v>2843</v>
      </c>
      <c r="AK18" s="1830">
        <f t="shared" si="11"/>
        <v>7150</v>
      </c>
      <c r="AL18" s="1823">
        <v>4359</v>
      </c>
      <c r="AM18" s="1823">
        <v>2947</v>
      </c>
      <c r="AN18" s="1823">
        <f t="shared" si="12"/>
        <v>7306</v>
      </c>
      <c r="AO18" s="1830">
        <v>4332</v>
      </c>
      <c r="AP18" s="1830">
        <v>3017</v>
      </c>
      <c r="AQ18" s="1830">
        <f t="shared" si="13"/>
        <v>7349</v>
      </c>
      <c r="AR18" s="1830">
        <v>4397</v>
      </c>
      <c r="AS18" s="1830">
        <v>3040</v>
      </c>
      <c r="AT18" s="1830">
        <f t="shared" si="14"/>
        <v>7437</v>
      </c>
      <c r="AU18" s="1830">
        <v>4561</v>
      </c>
      <c r="AV18" s="1830">
        <v>3067</v>
      </c>
      <c r="AW18" s="1830">
        <f t="shared" si="15"/>
        <v>7628</v>
      </c>
      <c r="AX18" s="1830">
        <v>4848</v>
      </c>
      <c r="AY18" s="1830">
        <v>3220</v>
      </c>
      <c r="AZ18" s="1830">
        <f t="shared" si="16"/>
        <v>8068</v>
      </c>
      <c r="BA18" s="1823">
        <v>4973</v>
      </c>
      <c r="BB18" s="1823">
        <v>3257</v>
      </c>
      <c r="BC18" s="1823">
        <f t="shared" si="17"/>
        <v>8230</v>
      </c>
      <c r="BD18" s="1831">
        <v>5058</v>
      </c>
      <c r="BE18" s="1832">
        <v>3304</v>
      </c>
      <c r="BF18" s="1832">
        <f t="shared" si="18"/>
        <v>8362</v>
      </c>
      <c r="BG18" s="1823">
        <v>5166</v>
      </c>
      <c r="BH18" s="1823">
        <v>3336</v>
      </c>
      <c r="BI18" s="1823">
        <f t="shared" si="19"/>
        <v>8502</v>
      </c>
      <c r="BJ18" s="1833">
        <v>5627</v>
      </c>
      <c r="BK18" s="1834">
        <v>3435</v>
      </c>
      <c r="BL18" s="1834">
        <f t="shared" si="20"/>
        <v>9062</v>
      </c>
      <c r="BM18" s="1834">
        <v>5976</v>
      </c>
      <c r="BN18" s="1834">
        <v>3627</v>
      </c>
      <c r="BO18" s="1834">
        <f t="shared" si="21"/>
        <v>9603</v>
      </c>
      <c r="BP18" s="1834">
        <v>6181</v>
      </c>
      <c r="BQ18" s="1834">
        <v>3800</v>
      </c>
      <c r="BR18" s="1834">
        <f t="shared" si="22"/>
        <v>9981</v>
      </c>
      <c r="BS18" s="1834">
        <v>6672</v>
      </c>
      <c r="BT18" s="1834">
        <v>4062</v>
      </c>
      <c r="BU18" s="1834">
        <f t="shared" si="23"/>
        <v>10734</v>
      </c>
      <c r="BV18" s="1823">
        <v>7709</v>
      </c>
      <c r="BW18" s="1823">
        <v>4518</v>
      </c>
      <c r="BX18" s="1823">
        <f t="shared" si="24"/>
        <v>12227</v>
      </c>
      <c r="BY18" s="1823">
        <v>6804</v>
      </c>
      <c r="BZ18" s="1823">
        <v>4114</v>
      </c>
      <c r="CA18" s="1823">
        <v>8516</v>
      </c>
      <c r="CB18" s="1823">
        <v>4816</v>
      </c>
      <c r="CC18" s="1823">
        <f t="shared" si="25"/>
        <v>13332</v>
      </c>
      <c r="CD18" s="1823">
        <v>9165</v>
      </c>
      <c r="CE18" s="1823">
        <v>5246</v>
      </c>
      <c r="CF18" s="1823">
        <f t="shared" si="26"/>
        <v>14411</v>
      </c>
      <c r="CG18" s="1833">
        <v>8766</v>
      </c>
      <c r="CH18" s="1834">
        <v>5036</v>
      </c>
      <c r="CI18" s="1834">
        <f t="shared" si="27"/>
        <v>13802</v>
      </c>
      <c r="CJ18" s="1823">
        <v>8716</v>
      </c>
      <c r="CK18" s="1823">
        <v>5030</v>
      </c>
      <c r="CL18" s="1830">
        <v>9199</v>
      </c>
      <c r="CM18" s="1830">
        <v>5580</v>
      </c>
      <c r="CN18" s="1830">
        <f t="shared" si="28"/>
        <v>14779</v>
      </c>
      <c r="CO18" s="1823">
        <v>10319</v>
      </c>
      <c r="CP18" s="1823">
        <v>6118</v>
      </c>
      <c r="CQ18" s="1823">
        <f t="shared" si="29"/>
        <v>16437</v>
      </c>
      <c r="CR18" s="1831">
        <v>9668</v>
      </c>
      <c r="CS18" s="1832">
        <v>5901</v>
      </c>
      <c r="CT18" s="1832">
        <f t="shared" si="30"/>
        <v>15569</v>
      </c>
      <c r="CU18" s="1823">
        <v>10576</v>
      </c>
      <c r="CV18" s="1823">
        <v>7200</v>
      </c>
      <c r="CW18" s="1823">
        <f t="shared" si="31"/>
        <v>17776</v>
      </c>
      <c r="CX18" s="1833">
        <v>9294</v>
      </c>
      <c r="CY18" s="1834">
        <v>6320</v>
      </c>
      <c r="CZ18" s="1834">
        <f t="shared" si="32"/>
        <v>15614</v>
      </c>
      <c r="DA18" s="1834">
        <v>8697</v>
      </c>
      <c r="DB18" s="1834">
        <v>6239</v>
      </c>
      <c r="DC18" s="1834">
        <f t="shared" si="33"/>
        <v>14936</v>
      </c>
      <c r="DD18" s="1834">
        <v>9673</v>
      </c>
      <c r="DE18" s="1834">
        <v>7074</v>
      </c>
      <c r="DF18" s="1834">
        <f t="shared" si="34"/>
        <v>16747</v>
      </c>
      <c r="DG18" s="1834">
        <v>9524</v>
      </c>
      <c r="DH18" s="1834">
        <v>6997</v>
      </c>
      <c r="DI18" s="1834">
        <f t="shared" si="35"/>
        <v>16521</v>
      </c>
      <c r="DJ18" s="1823">
        <v>9831</v>
      </c>
      <c r="DK18" s="1823">
        <v>7703</v>
      </c>
      <c r="DL18" s="1823">
        <f t="shared" si="36"/>
        <v>17534</v>
      </c>
      <c r="DM18" s="1823">
        <v>10115</v>
      </c>
      <c r="DN18" s="1823">
        <v>7948</v>
      </c>
      <c r="DO18" s="1823">
        <f t="shared" si="37"/>
        <v>18063</v>
      </c>
      <c r="DP18" s="1823">
        <v>10208</v>
      </c>
      <c r="DQ18" s="1823">
        <v>7970</v>
      </c>
      <c r="DR18" s="1823">
        <f t="shared" si="38"/>
        <v>18178</v>
      </c>
      <c r="DS18" s="1833">
        <v>10693</v>
      </c>
      <c r="DT18" s="1834">
        <v>8152</v>
      </c>
      <c r="DU18" s="1834">
        <f t="shared" si="39"/>
        <v>18845</v>
      </c>
      <c r="DV18" s="1830">
        <v>9528</v>
      </c>
      <c r="DW18" s="1830">
        <v>6966</v>
      </c>
      <c r="DX18" s="1830">
        <f t="shared" si="40"/>
        <v>16494</v>
      </c>
      <c r="DY18" s="1823">
        <v>9794</v>
      </c>
      <c r="DZ18" s="1823">
        <v>7359</v>
      </c>
      <c r="EA18" s="1823">
        <f t="shared" si="41"/>
        <v>17153</v>
      </c>
      <c r="EB18" s="1831">
        <v>10028</v>
      </c>
      <c r="EC18" s="1832">
        <v>7522</v>
      </c>
      <c r="ED18" s="1832">
        <f t="shared" si="42"/>
        <v>17550</v>
      </c>
      <c r="EE18" s="1823">
        <v>10096</v>
      </c>
      <c r="EF18" s="1823">
        <v>7395</v>
      </c>
      <c r="EG18" s="1823">
        <f t="shared" si="43"/>
        <v>17491</v>
      </c>
      <c r="EH18" s="1833">
        <v>9866</v>
      </c>
      <c r="EI18" s="1834">
        <v>7413</v>
      </c>
      <c r="EJ18" s="1834">
        <f t="shared" si="44"/>
        <v>17279</v>
      </c>
      <c r="EK18" s="1834">
        <v>10672</v>
      </c>
      <c r="EL18" s="1834">
        <v>8146</v>
      </c>
      <c r="EM18" s="1834">
        <f t="shared" si="45"/>
        <v>18818</v>
      </c>
      <c r="EN18" s="1834">
        <v>10960</v>
      </c>
      <c r="EO18" s="1834">
        <v>8625</v>
      </c>
      <c r="EP18" s="1834">
        <f t="shared" si="46"/>
        <v>19585</v>
      </c>
      <c r="EQ18" s="1834">
        <v>11294</v>
      </c>
      <c r="ER18" s="1834">
        <v>8699</v>
      </c>
      <c r="ES18" s="1834">
        <f t="shared" si="47"/>
        <v>19993</v>
      </c>
      <c r="ET18" s="1823">
        <v>11173</v>
      </c>
      <c r="EU18" s="1823">
        <v>8537</v>
      </c>
      <c r="EV18" s="1823">
        <f t="shared" si="48"/>
        <v>19710</v>
      </c>
      <c r="EW18" s="1823">
        <v>11572</v>
      </c>
      <c r="EX18" s="1823">
        <v>8897</v>
      </c>
      <c r="EY18" s="1823">
        <f t="shared" si="49"/>
        <v>20469</v>
      </c>
      <c r="EZ18" s="1823">
        <v>11659</v>
      </c>
      <c r="FA18" s="1823">
        <v>8996</v>
      </c>
      <c r="FB18" s="1823">
        <f t="shared" si="50"/>
        <v>20655</v>
      </c>
      <c r="FC18" s="1833">
        <v>12457</v>
      </c>
      <c r="FD18" s="1834">
        <v>9219</v>
      </c>
      <c r="FE18" s="1834">
        <f t="shared" si="51"/>
        <v>21676</v>
      </c>
      <c r="FF18" s="1830">
        <v>11900</v>
      </c>
      <c r="FG18" s="1830">
        <v>8446</v>
      </c>
      <c r="FH18" s="1830">
        <f t="shared" si="52"/>
        <v>20346</v>
      </c>
      <c r="FI18" s="1823">
        <v>12026</v>
      </c>
      <c r="FJ18" s="1823">
        <v>8465</v>
      </c>
      <c r="FK18" s="1823">
        <f t="shared" si="53"/>
        <v>20491</v>
      </c>
      <c r="FL18" s="1831">
        <v>12069</v>
      </c>
      <c r="FM18" s="1832">
        <v>8700</v>
      </c>
      <c r="FN18" s="1832">
        <f t="shared" si="54"/>
        <v>20769</v>
      </c>
      <c r="FO18" s="1823">
        <v>12101</v>
      </c>
      <c r="FP18" s="1823">
        <v>8678</v>
      </c>
      <c r="FQ18" s="1823">
        <f t="shared" si="55"/>
        <v>20779</v>
      </c>
      <c r="FR18" s="1835">
        <v>12132</v>
      </c>
      <c r="FS18" s="1834">
        <v>8952</v>
      </c>
      <c r="FT18" s="1834">
        <f t="shared" si="56"/>
        <v>21084</v>
      </c>
      <c r="FU18" s="1834">
        <v>11829</v>
      </c>
      <c r="FV18" s="1834">
        <v>8635</v>
      </c>
      <c r="FW18" s="1834">
        <f t="shared" si="57"/>
        <v>20464</v>
      </c>
      <c r="FX18" s="1834">
        <v>11282</v>
      </c>
      <c r="FY18" s="1834">
        <v>8177</v>
      </c>
      <c r="FZ18" s="1834">
        <f t="shared" si="58"/>
        <v>19459</v>
      </c>
      <c r="GA18" s="1834">
        <v>11814</v>
      </c>
      <c r="GB18" s="1834">
        <v>8584</v>
      </c>
      <c r="GC18" s="1834">
        <f t="shared" si="59"/>
        <v>20398</v>
      </c>
      <c r="GD18" s="1823">
        <v>11337</v>
      </c>
      <c r="GE18" s="1823">
        <v>8260</v>
      </c>
      <c r="GF18" s="1823">
        <f t="shared" si="60"/>
        <v>19597</v>
      </c>
      <c r="GG18" s="1823">
        <v>11104</v>
      </c>
      <c r="GH18" s="1823">
        <v>8104</v>
      </c>
      <c r="GI18" s="1823">
        <f t="shared" si="61"/>
        <v>19208</v>
      </c>
      <c r="GJ18" s="1823">
        <v>11072</v>
      </c>
      <c r="GK18" s="1823">
        <v>8026</v>
      </c>
      <c r="GL18" s="1823">
        <f t="shared" si="62"/>
        <v>19098</v>
      </c>
      <c r="GM18" s="1833">
        <v>11040</v>
      </c>
      <c r="GN18" s="1834">
        <v>8299</v>
      </c>
      <c r="GO18" s="1834">
        <f t="shared" si="63"/>
        <v>19339</v>
      </c>
      <c r="GP18" s="1830">
        <v>11181</v>
      </c>
      <c r="GQ18" s="1830">
        <v>9014</v>
      </c>
      <c r="GR18" s="1830">
        <f t="shared" si="64"/>
        <v>20195</v>
      </c>
      <c r="GS18" s="1823">
        <v>11052</v>
      </c>
      <c r="GT18" s="1823">
        <v>7991</v>
      </c>
      <c r="GU18" s="1823">
        <f t="shared" si="65"/>
        <v>19043</v>
      </c>
      <c r="GV18" s="1831">
        <v>11321</v>
      </c>
      <c r="GW18" s="1832">
        <v>8053</v>
      </c>
      <c r="GX18" s="1832">
        <f t="shared" si="66"/>
        <v>19374</v>
      </c>
      <c r="GY18" s="1823">
        <v>11105</v>
      </c>
      <c r="GZ18" s="1823">
        <v>7956</v>
      </c>
      <c r="HA18" s="1823">
        <f t="shared" si="67"/>
        <v>19061</v>
      </c>
      <c r="HB18" s="1835">
        <v>11359</v>
      </c>
      <c r="HC18" s="1834">
        <v>8241</v>
      </c>
      <c r="HD18" s="1834">
        <f t="shared" si="68"/>
        <v>19600</v>
      </c>
      <c r="HE18" s="1834">
        <v>11117</v>
      </c>
      <c r="HF18" s="1834">
        <v>8183</v>
      </c>
      <c r="HG18" s="1834">
        <f t="shared" si="69"/>
        <v>19300</v>
      </c>
      <c r="HH18" s="1834">
        <v>11158</v>
      </c>
      <c r="HI18" s="1834">
        <v>8381</v>
      </c>
      <c r="HJ18" s="1834">
        <f t="shared" si="70"/>
        <v>19539</v>
      </c>
      <c r="HK18" s="1834">
        <v>11843</v>
      </c>
      <c r="HL18" s="1834">
        <v>8543</v>
      </c>
      <c r="HM18" s="1834">
        <f t="shared" si="71"/>
        <v>20386</v>
      </c>
      <c r="HN18" s="1823">
        <v>11805</v>
      </c>
      <c r="HO18" s="1823">
        <v>8493</v>
      </c>
      <c r="HP18" s="1823">
        <f t="shared" si="72"/>
        <v>20298</v>
      </c>
      <c r="HQ18" s="1823">
        <v>11915</v>
      </c>
      <c r="HR18" s="1823">
        <v>8691</v>
      </c>
      <c r="HS18" s="1823">
        <f t="shared" si="73"/>
        <v>20606</v>
      </c>
      <c r="HT18" s="1823">
        <v>12630</v>
      </c>
      <c r="HU18" s="1823">
        <v>9133</v>
      </c>
      <c r="HV18" s="1823">
        <f t="shared" si="74"/>
        <v>21763</v>
      </c>
      <c r="HW18" s="1836">
        <v>13097</v>
      </c>
      <c r="HX18" s="1837">
        <v>9444</v>
      </c>
      <c r="HY18" s="1834">
        <f t="shared" si="75"/>
        <v>22541</v>
      </c>
      <c r="HZ18" s="1830">
        <v>13578</v>
      </c>
      <c r="IA18" s="1830">
        <v>9944</v>
      </c>
      <c r="IB18" s="1830">
        <f t="shared" si="76"/>
        <v>23522</v>
      </c>
      <c r="IC18" s="1823">
        <v>14291</v>
      </c>
      <c r="ID18" s="1823">
        <v>10401</v>
      </c>
      <c r="IE18" s="1823">
        <f t="shared" si="77"/>
        <v>24692</v>
      </c>
      <c r="IF18" s="1831">
        <v>14535</v>
      </c>
      <c r="IG18" s="1832">
        <v>10497</v>
      </c>
      <c r="IH18" s="1832">
        <f t="shared" si="78"/>
        <v>25032</v>
      </c>
      <c r="II18" s="1815">
        <v>14754</v>
      </c>
      <c r="IJ18" s="1815">
        <v>10793</v>
      </c>
      <c r="IK18" s="1815">
        <f t="shared" si="79"/>
        <v>25547</v>
      </c>
      <c r="IL18" s="1815">
        <v>28025</v>
      </c>
    </row>
    <row r="19" spans="1:246">
      <c r="A19" s="1900" t="s">
        <v>1754</v>
      </c>
      <c r="B19" s="1815">
        <v>6829</v>
      </c>
      <c r="C19" s="1815">
        <v>5844</v>
      </c>
      <c r="D19" s="1823">
        <f t="shared" si="0"/>
        <v>12673</v>
      </c>
      <c r="E19" s="1824">
        <v>6917</v>
      </c>
      <c r="F19" s="1824">
        <v>7097</v>
      </c>
      <c r="G19" s="1824">
        <f t="shared" si="1"/>
        <v>14014</v>
      </c>
      <c r="H19" s="1824">
        <v>6905</v>
      </c>
      <c r="I19" s="1824">
        <v>6529</v>
      </c>
      <c r="J19" s="1824">
        <f t="shared" si="2"/>
        <v>13434</v>
      </c>
      <c r="K19" s="1825">
        <v>6889</v>
      </c>
      <c r="L19" s="1825">
        <v>7001</v>
      </c>
      <c r="M19" s="1825">
        <f t="shared" si="3"/>
        <v>13890</v>
      </c>
      <c r="N19" s="1826">
        <v>6856</v>
      </c>
      <c r="O19" s="1826">
        <v>8346</v>
      </c>
      <c r="P19" s="1827">
        <f t="shared" si="4"/>
        <v>15202</v>
      </c>
      <c r="Q19" s="1823">
        <v>6831</v>
      </c>
      <c r="R19" s="1823">
        <v>8615</v>
      </c>
      <c r="S19" s="1823">
        <f t="shared" si="5"/>
        <v>15446</v>
      </c>
      <c r="T19" s="1823">
        <v>6865</v>
      </c>
      <c r="U19" s="1823">
        <v>8645</v>
      </c>
      <c r="V19" s="1823">
        <f t="shared" si="6"/>
        <v>15510</v>
      </c>
      <c r="W19" s="1825">
        <v>7011</v>
      </c>
      <c r="X19" s="1825">
        <v>8705</v>
      </c>
      <c r="Y19" s="1825">
        <f t="shared" si="7"/>
        <v>15716</v>
      </c>
      <c r="Z19" s="1825">
        <v>7022</v>
      </c>
      <c r="AA19" s="1825">
        <v>8803</v>
      </c>
      <c r="AB19" s="1825">
        <f t="shared" si="8"/>
        <v>15825</v>
      </c>
      <c r="AC19" s="1828">
        <v>6833</v>
      </c>
      <c r="AD19" s="1828">
        <v>8901</v>
      </c>
      <c r="AE19" s="1828">
        <f t="shared" si="9"/>
        <v>15734</v>
      </c>
      <c r="AF19" s="1830">
        <v>6848</v>
      </c>
      <c r="AG19" s="1830">
        <v>9034</v>
      </c>
      <c r="AH19" s="1830">
        <f t="shared" si="10"/>
        <v>15882</v>
      </c>
      <c r="AI19" s="1830">
        <v>6872</v>
      </c>
      <c r="AJ19" s="1830">
        <v>9066</v>
      </c>
      <c r="AK19" s="1830">
        <f t="shared" si="11"/>
        <v>15938</v>
      </c>
      <c r="AL19" s="1823">
        <v>6872</v>
      </c>
      <c r="AM19" s="1823">
        <v>9154</v>
      </c>
      <c r="AN19" s="1823">
        <f t="shared" si="12"/>
        <v>16026</v>
      </c>
      <c r="AO19" s="1830">
        <v>6926</v>
      </c>
      <c r="AP19" s="1830">
        <v>9224</v>
      </c>
      <c r="AQ19" s="1830">
        <f t="shared" si="13"/>
        <v>16150</v>
      </c>
      <c r="AR19" s="1830">
        <v>7012</v>
      </c>
      <c r="AS19" s="1830">
        <v>9320</v>
      </c>
      <c r="AT19" s="1830">
        <f t="shared" si="14"/>
        <v>16332</v>
      </c>
      <c r="AU19" s="1830">
        <v>7035</v>
      </c>
      <c r="AV19" s="1830">
        <v>9427</v>
      </c>
      <c r="AW19" s="1830">
        <f t="shared" si="15"/>
        <v>16462</v>
      </c>
      <c r="AX19" s="1830">
        <v>7041</v>
      </c>
      <c r="AY19" s="1830">
        <v>9519</v>
      </c>
      <c r="AZ19" s="1830">
        <f t="shared" si="16"/>
        <v>16560</v>
      </c>
      <c r="BA19" s="1823">
        <v>7054</v>
      </c>
      <c r="BB19" s="1823">
        <v>9629</v>
      </c>
      <c r="BC19" s="1823">
        <f t="shared" si="17"/>
        <v>16683</v>
      </c>
      <c r="BD19" s="1831">
        <v>7063</v>
      </c>
      <c r="BE19" s="1832">
        <v>9777</v>
      </c>
      <c r="BF19" s="1832">
        <f t="shared" si="18"/>
        <v>16840</v>
      </c>
      <c r="BG19" s="1823">
        <v>7087</v>
      </c>
      <c r="BH19" s="1823">
        <v>9869</v>
      </c>
      <c r="BI19" s="1823">
        <f t="shared" si="19"/>
        <v>16956</v>
      </c>
      <c r="BJ19" s="1833">
        <v>7105</v>
      </c>
      <c r="BK19" s="1834">
        <v>9927</v>
      </c>
      <c r="BL19" s="1834">
        <f t="shared" si="20"/>
        <v>17032</v>
      </c>
      <c r="BM19" s="1834">
        <v>7145</v>
      </c>
      <c r="BN19" s="1834">
        <v>10112</v>
      </c>
      <c r="BO19" s="1834">
        <f t="shared" si="21"/>
        <v>17257</v>
      </c>
      <c r="BP19" s="1834">
        <v>7172</v>
      </c>
      <c r="BQ19" s="1834">
        <v>10216</v>
      </c>
      <c r="BR19" s="1834">
        <f t="shared" si="22"/>
        <v>17388</v>
      </c>
      <c r="BS19" s="1834">
        <v>7200</v>
      </c>
      <c r="BT19" s="1834">
        <v>10257</v>
      </c>
      <c r="BU19" s="1834">
        <f t="shared" si="23"/>
        <v>17457</v>
      </c>
      <c r="BV19" s="1823">
        <v>7220</v>
      </c>
      <c r="BW19" s="1823">
        <v>10391</v>
      </c>
      <c r="BX19" s="1823">
        <f t="shared" si="24"/>
        <v>17611</v>
      </c>
      <c r="BY19" s="1823">
        <v>7205</v>
      </c>
      <c r="BZ19" s="1823">
        <v>10262</v>
      </c>
      <c r="CA19" s="1823">
        <v>7238</v>
      </c>
      <c r="CB19" s="1823">
        <v>10363</v>
      </c>
      <c r="CC19" s="1823">
        <f t="shared" si="25"/>
        <v>17601</v>
      </c>
      <c r="CD19" s="1823">
        <v>7268</v>
      </c>
      <c r="CE19" s="1823">
        <v>10371</v>
      </c>
      <c r="CF19" s="1823">
        <f t="shared" si="26"/>
        <v>17639</v>
      </c>
      <c r="CG19" s="1833">
        <v>7270</v>
      </c>
      <c r="CH19" s="1834">
        <v>10400</v>
      </c>
      <c r="CI19" s="1834">
        <f t="shared" si="27"/>
        <v>17670</v>
      </c>
      <c r="CJ19" s="1823">
        <v>7270</v>
      </c>
      <c r="CK19" s="1823">
        <v>10400</v>
      </c>
      <c r="CL19" s="1830">
        <v>7248</v>
      </c>
      <c r="CM19" s="1830">
        <v>10435</v>
      </c>
      <c r="CN19" s="1830">
        <f t="shared" si="28"/>
        <v>17683</v>
      </c>
      <c r="CO19" s="1823">
        <v>7263</v>
      </c>
      <c r="CP19" s="1823">
        <v>10470</v>
      </c>
      <c r="CQ19" s="1823">
        <f t="shared" si="29"/>
        <v>17733</v>
      </c>
      <c r="CR19" s="1831">
        <v>7265</v>
      </c>
      <c r="CS19" s="1832">
        <v>10527</v>
      </c>
      <c r="CT19" s="1832">
        <f t="shared" si="30"/>
        <v>17792</v>
      </c>
      <c r="CU19" s="1823">
        <v>7283</v>
      </c>
      <c r="CV19" s="1823">
        <v>10593</v>
      </c>
      <c r="CW19" s="1823">
        <f t="shared" si="31"/>
        <v>17876</v>
      </c>
      <c r="CX19" s="1833">
        <v>7271</v>
      </c>
      <c r="CY19" s="1834">
        <v>10636</v>
      </c>
      <c r="CZ19" s="1834">
        <f t="shared" si="32"/>
        <v>17907</v>
      </c>
      <c r="DA19" s="1834">
        <v>7300</v>
      </c>
      <c r="DB19" s="1834">
        <v>10673</v>
      </c>
      <c r="DC19" s="1834">
        <f t="shared" si="33"/>
        <v>17973</v>
      </c>
      <c r="DD19" s="1834">
        <v>7366</v>
      </c>
      <c r="DE19" s="1834">
        <v>10731</v>
      </c>
      <c r="DF19" s="1834">
        <f t="shared" si="34"/>
        <v>18097</v>
      </c>
      <c r="DG19" s="1834">
        <v>7357</v>
      </c>
      <c r="DH19" s="1834">
        <v>10765</v>
      </c>
      <c r="DI19" s="1834">
        <f t="shared" si="35"/>
        <v>18122</v>
      </c>
      <c r="DJ19" s="1823">
        <v>7384</v>
      </c>
      <c r="DK19" s="1823">
        <v>10886</v>
      </c>
      <c r="DL19" s="1823">
        <f t="shared" si="36"/>
        <v>18270</v>
      </c>
      <c r="DM19" s="1823">
        <v>7435</v>
      </c>
      <c r="DN19" s="1823">
        <v>10940</v>
      </c>
      <c r="DO19" s="1823">
        <f t="shared" si="37"/>
        <v>18375</v>
      </c>
      <c r="DP19" s="1823">
        <v>7526</v>
      </c>
      <c r="DQ19" s="1823">
        <v>11010</v>
      </c>
      <c r="DR19" s="1823">
        <f t="shared" si="38"/>
        <v>18536</v>
      </c>
      <c r="DS19" s="1833">
        <v>7573</v>
      </c>
      <c r="DT19" s="1834">
        <v>11093</v>
      </c>
      <c r="DU19" s="1834">
        <f t="shared" si="39"/>
        <v>18666</v>
      </c>
      <c r="DV19" s="1830">
        <v>7525</v>
      </c>
      <c r="DW19" s="1830">
        <v>11100</v>
      </c>
      <c r="DX19" s="1830">
        <f t="shared" si="40"/>
        <v>18625</v>
      </c>
      <c r="DY19" s="1823">
        <v>7531</v>
      </c>
      <c r="DZ19" s="1823">
        <v>11270</v>
      </c>
      <c r="EA19" s="1823">
        <f t="shared" si="41"/>
        <v>18801</v>
      </c>
      <c r="EB19" s="1831">
        <v>7541</v>
      </c>
      <c r="EC19" s="1832">
        <v>11283</v>
      </c>
      <c r="ED19" s="1832">
        <f t="shared" si="42"/>
        <v>18824</v>
      </c>
      <c r="EE19" s="1823">
        <v>7553</v>
      </c>
      <c r="EF19" s="1823">
        <v>11320</v>
      </c>
      <c r="EG19" s="1823">
        <f t="shared" si="43"/>
        <v>18873</v>
      </c>
      <c r="EH19" s="1833">
        <v>7537</v>
      </c>
      <c r="EI19" s="1834">
        <v>11337</v>
      </c>
      <c r="EJ19" s="1834">
        <f t="shared" si="44"/>
        <v>18874</v>
      </c>
      <c r="EK19" s="1834">
        <v>7533</v>
      </c>
      <c r="EL19" s="1834">
        <v>13755</v>
      </c>
      <c r="EM19" s="1834">
        <f t="shared" si="45"/>
        <v>21288</v>
      </c>
      <c r="EN19" s="1834">
        <v>7530</v>
      </c>
      <c r="EO19" s="1834">
        <v>11334</v>
      </c>
      <c r="EP19" s="1834">
        <f t="shared" si="46"/>
        <v>18864</v>
      </c>
      <c r="EQ19" s="1834">
        <v>7622</v>
      </c>
      <c r="ER19" s="1834">
        <v>11469</v>
      </c>
      <c r="ES19" s="1834">
        <f t="shared" si="47"/>
        <v>19091</v>
      </c>
      <c r="ET19" s="1823">
        <v>7613</v>
      </c>
      <c r="EU19" s="1823">
        <v>11529</v>
      </c>
      <c r="EV19" s="1823">
        <f t="shared" si="48"/>
        <v>19142</v>
      </c>
      <c r="EW19" s="1823">
        <v>7628</v>
      </c>
      <c r="EX19" s="1823">
        <v>11520</v>
      </c>
      <c r="EY19" s="1823">
        <f t="shared" si="49"/>
        <v>19148</v>
      </c>
      <c r="EZ19" s="1823">
        <v>7699</v>
      </c>
      <c r="FA19" s="1823">
        <v>11506</v>
      </c>
      <c r="FB19" s="1823">
        <f t="shared" si="50"/>
        <v>19205</v>
      </c>
      <c r="FC19" s="1833">
        <v>7780</v>
      </c>
      <c r="FD19" s="1834">
        <v>11710</v>
      </c>
      <c r="FE19" s="1834">
        <f t="shared" si="51"/>
        <v>19490</v>
      </c>
      <c r="FF19" s="1830">
        <v>7756</v>
      </c>
      <c r="FG19" s="1830">
        <v>11635</v>
      </c>
      <c r="FH19" s="1830">
        <f t="shared" si="52"/>
        <v>19391</v>
      </c>
      <c r="FI19" s="1823">
        <v>7757</v>
      </c>
      <c r="FJ19" s="1823">
        <v>11623</v>
      </c>
      <c r="FK19" s="1823">
        <f t="shared" si="53"/>
        <v>19380</v>
      </c>
      <c r="FL19" s="1831">
        <v>7786</v>
      </c>
      <c r="FM19" s="1832">
        <v>11630</v>
      </c>
      <c r="FN19" s="1832">
        <f t="shared" si="54"/>
        <v>19416</v>
      </c>
      <c r="FO19" s="1823">
        <v>7818</v>
      </c>
      <c r="FP19" s="1823">
        <v>11757</v>
      </c>
      <c r="FQ19" s="1823">
        <f t="shared" si="55"/>
        <v>19575</v>
      </c>
      <c r="FR19" s="1835">
        <v>7848</v>
      </c>
      <c r="FS19" s="1834">
        <v>11715</v>
      </c>
      <c r="FT19" s="1834">
        <f t="shared" si="56"/>
        <v>19563</v>
      </c>
      <c r="FU19" s="1834">
        <v>7844</v>
      </c>
      <c r="FV19" s="1834">
        <v>11711</v>
      </c>
      <c r="FW19" s="1834">
        <f t="shared" si="57"/>
        <v>19555</v>
      </c>
      <c r="FX19" s="1834">
        <v>7805</v>
      </c>
      <c r="FY19" s="1834">
        <v>11695</v>
      </c>
      <c r="FZ19" s="1834">
        <f t="shared" si="58"/>
        <v>19500</v>
      </c>
      <c r="GA19" s="1834">
        <v>7953</v>
      </c>
      <c r="GB19" s="1834">
        <v>11806</v>
      </c>
      <c r="GC19" s="1834">
        <f t="shared" si="59"/>
        <v>19759</v>
      </c>
      <c r="GD19" s="1823">
        <v>7866</v>
      </c>
      <c r="GE19" s="1823">
        <v>11625</v>
      </c>
      <c r="GF19" s="1823">
        <f t="shared" si="60"/>
        <v>19491</v>
      </c>
      <c r="GG19" s="1823">
        <v>7802</v>
      </c>
      <c r="GH19" s="1823">
        <v>11603</v>
      </c>
      <c r="GI19" s="1823">
        <f t="shared" si="61"/>
        <v>19405</v>
      </c>
      <c r="GJ19" s="1823">
        <v>7845</v>
      </c>
      <c r="GK19" s="1823">
        <v>11644</v>
      </c>
      <c r="GL19" s="1823">
        <f t="shared" si="62"/>
        <v>19489</v>
      </c>
      <c r="GM19" s="1833">
        <v>7933</v>
      </c>
      <c r="GN19" s="1834">
        <v>11687</v>
      </c>
      <c r="GO19" s="1834">
        <f t="shared" si="63"/>
        <v>19620</v>
      </c>
      <c r="GP19" s="1830">
        <v>7949</v>
      </c>
      <c r="GQ19" s="1830">
        <v>11711</v>
      </c>
      <c r="GR19" s="1830">
        <f t="shared" si="64"/>
        <v>19660</v>
      </c>
      <c r="GS19" s="1823">
        <v>7948</v>
      </c>
      <c r="GT19" s="1823">
        <v>11621</v>
      </c>
      <c r="GU19" s="1823">
        <f t="shared" si="65"/>
        <v>19569</v>
      </c>
      <c r="GV19" s="1831">
        <v>7965</v>
      </c>
      <c r="GW19" s="1832">
        <v>11643</v>
      </c>
      <c r="GX19" s="1832">
        <f t="shared" si="66"/>
        <v>19608</v>
      </c>
      <c r="GY19" s="1823">
        <v>7981</v>
      </c>
      <c r="GZ19" s="1823">
        <v>11727</v>
      </c>
      <c r="HA19" s="1823">
        <f t="shared" si="67"/>
        <v>19708</v>
      </c>
      <c r="HB19" s="1835">
        <v>7992</v>
      </c>
      <c r="HC19" s="1834">
        <v>11926</v>
      </c>
      <c r="HD19" s="1834">
        <f t="shared" si="68"/>
        <v>19918</v>
      </c>
      <c r="HE19" s="1834">
        <v>8029</v>
      </c>
      <c r="HF19" s="1834">
        <v>11698</v>
      </c>
      <c r="HG19" s="1834">
        <f t="shared" si="69"/>
        <v>19727</v>
      </c>
      <c r="HH19" s="1834">
        <v>8005</v>
      </c>
      <c r="HI19" s="1834">
        <v>11839</v>
      </c>
      <c r="HJ19" s="1834">
        <f t="shared" si="70"/>
        <v>19844</v>
      </c>
      <c r="HK19" s="1834">
        <v>8091</v>
      </c>
      <c r="HL19" s="1834">
        <v>11680</v>
      </c>
      <c r="HM19" s="1834">
        <f t="shared" si="71"/>
        <v>19771</v>
      </c>
      <c r="HN19" s="1823">
        <v>8078</v>
      </c>
      <c r="HO19" s="1823">
        <v>11742</v>
      </c>
      <c r="HP19" s="1823">
        <f t="shared" si="72"/>
        <v>19820</v>
      </c>
      <c r="HQ19" s="1823">
        <v>8080</v>
      </c>
      <c r="HR19" s="1823">
        <v>11706</v>
      </c>
      <c r="HS19" s="1823">
        <f t="shared" si="73"/>
        <v>19786</v>
      </c>
      <c r="HT19" s="1823">
        <v>8195</v>
      </c>
      <c r="HU19" s="1823">
        <v>11803</v>
      </c>
      <c r="HV19" s="1823">
        <f t="shared" si="74"/>
        <v>19998</v>
      </c>
      <c r="HW19" s="1836">
        <v>8248</v>
      </c>
      <c r="HX19" s="1837">
        <v>11793</v>
      </c>
      <c r="HY19" s="1834">
        <f t="shared" si="75"/>
        <v>20041</v>
      </c>
      <c r="HZ19" s="1830">
        <v>8284</v>
      </c>
      <c r="IA19" s="1830">
        <v>11906</v>
      </c>
      <c r="IB19" s="1830">
        <f t="shared" si="76"/>
        <v>20190</v>
      </c>
      <c r="IC19" s="1823">
        <v>8336</v>
      </c>
      <c r="ID19" s="1823">
        <v>11968</v>
      </c>
      <c r="IE19" s="1823">
        <f t="shared" si="77"/>
        <v>20304</v>
      </c>
      <c r="IF19" s="1831">
        <v>8411</v>
      </c>
      <c r="IG19" s="1832">
        <v>11896</v>
      </c>
      <c r="IH19" s="1832">
        <f t="shared" si="78"/>
        <v>20307</v>
      </c>
      <c r="II19" s="1815">
        <v>8473</v>
      </c>
      <c r="IJ19" s="1815">
        <v>11897</v>
      </c>
      <c r="IK19" s="1815">
        <f t="shared" si="79"/>
        <v>20370</v>
      </c>
      <c r="IL19" s="1815">
        <v>24296</v>
      </c>
    </row>
    <row r="20" spans="1:246">
      <c r="A20" s="1900" t="s">
        <v>1601</v>
      </c>
      <c r="B20" s="1815">
        <v>8743</v>
      </c>
      <c r="C20" s="1815">
        <v>4859</v>
      </c>
      <c r="D20" s="1823">
        <f t="shared" si="0"/>
        <v>13602</v>
      </c>
      <c r="E20" s="1824">
        <v>9150</v>
      </c>
      <c r="F20" s="1824">
        <v>5502</v>
      </c>
      <c r="G20" s="1824">
        <f t="shared" si="1"/>
        <v>14652</v>
      </c>
      <c r="H20" s="1824">
        <v>9315</v>
      </c>
      <c r="I20" s="1824">
        <v>7010</v>
      </c>
      <c r="J20" s="1824">
        <f t="shared" si="2"/>
        <v>16325</v>
      </c>
      <c r="K20" s="1825">
        <v>9214</v>
      </c>
      <c r="L20" s="1825">
        <v>7217</v>
      </c>
      <c r="M20" s="1825">
        <f t="shared" si="3"/>
        <v>16431</v>
      </c>
      <c r="N20" s="1827">
        <v>9635</v>
      </c>
      <c r="O20" s="1827">
        <v>7964</v>
      </c>
      <c r="P20" s="1827">
        <f t="shared" si="4"/>
        <v>17599</v>
      </c>
      <c r="Q20" s="1823">
        <v>9323</v>
      </c>
      <c r="R20" s="1823">
        <v>8290</v>
      </c>
      <c r="S20" s="1823">
        <f t="shared" si="5"/>
        <v>17613</v>
      </c>
      <c r="T20" s="1823">
        <v>9646</v>
      </c>
      <c r="U20" s="1823">
        <v>8474</v>
      </c>
      <c r="V20" s="1823">
        <f t="shared" si="6"/>
        <v>18120</v>
      </c>
      <c r="W20" s="1825">
        <v>10175</v>
      </c>
      <c r="X20" s="1825">
        <v>8985</v>
      </c>
      <c r="Y20" s="1825">
        <f t="shared" si="7"/>
        <v>19160</v>
      </c>
      <c r="Z20" s="1825">
        <v>9937</v>
      </c>
      <c r="AA20" s="1825">
        <v>9111</v>
      </c>
      <c r="AB20" s="1825">
        <f t="shared" si="8"/>
        <v>19048</v>
      </c>
      <c r="AC20" s="1828">
        <v>10226</v>
      </c>
      <c r="AD20" s="1828">
        <v>9392</v>
      </c>
      <c r="AE20" s="1828">
        <f t="shared" si="9"/>
        <v>19618</v>
      </c>
      <c r="AF20" s="1829">
        <v>9891</v>
      </c>
      <c r="AG20" s="1829">
        <v>9239</v>
      </c>
      <c r="AH20" s="1830">
        <f t="shared" si="10"/>
        <v>19130</v>
      </c>
      <c r="AI20" s="1829">
        <v>10242</v>
      </c>
      <c r="AJ20" s="1829">
        <v>9679</v>
      </c>
      <c r="AK20" s="1830">
        <f t="shared" si="11"/>
        <v>19921</v>
      </c>
      <c r="AL20" s="1823">
        <v>10278</v>
      </c>
      <c r="AM20" s="1823">
        <v>9796</v>
      </c>
      <c r="AN20" s="1823">
        <f t="shared" si="12"/>
        <v>20074</v>
      </c>
      <c r="AO20" s="1829">
        <v>9519</v>
      </c>
      <c r="AP20" s="1829">
        <v>8967</v>
      </c>
      <c r="AQ20" s="1830">
        <f t="shared" si="13"/>
        <v>18486</v>
      </c>
      <c r="AR20" s="1829">
        <v>9192</v>
      </c>
      <c r="AS20" s="1829">
        <v>8613</v>
      </c>
      <c r="AT20" s="1830">
        <f t="shared" si="14"/>
        <v>17805</v>
      </c>
      <c r="AU20" s="1829">
        <v>8482</v>
      </c>
      <c r="AV20" s="1829">
        <v>8146</v>
      </c>
      <c r="AW20" s="1830">
        <f t="shared" si="15"/>
        <v>16628</v>
      </c>
      <c r="AX20" s="1829">
        <v>8306</v>
      </c>
      <c r="AY20" s="1829">
        <v>7836</v>
      </c>
      <c r="AZ20" s="1830">
        <f t="shared" si="16"/>
        <v>16142</v>
      </c>
      <c r="BA20" s="1823">
        <v>8173</v>
      </c>
      <c r="BB20" s="1823">
        <v>7809</v>
      </c>
      <c r="BC20" s="1823">
        <f t="shared" si="17"/>
        <v>15982</v>
      </c>
      <c r="BD20" s="1838">
        <v>8906</v>
      </c>
      <c r="BE20" s="1839">
        <v>8838</v>
      </c>
      <c r="BF20" s="1832">
        <f t="shared" si="18"/>
        <v>17744</v>
      </c>
      <c r="BG20" s="1823">
        <v>8231</v>
      </c>
      <c r="BH20" s="1823">
        <v>8049</v>
      </c>
      <c r="BI20" s="1823">
        <f t="shared" si="19"/>
        <v>16280</v>
      </c>
      <c r="BJ20" s="1833">
        <v>8298</v>
      </c>
      <c r="BK20" s="1834">
        <v>8162</v>
      </c>
      <c r="BL20" s="1834">
        <f t="shared" si="20"/>
        <v>16460</v>
      </c>
      <c r="BM20" s="1834">
        <v>8336</v>
      </c>
      <c r="BN20" s="1834">
        <v>8203</v>
      </c>
      <c r="BO20" s="1834">
        <f t="shared" si="21"/>
        <v>16539</v>
      </c>
      <c r="BP20" s="1834">
        <v>8350</v>
      </c>
      <c r="BQ20" s="1834">
        <v>8349</v>
      </c>
      <c r="BR20" s="1834">
        <f t="shared" si="22"/>
        <v>16699</v>
      </c>
      <c r="BS20" s="1834">
        <v>8751</v>
      </c>
      <c r="BT20" s="1834">
        <v>8737</v>
      </c>
      <c r="BU20" s="1834">
        <f t="shared" si="23"/>
        <v>17488</v>
      </c>
      <c r="BV20" s="1823">
        <v>8789</v>
      </c>
      <c r="BW20" s="1823">
        <v>8802</v>
      </c>
      <c r="BX20" s="1823">
        <f t="shared" si="24"/>
        <v>17591</v>
      </c>
      <c r="BY20" s="1823">
        <v>8755</v>
      </c>
      <c r="BZ20" s="1823">
        <v>8771</v>
      </c>
      <c r="CA20" s="1823">
        <v>8762</v>
      </c>
      <c r="CB20" s="1823">
        <v>8914</v>
      </c>
      <c r="CC20" s="1823">
        <f t="shared" si="25"/>
        <v>17676</v>
      </c>
      <c r="CD20" s="1823">
        <v>8595</v>
      </c>
      <c r="CE20" s="1823">
        <v>8738</v>
      </c>
      <c r="CF20" s="1823">
        <f t="shared" si="26"/>
        <v>17333</v>
      </c>
      <c r="CG20" s="1833">
        <v>8398</v>
      </c>
      <c r="CH20" s="1834">
        <v>8625</v>
      </c>
      <c r="CI20" s="1834">
        <f t="shared" si="27"/>
        <v>17023</v>
      </c>
      <c r="CJ20" s="1823">
        <v>8381</v>
      </c>
      <c r="CK20" s="1823">
        <v>8611</v>
      </c>
      <c r="CL20" s="1829">
        <v>8480</v>
      </c>
      <c r="CM20" s="1829">
        <v>8753</v>
      </c>
      <c r="CN20" s="1830">
        <f t="shared" si="28"/>
        <v>17233</v>
      </c>
      <c r="CO20" s="1823">
        <v>8946</v>
      </c>
      <c r="CP20" s="1823">
        <v>9011</v>
      </c>
      <c r="CQ20" s="1823">
        <f t="shared" si="29"/>
        <v>17957</v>
      </c>
      <c r="CR20" s="1838">
        <v>8966</v>
      </c>
      <c r="CS20" s="1839">
        <v>9390</v>
      </c>
      <c r="CT20" s="1832">
        <f t="shared" si="30"/>
        <v>18356</v>
      </c>
      <c r="CU20" s="1823">
        <v>8894</v>
      </c>
      <c r="CV20" s="1823">
        <v>9356</v>
      </c>
      <c r="CW20" s="1823">
        <f t="shared" si="31"/>
        <v>18250</v>
      </c>
      <c r="CX20" s="1833">
        <v>8595</v>
      </c>
      <c r="CY20" s="1834">
        <v>9114</v>
      </c>
      <c r="CZ20" s="1834">
        <f t="shared" si="32"/>
        <v>17709</v>
      </c>
      <c r="DA20" s="1834">
        <v>8759</v>
      </c>
      <c r="DB20" s="1834">
        <v>9571</v>
      </c>
      <c r="DC20" s="1834">
        <f t="shared" si="33"/>
        <v>18330</v>
      </c>
      <c r="DD20" s="1834">
        <v>9197</v>
      </c>
      <c r="DE20" s="1834">
        <v>10053</v>
      </c>
      <c r="DF20" s="1834">
        <f t="shared" si="34"/>
        <v>19250</v>
      </c>
      <c r="DG20" s="1834">
        <v>8595</v>
      </c>
      <c r="DH20" s="1834">
        <v>9378</v>
      </c>
      <c r="DI20" s="1834">
        <f t="shared" si="35"/>
        <v>17973</v>
      </c>
      <c r="DJ20" s="1823">
        <v>8504</v>
      </c>
      <c r="DK20" s="1823">
        <v>9438</v>
      </c>
      <c r="DL20" s="1823">
        <f t="shared" si="36"/>
        <v>17942</v>
      </c>
      <c r="DM20" s="1823">
        <v>8728</v>
      </c>
      <c r="DN20" s="1823">
        <v>9564</v>
      </c>
      <c r="DO20" s="1823">
        <f t="shared" si="37"/>
        <v>18292</v>
      </c>
      <c r="DP20" s="1823">
        <v>8588</v>
      </c>
      <c r="DQ20" s="1823">
        <v>9638</v>
      </c>
      <c r="DR20" s="1823">
        <f t="shared" si="38"/>
        <v>18226</v>
      </c>
      <c r="DS20" s="1833">
        <v>8466</v>
      </c>
      <c r="DT20" s="1834">
        <v>9715</v>
      </c>
      <c r="DU20" s="1834">
        <f t="shared" si="39"/>
        <v>18181</v>
      </c>
      <c r="DV20" s="1829">
        <v>8202</v>
      </c>
      <c r="DW20" s="1829">
        <v>9473</v>
      </c>
      <c r="DX20" s="1830">
        <f t="shared" si="40"/>
        <v>17675</v>
      </c>
      <c r="DY20" s="1823">
        <v>8709</v>
      </c>
      <c r="DZ20" s="1823">
        <v>10448</v>
      </c>
      <c r="EA20" s="1823">
        <f t="shared" si="41"/>
        <v>19157</v>
      </c>
      <c r="EB20" s="1838">
        <v>9183</v>
      </c>
      <c r="EC20" s="1839">
        <v>10995</v>
      </c>
      <c r="ED20" s="1832">
        <f t="shared" si="42"/>
        <v>20178</v>
      </c>
      <c r="EE20" s="1823">
        <v>8702</v>
      </c>
      <c r="EF20" s="1823">
        <v>10497</v>
      </c>
      <c r="EG20" s="1823">
        <f t="shared" si="43"/>
        <v>19199</v>
      </c>
      <c r="EH20" s="1833">
        <v>7932</v>
      </c>
      <c r="EI20" s="1834">
        <v>9444</v>
      </c>
      <c r="EJ20" s="1834">
        <f t="shared" si="44"/>
        <v>17376</v>
      </c>
      <c r="EK20" s="1834">
        <v>8084</v>
      </c>
      <c r="EL20" s="1834">
        <v>9626</v>
      </c>
      <c r="EM20" s="1834">
        <f t="shared" si="45"/>
        <v>17710</v>
      </c>
      <c r="EN20" s="1834">
        <v>7913</v>
      </c>
      <c r="EO20" s="1834">
        <v>9485</v>
      </c>
      <c r="EP20" s="1834">
        <f t="shared" si="46"/>
        <v>17398</v>
      </c>
      <c r="EQ20" s="1834">
        <v>7880</v>
      </c>
      <c r="ER20" s="1834">
        <v>9525</v>
      </c>
      <c r="ES20" s="1834">
        <f t="shared" si="47"/>
        <v>17405</v>
      </c>
      <c r="ET20" s="1823">
        <v>8151</v>
      </c>
      <c r="EU20" s="1823">
        <v>10105</v>
      </c>
      <c r="EV20" s="1823">
        <f t="shared" si="48"/>
        <v>18256</v>
      </c>
      <c r="EW20" s="1823">
        <v>7817</v>
      </c>
      <c r="EX20" s="1823">
        <v>9437</v>
      </c>
      <c r="EY20" s="1823">
        <f t="shared" si="49"/>
        <v>17254</v>
      </c>
      <c r="EZ20" s="1823">
        <v>7595</v>
      </c>
      <c r="FA20" s="1823">
        <v>9233</v>
      </c>
      <c r="FB20" s="1823">
        <f t="shared" si="50"/>
        <v>16828</v>
      </c>
      <c r="FC20" s="1833">
        <v>7517</v>
      </c>
      <c r="FD20" s="1834">
        <v>9176</v>
      </c>
      <c r="FE20" s="1834">
        <f t="shared" si="51"/>
        <v>16693</v>
      </c>
      <c r="FF20" s="1829">
        <v>7363</v>
      </c>
      <c r="FG20" s="1829">
        <v>9012</v>
      </c>
      <c r="FH20" s="1830">
        <f t="shared" si="52"/>
        <v>16375</v>
      </c>
      <c r="FI20" s="1823">
        <v>7543</v>
      </c>
      <c r="FJ20" s="1823">
        <v>9327</v>
      </c>
      <c r="FK20" s="1823">
        <f t="shared" si="53"/>
        <v>16870</v>
      </c>
      <c r="FL20" s="1838">
        <v>7407</v>
      </c>
      <c r="FM20" s="1839">
        <v>9126</v>
      </c>
      <c r="FN20" s="1832">
        <f t="shared" si="54"/>
        <v>16533</v>
      </c>
      <c r="FO20" s="1823">
        <v>7583</v>
      </c>
      <c r="FP20" s="1823">
        <v>9343</v>
      </c>
      <c r="FQ20" s="1823">
        <f t="shared" si="55"/>
        <v>16926</v>
      </c>
      <c r="FR20" s="1835">
        <v>7310</v>
      </c>
      <c r="FS20" s="1834">
        <v>9030</v>
      </c>
      <c r="FT20" s="1834">
        <f t="shared" si="56"/>
        <v>16340</v>
      </c>
      <c r="FU20" s="1834">
        <v>7350</v>
      </c>
      <c r="FV20" s="1834">
        <v>9165</v>
      </c>
      <c r="FW20" s="1834">
        <f t="shared" si="57"/>
        <v>16515</v>
      </c>
      <c r="FX20" s="1834">
        <v>7272</v>
      </c>
      <c r="FY20" s="1834">
        <v>9164</v>
      </c>
      <c r="FZ20" s="1834">
        <f t="shared" si="58"/>
        <v>16436</v>
      </c>
      <c r="GA20" s="1834">
        <v>7439</v>
      </c>
      <c r="GB20" s="1834">
        <v>9235</v>
      </c>
      <c r="GC20" s="1834">
        <f t="shared" si="59"/>
        <v>16674</v>
      </c>
      <c r="GD20" s="1823">
        <v>7350</v>
      </c>
      <c r="GE20" s="1823">
        <v>9194</v>
      </c>
      <c r="GF20" s="1823">
        <f t="shared" si="60"/>
        <v>16544</v>
      </c>
      <c r="GG20" s="1823">
        <v>7263</v>
      </c>
      <c r="GH20" s="1823">
        <v>9101</v>
      </c>
      <c r="GI20" s="1823">
        <f t="shared" si="61"/>
        <v>16364</v>
      </c>
      <c r="GJ20" s="1823">
        <v>7258</v>
      </c>
      <c r="GK20" s="1823">
        <v>9074</v>
      </c>
      <c r="GL20" s="1823">
        <f t="shared" si="62"/>
        <v>16332</v>
      </c>
      <c r="GM20" s="1833">
        <v>7343</v>
      </c>
      <c r="GN20" s="1834">
        <v>9132</v>
      </c>
      <c r="GO20" s="1834">
        <f t="shared" si="63"/>
        <v>16475</v>
      </c>
      <c r="GP20" s="1829">
        <v>7146</v>
      </c>
      <c r="GQ20" s="1829">
        <v>9128</v>
      </c>
      <c r="GR20" s="1830">
        <f t="shared" si="64"/>
        <v>16274</v>
      </c>
      <c r="GS20" s="1823">
        <v>7286</v>
      </c>
      <c r="GT20" s="1823">
        <v>9116</v>
      </c>
      <c r="GU20" s="1823">
        <f t="shared" si="65"/>
        <v>16402</v>
      </c>
      <c r="GV20" s="1838">
        <v>7237</v>
      </c>
      <c r="GW20" s="1839">
        <v>9117</v>
      </c>
      <c r="GX20" s="1832">
        <f t="shared" si="66"/>
        <v>16354</v>
      </c>
      <c r="GY20" s="1823">
        <v>7471</v>
      </c>
      <c r="GZ20" s="1823">
        <v>9466</v>
      </c>
      <c r="HA20" s="1823">
        <f t="shared" si="67"/>
        <v>16937</v>
      </c>
      <c r="HB20" s="1835">
        <v>7526</v>
      </c>
      <c r="HC20" s="1834">
        <v>9376</v>
      </c>
      <c r="HD20" s="1834">
        <f t="shared" si="68"/>
        <v>16902</v>
      </c>
      <c r="HE20" s="1834">
        <v>7540</v>
      </c>
      <c r="HF20" s="1834">
        <v>9391</v>
      </c>
      <c r="HG20" s="1834">
        <f t="shared" si="69"/>
        <v>16931</v>
      </c>
      <c r="HH20" s="1834">
        <v>7565</v>
      </c>
      <c r="HI20" s="1834">
        <v>9325</v>
      </c>
      <c r="HJ20" s="1834">
        <f t="shared" si="70"/>
        <v>16890</v>
      </c>
      <c r="HK20" s="1834">
        <v>7692</v>
      </c>
      <c r="HL20" s="1834">
        <v>9479</v>
      </c>
      <c r="HM20" s="1834">
        <f t="shared" si="71"/>
        <v>17171</v>
      </c>
      <c r="HN20" s="1823">
        <v>9469</v>
      </c>
      <c r="HO20" s="1823">
        <v>12001</v>
      </c>
      <c r="HP20" s="1823">
        <f t="shared" si="72"/>
        <v>21470</v>
      </c>
      <c r="HQ20" s="1823">
        <v>7642</v>
      </c>
      <c r="HR20" s="1823">
        <v>9521</v>
      </c>
      <c r="HS20" s="1823">
        <f t="shared" si="73"/>
        <v>17163</v>
      </c>
      <c r="HT20" s="1823">
        <v>7716</v>
      </c>
      <c r="HU20" s="1823">
        <v>9676</v>
      </c>
      <c r="HV20" s="1823">
        <f t="shared" si="74"/>
        <v>17392</v>
      </c>
      <c r="HW20" s="1836">
        <v>7591</v>
      </c>
      <c r="HX20" s="1837">
        <v>9443</v>
      </c>
      <c r="HY20" s="1834">
        <f t="shared" si="75"/>
        <v>17034</v>
      </c>
      <c r="HZ20" s="1829">
        <v>7565</v>
      </c>
      <c r="IA20" s="1829">
        <v>9531</v>
      </c>
      <c r="IB20" s="1830">
        <f t="shared" si="76"/>
        <v>17096</v>
      </c>
      <c r="IC20" s="1823">
        <v>7697</v>
      </c>
      <c r="ID20" s="1823">
        <v>9682</v>
      </c>
      <c r="IE20" s="1823">
        <f t="shared" si="77"/>
        <v>17379</v>
      </c>
      <c r="IF20" s="1838">
        <v>7706</v>
      </c>
      <c r="IG20" s="1839">
        <v>9576</v>
      </c>
      <c r="IH20" s="1832">
        <f t="shared" si="78"/>
        <v>17282</v>
      </c>
      <c r="II20" s="1815">
        <v>7771</v>
      </c>
      <c r="IJ20" s="1815">
        <v>9677</v>
      </c>
      <c r="IK20" s="1815">
        <f t="shared" si="79"/>
        <v>17448</v>
      </c>
      <c r="IL20" s="1815">
        <v>18487</v>
      </c>
    </row>
    <row r="21" spans="1:246">
      <c r="A21" s="1900" t="s">
        <v>1593</v>
      </c>
      <c r="B21" s="1815">
        <v>2624</v>
      </c>
      <c r="C21" s="1815">
        <v>1232</v>
      </c>
      <c r="D21" s="1823">
        <f t="shared" si="0"/>
        <v>3856</v>
      </c>
      <c r="E21" s="1824">
        <v>2628</v>
      </c>
      <c r="F21" s="1824">
        <v>1683</v>
      </c>
      <c r="G21" s="1824">
        <f t="shared" si="1"/>
        <v>4311</v>
      </c>
      <c r="H21" s="1824">
        <v>2654</v>
      </c>
      <c r="I21" s="1824">
        <v>1793</v>
      </c>
      <c r="J21" s="1824">
        <f t="shared" si="2"/>
        <v>4447</v>
      </c>
      <c r="K21" s="1825">
        <v>4310</v>
      </c>
      <c r="L21" s="1825">
        <v>2216</v>
      </c>
      <c r="M21" s="1825">
        <f t="shared" si="3"/>
        <v>6526</v>
      </c>
      <c r="N21" s="1827">
        <v>4257</v>
      </c>
      <c r="O21" s="1827">
        <v>2278</v>
      </c>
      <c r="P21" s="1827">
        <f t="shared" si="4"/>
        <v>6535</v>
      </c>
      <c r="Q21" s="1823">
        <v>4261</v>
      </c>
      <c r="R21" s="1823">
        <v>2679</v>
      </c>
      <c r="S21" s="1823">
        <f t="shared" si="5"/>
        <v>6940</v>
      </c>
      <c r="T21" s="1823">
        <v>4336</v>
      </c>
      <c r="U21" s="1823">
        <v>2700</v>
      </c>
      <c r="V21" s="1823">
        <f t="shared" si="6"/>
        <v>7036</v>
      </c>
      <c r="W21" s="1825">
        <v>4291</v>
      </c>
      <c r="X21" s="1825">
        <v>2843</v>
      </c>
      <c r="Y21" s="1825">
        <f t="shared" si="7"/>
        <v>7134</v>
      </c>
      <c r="Z21" s="1825">
        <v>4324</v>
      </c>
      <c r="AA21" s="1825">
        <v>2924</v>
      </c>
      <c r="AB21" s="1825">
        <f t="shared" si="8"/>
        <v>7248</v>
      </c>
      <c r="AC21" s="1828">
        <v>11178</v>
      </c>
      <c r="AD21" s="1828">
        <v>5427</v>
      </c>
      <c r="AE21" s="1828">
        <f t="shared" si="9"/>
        <v>16605</v>
      </c>
      <c r="AF21" s="1830">
        <v>8868</v>
      </c>
      <c r="AG21" s="1830">
        <v>5097</v>
      </c>
      <c r="AH21" s="1830">
        <f t="shared" si="10"/>
        <v>13965</v>
      </c>
      <c r="AI21" s="1830">
        <v>8999</v>
      </c>
      <c r="AJ21" s="1830">
        <v>4906</v>
      </c>
      <c r="AK21" s="1830">
        <f t="shared" si="11"/>
        <v>13905</v>
      </c>
      <c r="AL21" s="1823">
        <v>9054</v>
      </c>
      <c r="AM21" s="1823">
        <v>5134</v>
      </c>
      <c r="AN21" s="1823">
        <f t="shared" si="12"/>
        <v>14188</v>
      </c>
      <c r="AO21" s="1830">
        <v>8968</v>
      </c>
      <c r="AP21" s="1830">
        <v>5177</v>
      </c>
      <c r="AQ21" s="1830">
        <f t="shared" si="13"/>
        <v>14145</v>
      </c>
      <c r="AR21" s="1830">
        <v>8456</v>
      </c>
      <c r="AS21" s="1830">
        <v>4855</v>
      </c>
      <c r="AT21" s="1830">
        <f t="shared" si="14"/>
        <v>13311</v>
      </c>
      <c r="AU21" s="1830">
        <v>7933</v>
      </c>
      <c r="AV21" s="1830">
        <v>4656</v>
      </c>
      <c r="AW21" s="1830">
        <f t="shared" si="15"/>
        <v>12589</v>
      </c>
      <c r="AX21" s="1830">
        <v>7781</v>
      </c>
      <c r="AY21" s="1830">
        <v>4669</v>
      </c>
      <c r="AZ21" s="1830">
        <f t="shared" si="16"/>
        <v>12450</v>
      </c>
      <c r="BA21" s="1823">
        <v>8110</v>
      </c>
      <c r="BB21" s="1823">
        <v>4933</v>
      </c>
      <c r="BC21" s="1823">
        <f t="shared" si="17"/>
        <v>13043</v>
      </c>
      <c r="BD21" s="1831">
        <v>7967</v>
      </c>
      <c r="BE21" s="1832">
        <v>4933</v>
      </c>
      <c r="BF21" s="1832">
        <f t="shared" si="18"/>
        <v>12900</v>
      </c>
      <c r="BG21" s="1823">
        <v>8143</v>
      </c>
      <c r="BH21" s="1823">
        <v>5092</v>
      </c>
      <c r="BI21" s="1823">
        <f t="shared" si="19"/>
        <v>13235</v>
      </c>
      <c r="BJ21" s="1833">
        <v>8157</v>
      </c>
      <c r="BK21" s="1834">
        <v>5076</v>
      </c>
      <c r="BL21" s="1834">
        <f t="shared" si="20"/>
        <v>13233</v>
      </c>
      <c r="BM21" s="1834">
        <v>8285</v>
      </c>
      <c r="BN21" s="1834">
        <v>5132</v>
      </c>
      <c r="BO21" s="1834">
        <f t="shared" si="21"/>
        <v>13417</v>
      </c>
      <c r="BP21" s="1834">
        <v>7634</v>
      </c>
      <c r="BQ21" s="1834">
        <v>4749</v>
      </c>
      <c r="BR21" s="1834">
        <f t="shared" si="22"/>
        <v>12383</v>
      </c>
      <c r="BS21" s="1834">
        <v>7909</v>
      </c>
      <c r="BT21" s="1834">
        <v>4626</v>
      </c>
      <c r="BU21" s="1834">
        <f t="shared" si="23"/>
        <v>12535</v>
      </c>
      <c r="BV21" s="1823">
        <v>7797</v>
      </c>
      <c r="BW21" s="1823">
        <v>4563</v>
      </c>
      <c r="BX21" s="1823">
        <f t="shared" si="24"/>
        <v>12360</v>
      </c>
      <c r="BY21" s="1823">
        <v>7955</v>
      </c>
      <c r="BZ21" s="1823">
        <v>4647</v>
      </c>
      <c r="CA21" s="1823">
        <v>7688</v>
      </c>
      <c r="CB21" s="1823">
        <v>4483</v>
      </c>
      <c r="CC21" s="1823">
        <f t="shared" si="25"/>
        <v>12171</v>
      </c>
      <c r="CD21" s="1823">
        <v>7454</v>
      </c>
      <c r="CE21" s="1823">
        <v>4460</v>
      </c>
      <c r="CF21" s="1823">
        <f t="shared" si="26"/>
        <v>11914</v>
      </c>
      <c r="CG21" s="1833">
        <v>7292</v>
      </c>
      <c r="CH21" s="1834">
        <v>4416</v>
      </c>
      <c r="CI21" s="1834">
        <f t="shared" si="27"/>
        <v>11708</v>
      </c>
      <c r="CJ21" s="1823">
        <v>7266</v>
      </c>
      <c r="CK21" s="1823">
        <v>4414</v>
      </c>
      <c r="CL21" s="1830">
        <v>7153</v>
      </c>
      <c r="CM21" s="1830">
        <v>4343</v>
      </c>
      <c r="CN21" s="1830">
        <f t="shared" si="28"/>
        <v>11496</v>
      </c>
      <c r="CO21" s="1823">
        <v>7648</v>
      </c>
      <c r="CP21" s="1823">
        <v>4481</v>
      </c>
      <c r="CQ21" s="1823">
        <f t="shared" si="29"/>
        <v>12129</v>
      </c>
      <c r="CR21" s="1831">
        <v>7397</v>
      </c>
      <c r="CS21" s="1832">
        <v>4640</v>
      </c>
      <c r="CT21" s="1832">
        <f t="shared" si="30"/>
        <v>12037</v>
      </c>
      <c r="CU21" s="1823">
        <v>7231</v>
      </c>
      <c r="CV21" s="1823">
        <v>4562</v>
      </c>
      <c r="CW21" s="1823">
        <f t="shared" si="31"/>
        <v>11793</v>
      </c>
      <c r="CX21" s="1833">
        <v>7118</v>
      </c>
      <c r="CY21" s="1834">
        <v>4603</v>
      </c>
      <c r="CZ21" s="1834">
        <f t="shared" si="32"/>
        <v>11721</v>
      </c>
      <c r="DA21" s="1834">
        <v>6649</v>
      </c>
      <c r="DB21" s="1834">
        <v>4582</v>
      </c>
      <c r="DC21" s="1834">
        <f t="shared" si="33"/>
        <v>11231</v>
      </c>
      <c r="DD21" s="1834">
        <v>6841</v>
      </c>
      <c r="DE21" s="1834">
        <v>4749</v>
      </c>
      <c r="DF21" s="1834">
        <f t="shared" si="34"/>
        <v>11590</v>
      </c>
      <c r="DG21" s="1834">
        <v>6782</v>
      </c>
      <c r="DH21" s="1834">
        <v>4783</v>
      </c>
      <c r="DI21" s="1834">
        <f t="shared" si="35"/>
        <v>11565</v>
      </c>
      <c r="DJ21" s="1823">
        <v>6381</v>
      </c>
      <c r="DK21" s="1823">
        <v>4729</v>
      </c>
      <c r="DL21" s="1823">
        <f t="shared" si="36"/>
        <v>11110</v>
      </c>
      <c r="DM21" s="1823">
        <v>6152</v>
      </c>
      <c r="DN21" s="1823">
        <v>4608</v>
      </c>
      <c r="DO21" s="1823">
        <f t="shared" si="37"/>
        <v>10760</v>
      </c>
      <c r="DP21" s="1823">
        <v>6082</v>
      </c>
      <c r="DQ21" s="1823">
        <v>4459</v>
      </c>
      <c r="DR21" s="1823">
        <f t="shared" si="38"/>
        <v>10541</v>
      </c>
      <c r="DS21" s="1833">
        <v>5761</v>
      </c>
      <c r="DT21" s="1834">
        <v>4396</v>
      </c>
      <c r="DU21" s="1834">
        <f t="shared" si="39"/>
        <v>10157</v>
      </c>
      <c r="DV21" s="1830">
        <v>5624</v>
      </c>
      <c r="DW21" s="1830">
        <v>4283</v>
      </c>
      <c r="DX21" s="1830">
        <f t="shared" si="40"/>
        <v>9907</v>
      </c>
      <c r="DY21" s="1823">
        <v>5440</v>
      </c>
      <c r="DZ21" s="1823">
        <v>4322</v>
      </c>
      <c r="EA21" s="1823">
        <f t="shared" si="41"/>
        <v>9762</v>
      </c>
      <c r="EB21" s="1831">
        <v>5512</v>
      </c>
      <c r="EC21" s="1832">
        <v>4306</v>
      </c>
      <c r="ED21" s="1832">
        <f t="shared" si="42"/>
        <v>9818</v>
      </c>
      <c r="EE21" s="1823">
        <v>5199</v>
      </c>
      <c r="EF21" s="1823">
        <v>4241</v>
      </c>
      <c r="EG21" s="1823">
        <f t="shared" si="43"/>
        <v>9440</v>
      </c>
      <c r="EH21" s="1833">
        <v>4961</v>
      </c>
      <c r="EI21" s="1834">
        <v>4131</v>
      </c>
      <c r="EJ21" s="1834">
        <f t="shared" si="44"/>
        <v>9092</v>
      </c>
      <c r="EK21" s="1834">
        <v>5006</v>
      </c>
      <c r="EL21" s="1834">
        <v>4158</v>
      </c>
      <c r="EM21" s="1834">
        <f t="shared" si="45"/>
        <v>9164</v>
      </c>
      <c r="EN21" s="1834">
        <v>4951</v>
      </c>
      <c r="EO21" s="1834">
        <v>4079</v>
      </c>
      <c r="EP21" s="1834">
        <f t="shared" si="46"/>
        <v>9030</v>
      </c>
      <c r="EQ21" s="1834">
        <v>4870</v>
      </c>
      <c r="ER21" s="1834">
        <v>4093</v>
      </c>
      <c r="ES21" s="1834">
        <f t="shared" si="47"/>
        <v>8963</v>
      </c>
      <c r="ET21" s="1823">
        <v>5107</v>
      </c>
      <c r="EU21" s="1823">
        <v>4220</v>
      </c>
      <c r="EV21" s="1823">
        <f t="shared" si="48"/>
        <v>9327</v>
      </c>
      <c r="EW21" s="1823">
        <v>5260</v>
      </c>
      <c r="EX21" s="1823">
        <v>4218</v>
      </c>
      <c r="EY21" s="1823">
        <f t="shared" si="49"/>
        <v>9478</v>
      </c>
      <c r="EZ21" s="1823">
        <v>5297</v>
      </c>
      <c r="FA21" s="1823">
        <v>4715</v>
      </c>
      <c r="FB21" s="1823">
        <f t="shared" si="50"/>
        <v>10012</v>
      </c>
      <c r="FC21" s="1833">
        <v>5438</v>
      </c>
      <c r="FD21" s="1834">
        <v>4339</v>
      </c>
      <c r="FE21" s="1834">
        <f t="shared" si="51"/>
        <v>9777</v>
      </c>
      <c r="FF21" s="1830">
        <v>6400</v>
      </c>
      <c r="FG21" s="1830">
        <v>4327</v>
      </c>
      <c r="FH21" s="1830">
        <f t="shared" si="52"/>
        <v>10727</v>
      </c>
      <c r="FI21" s="1823">
        <v>6722</v>
      </c>
      <c r="FJ21" s="1823">
        <v>4426</v>
      </c>
      <c r="FK21" s="1823">
        <f t="shared" si="53"/>
        <v>11148</v>
      </c>
      <c r="FL21" s="1831">
        <v>7484</v>
      </c>
      <c r="FM21" s="1832">
        <v>4610</v>
      </c>
      <c r="FN21" s="1832">
        <f t="shared" si="54"/>
        <v>12094</v>
      </c>
      <c r="FO21" s="1823">
        <v>8384</v>
      </c>
      <c r="FP21" s="1823">
        <v>4756</v>
      </c>
      <c r="FQ21" s="1823">
        <f t="shared" si="55"/>
        <v>13140</v>
      </c>
      <c r="FR21" s="1835">
        <v>8655</v>
      </c>
      <c r="FS21" s="1834">
        <v>4710</v>
      </c>
      <c r="FT21" s="1834">
        <f t="shared" si="56"/>
        <v>13365</v>
      </c>
      <c r="FU21" s="1834">
        <v>9432</v>
      </c>
      <c r="FV21" s="1834">
        <v>4924</v>
      </c>
      <c r="FW21" s="1834">
        <f t="shared" si="57"/>
        <v>14356</v>
      </c>
      <c r="FX21" s="1834">
        <v>8516</v>
      </c>
      <c r="FY21" s="1834">
        <v>5035</v>
      </c>
      <c r="FZ21" s="1834">
        <f t="shared" si="58"/>
        <v>13551</v>
      </c>
      <c r="GA21" s="1834">
        <v>8551</v>
      </c>
      <c r="GB21" s="1834">
        <v>5238</v>
      </c>
      <c r="GC21" s="1834">
        <f t="shared" si="59"/>
        <v>13789</v>
      </c>
      <c r="GD21" s="1823">
        <v>8354</v>
      </c>
      <c r="GE21" s="1823">
        <v>5306</v>
      </c>
      <c r="GF21" s="1823">
        <f t="shared" si="60"/>
        <v>13660</v>
      </c>
      <c r="GG21" s="1823">
        <v>8171</v>
      </c>
      <c r="GH21" s="1823">
        <v>5171</v>
      </c>
      <c r="GI21" s="1823">
        <f t="shared" si="61"/>
        <v>13342</v>
      </c>
      <c r="GJ21" s="1823">
        <v>8254</v>
      </c>
      <c r="GK21" s="1823">
        <v>5201</v>
      </c>
      <c r="GL21" s="1823">
        <f t="shared" si="62"/>
        <v>13455</v>
      </c>
      <c r="GM21" s="1833">
        <v>9912</v>
      </c>
      <c r="GN21" s="1834">
        <v>5342</v>
      </c>
      <c r="GO21" s="1834">
        <f t="shared" si="63"/>
        <v>15254</v>
      </c>
      <c r="GP21" s="1830">
        <v>9773</v>
      </c>
      <c r="GQ21" s="1830">
        <v>5324</v>
      </c>
      <c r="GR21" s="1830">
        <f t="shared" si="64"/>
        <v>15097</v>
      </c>
      <c r="GS21" s="1823">
        <v>10011</v>
      </c>
      <c r="GT21" s="1823">
        <v>5360</v>
      </c>
      <c r="GU21" s="1823">
        <f t="shared" si="65"/>
        <v>15371</v>
      </c>
      <c r="GV21" s="1831">
        <v>10250</v>
      </c>
      <c r="GW21" s="1832">
        <v>5413</v>
      </c>
      <c r="GX21" s="1832">
        <f t="shared" si="66"/>
        <v>15663</v>
      </c>
      <c r="GY21" s="1823">
        <v>10176</v>
      </c>
      <c r="GZ21" s="1823">
        <v>5319</v>
      </c>
      <c r="HA21" s="1823">
        <f t="shared" si="67"/>
        <v>15495</v>
      </c>
      <c r="HB21" s="1835">
        <v>10253</v>
      </c>
      <c r="HC21" s="1834">
        <v>5589</v>
      </c>
      <c r="HD21" s="1834">
        <f t="shared" si="68"/>
        <v>15842</v>
      </c>
      <c r="HE21" s="1834">
        <v>9867</v>
      </c>
      <c r="HF21" s="1834">
        <v>5477</v>
      </c>
      <c r="HG21" s="1834">
        <f t="shared" si="69"/>
        <v>15344</v>
      </c>
      <c r="HH21" s="1834">
        <v>9627</v>
      </c>
      <c r="HI21" s="1834">
        <v>5545</v>
      </c>
      <c r="HJ21" s="1834">
        <f t="shared" si="70"/>
        <v>15172</v>
      </c>
      <c r="HK21" s="1834">
        <v>9473</v>
      </c>
      <c r="HL21" s="1834">
        <v>5442</v>
      </c>
      <c r="HM21" s="1834">
        <f t="shared" si="71"/>
        <v>14915</v>
      </c>
      <c r="HN21" s="1823">
        <v>9317</v>
      </c>
      <c r="HO21" s="1823">
        <v>5354</v>
      </c>
      <c r="HP21" s="1823">
        <f t="shared" si="72"/>
        <v>14671</v>
      </c>
      <c r="HQ21" s="1823">
        <v>9380</v>
      </c>
      <c r="HR21" s="1823">
        <v>5402</v>
      </c>
      <c r="HS21" s="1823">
        <f t="shared" si="73"/>
        <v>14782</v>
      </c>
      <c r="HT21" s="1823">
        <v>10496</v>
      </c>
      <c r="HU21" s="1823">
        <v>5961</v>
      </c>
      <c r="HV21" s="1823">
        <f t="shared" si="74"/>
        <v>16457</v>
      </c>
      <c r="HW21" s="1836">
        <v>11380</v>
      </c>
      <c r="HX21" s="1837">
        <v>5960</v>
      </c>
      <c r="HY21" s="1834">
        <f t="shared" si="75"/>
        <v>17340</v>
      </c>
      <c r="HZ21" s="1830">
        <v>11202</v>
      </c>
      <c r="IA21" s="1830">
        <v>5924</v>
      </c>
      <c r="IB21" s="1830">
        <f t="shared" si="76"/>
        <v>17126</v>
      </c>
      <c r="IC21" s="1823">
        <v>11585</v>
      </c>
      <c r="ID21" s="1823">
        <v>6028</v>
      </c>
      <c r="IE21" s="1823">
        <f t="shared" si="77"/>
        <v>17613</v>
      </c>
      <c r="IF21" s="1831">
        <v>11467</v>
      </c>
      <c r="IG21" s="1832">
        <v>6195</v>
      </c>
      <c r="IH21" s="1832">
        <f t="shared" si="78"/>
        <v>17662</v>
      </c>
      <c r="II21" s="1815">
        <v>11743</v>
      </c>
      <c r="IJ21" s="1815">
        <v>6326</v>
      </c>
      <c r="IK21" s="1815">
        <f t="shared" si="79"/>
        <v>18069</v>
      </c>
      <c r="IL21" s="1815">
        <v>18893</v>
      </c>
    </row>
    <row r="22" spans="1:246">
      <c r="A22" s="1900" t="s">
        <v>127</v>
      </c>
      <c r="B22" s="1815">
        <v>8341</v>
      </c>
      <c r="C22" s="1815">
        <v>10177</v>
      </c>
      <c r="D22" s="1823">
        <f t="shared" si="0"/>
        <v>18518</v>
      </c>
      <c r="E22" s="1824">
        <v>8437</v>
      </c>
      <c r="F22" s="1824">
        <v>9912</v>
      </c>
      <c r="G22" s="1824">
        <f t="shared" si="1"/>
        <v>18349</v>
      </c>
      <c r="H22" s="1824">
        <v>8484</v>
      </c>
      <c r="I22" s="1824">
        <v>9930</v>
      </c>
      <c r="J22" s="1824">
        <f t="shared" si="2"/>
        <v>18414</v>
      </c>
      <c r="K22" s="1825">
        <v>9478</v>
      </c>
      <c r="L22" s="1825">
        <v>10157</v>
      </c>
      <c r="M22" s="1825">
        <f t="shared" si="3"/>
        <v>19635</v>
      </c>
      <c r="N22" s="1826">
        <v>9511</v>
      </c>
      <c r="O22" s="1826">
        <v>10213</v>
      </c>
      <c r="P22" s="1827">
        <f t="shared" si="4"/>
        <v>19724</v>
      </c>
      <c r="Q22" s="1823">
        <v>9567</v>
      </c>
      <c r="R22" s="1823">
        <v>10153</v>
      </c>
      <c r="S22" s="1823">
        <f t="shared" si="5"/>
        <v>19720</v>
      </c>
      <c r="T22" s="1823">
        <v>9653</v>
      </c>
      <c r="U22" s="1823">
        <v>10189</v>
      </c>
      <c r="V22" s="1823">
        <f t="shared" si="6"/>
        <v>19842</v>
      </c>
      <c r="W22" s="1825">
        <v>9657</v>
      </c>
      <c r="X22" s="1825">
        <v>10112</v>
      </c>
      <c r="Y22" s="1825">
        <f t="shared" si="7"/>
        <v>19769</v>
      </c>
      <c r="Z22" s="1825">
        <v>9665</v>
      </c>
      <c r="AA22" s="1825">
        <v>10138</v>
      </c>
      <c r="AB22" s="1825">
        <f t="shared" si="8"/>
        <v>19803</v>
      </c>
      <c r="AC22" s="1828">
        <v>9756</v>
      </c>
      <c r="AD22" s="1828">
        <v>10097</v>
      </c>
      <c r="AE22" s="1828">
        <f t="shared" si="9"/>
        <v>19853</v>
      </c>
      <c r="AF22" s="1830">
        <v>9720</v>
      </c>
      <c r="AG22" s="1830">
        <v>10199</v>
      </c>
      <c r="AH22" s="1830">
        <f t="shared" si="10"/>
        <v>19919</v>
      </c>
      <c r="AI22" s="1830">
        <v>9818</v>
      </c>
      <c r="AJ22" s="1830">
        <v>9690</v>
      </c>
      <c r="AK22" s="1830">
        <f t="shared" si="11"/>
        <v>19508</v>
      </c>
      <c r="AL22" s="1823">
        <v>9637</v>
      </c>
      <c r="AM22" s="1823">
        <v>9823</v>
      </c>
      <c r="AN22" s="1823">
        <f t="shared" si="12"/>
        <v>19460</v>
      </c>
      <c r="AO22" s="1830">
        <v>9536</v>
      </c>
      <c r="AP22" s="1830">
        <v>9882</v>
      </c>
      <c r="AQ22" s="1830">
        <f t="shared" si="13"/>
        <v>19418</v>
      </c>
      <c r="AR22" s="1830">
        <v>9651</v>
      </c>
      <c r="AS22" s="1830">
        <v>10031</v>
      </c>
      <c r="AT22" s="1830">
        <f t="shared" si="14"/>
        <v>19682</v>
      </c>
      <c r="AU22" s="1830">
        <v>9558</v>
      </c>
      <c r="AV22" s="1830">
        <v>10005</v>
      </c>
      <c r="AW22" s="1830">
        <f t="shared" si="15"/>
        <v>19563</v>
      </c>
      <c r="AX22" s="1830">
        <v>9472</v>
      </c>
      <c r="AY22" s="1830">
        <v>10086</v>
      </c>
      <c r="AZ22" s="1830">
        <f t="shared" si="16"/>
        <v>19558</v>
      </c>
      <c r="BA22" s="1823">
        <v>9512</v>
      </c>
      <c r="BB22" s="1823">
        <v>10223</v>
      </c>
      <c r="BC22" s="1823">
        <f t="shared" si="17"/>
        <v>19735</v>
      </c>
      <c r="BD22" s="1831">
        <v>9490</v>
      </c>
      <c r="BE22" s="1832">
        <v>10378</v>
      </c>
      <c r="BF22" s="1832">
        <f t="shared" si="18"/>
        <v>19868</v>
      </c>
      <c r="BG22" s="1823">
        <v>9367</v>
      </c>
      <c r="BH22" s="1823">
        <v>10473</v>
      </c>
      <c r="BI22" s="1823">
        <f t="shared" si="19"/>
        <v>19840</v>
      </c>
      <c r="BJ22" s="1833">
        <v>9279</v>
      </c>
      <c r="BK22" s="1834">
        <v>10520</v>
      </c>
      <c r="BL22" s="1834">
        <f t="shared" si="20"/>
        <v>19799</v>
      </c>
      <c r="BM22" s="1834">
        <v>9283</v>
      </c>
      <c r="BN22" s="1834">
        <v>10640</v>
      </c>
      <c r="BO22" s="1834">
        <f t="shared" si="21"/>
        <v>19923</v>
      </c>
      <c r="BP22" s="1834">
        <v>9174</v>
      </c>
      <c r="BQ22" s="1834">
        <v>10708</v>
      </c>
      <c r="BR22" s="1834">
        <f t="shared" si="22"/>
        <v>19882</v>
      </c>
      <c r="BS22" s="1834">
        <v>9161</v>
      </c>
      <c r="BT22" s="1834">
        <v>10748</v>
      </c>
      <c r="BU22" s="1834">
        <f t="shared" si="23"/>
        <v>19909</v>
      </c>
      <c r="BV22" s="1823">
        <v>8994</v>
      </c>
      <c r="BW22" s="1823">
        <v>10689</v>
      </c>
      <c r="BX22" s="1823">
        <f t="shared" si="24"/>
        <v>19683</v>
      </c>
      <c r="BY22" s="1823">
        <v>9170</v>
      </c>
      <c r="BZ22" s="1823">
        <v>10764</v>
      </c>
      <c r="CA22" s="1823">
        <v>8925</v>
      </c>
      <c r="CB22" s="1823">
        <v>10622</v>
      </c>
      <c r="CC22" s="1823">
        <f t="shared" si="25"/>
        <v>19547</v>
      </c>
      <c r="CD22" s="1823">
        <v>8860</v>
      </c>
      <c r="CE22" s="1823">
        <v>10570</v>
      </c>
      <c r="CF22" s="1823">
        <f t="shared" si="26"/>
        <v>19430</v>
      </c>
      <c r="CG22" s="1833">
        <v>8683</v>
      </c>
      <c r="CH22" s="1834">
        <v>10414</v>
      </c>
      <c r="CI22" s="1834">
        <f t="shared" si="27"/>
        <v>19097</v>
      </c>
      <c r="CJ22" s="1823">
        <v>8683</v>
      </c>
      <c r="CK22" s="1823">
        <v>10414</v>
      </c>
      <c r="CL22" s="1830">
        <v>8560</v>
      </c>
      <c r="CM22" s="1830">
        <v>10335</v>
      </c>
      <c r="CN22" s="1830">
        <f t="shared" si="28"/>
        <v>18895</v>
      </c>
      <c r="CO22" s="1823">
        <v>8594</v>
      </c>
      <c r="CP22" s="1823">
        <v>10277</v>
      </c>
      <c r="CQ22" s="1823">
        <f t="shared" si="29"/>
        <v>18871</v>
      </c>
      <c r="CR22" s="1831">
        <v>8404</v>
      </c>
      <c r="CS22" s="1832">
        <v>10204</v>
      </c>
      <c r="CT22" s="1832">
        <f t="shared" si="30"/>
        <v>18608</v>
      </c>
      <c r="CU22" s="1823">
        <v>8266</v>
      </c>
      <c r="CV22" s="1823">
        <v>10071</v>
      </c>
      <c r="CW22" s="1823">
        <f t="shared" si="31"/>
        <v>18337</v>
      </c>
      <c r="CX22" s="1833">
        <v>8133</v>
      </c>
      <c r="CY22" s="1834">
        <v>9986</v>
      </c>
      <c r="CZ22" s="1834">
        <f t="shared" si="32"/>
        <v>18119</v>
      </c>
      <c r="DA22" s="1834">
        <v>7998</v>
      </c>
      <c r="DB22" s="1834">
        <v>9813</v>
      </c>
      <c r="DC22" s="1834">
        <f t="shared" si="33"/>
        <v>17811</v>
      </c>
      <c r="DD22" s="1834">
        <v>7878</v>
      </c>
      <c r="DE22" s="1834">
        <v>9677</v>
      </c>
      <c r="DF22" s="1834">
        <f t="shared" si="34"/>
        <v>17555</v>
      </c>
      <c r="DG22" s="1834">
        <v>7739</v>
      </c>
      <c r="DH22" s="1834">
        <v>9577</v>
      </c>
      <c r="DI22" s="1834">
        <f t="shared" si="35"/>
        <v>17316</v>
      </c>
      <c r="DJ22" s="1823">
        <v>7535</v>
      </c>
      <c r="DK22" s="1823">
        <v>9325</v>
      </c>
      <c r="DL22" s="1823">
        <f t="shared" si="36"/>
        <v>16860</v>
      </c>
      <c r="DM22" s="1823">
        <v>7368</v>
      </c>
      <c r="DN22" s="1823">
        <v>9139</v>
      </c>
      <c r="DO22" s="1823">
        <f t="shared" si="37"/>
        <v>16507</v>
      </c>
      <c r="DP22" s="1823">
        <v>7322</v>
      </c>
      <c r="DQ22" s="1823">
        <v>9017</v>
      </c>
      <c r="DR22" s="1823">
        <f t="shared" si="38"/>
        <v>16339</v>
      </c>
      <c r="DS22" s="1833">
        <v>7238</v>
      </c>
      <c r="DT22" s="1834">
        <v>8876</v>
      </c>
      <c r="DU22" s="1834">
        <f t="shared" si="39"/>
        <v>16114</v>
      </c>
      <c r="DV22" s="1830">
        <v>7149</v>
      </c>
      <c r="DW22" s="1830">
        <v>8711</v>
      </c>
      <c r="DX22" s="1830">
        <f t="shared" si="40"/>
        <v>15860</v>
      </c>
      <c r="DY22" s="1823">
        <v>7067</v>
      </c>
      <c r="DZ22" s="1823">
        <v>8687</v>
      </c>
      <c r="EA22" s="1823">
        <f t="shared" si="41"/>
        <v>15754</v>
      </c>
      <c r="EB22" s="1831">
        <v>7038</v>
      </c>
      <c r="EC22" s="1832">
        <v>8669</v>
      </c>
      <c r="ED22" s="1832">
        <f t="shared" si="42"/>
        <v>15707</v>
      </c>
      <c r="EE22" s="1823">
        <v>6958</v>
      </c>
      <c r="EF22" s="1823">
        <v>8509</v>
      </c>
      <c r="EG22" s="1823">
        <f t="shared" si="43"/>
        <v>15467</v>
      </c>
      <c r="EH22" s="1833">
        <v>6846</v>
      </c>
      <c r="EI22" s="1834">
        <v>8402</v>
      </c>
      <c r="EJ22" s="1834">
        <f t="shared" si="44"/>
        <v>15248</v>
      </c>
      <c r="EK22" s="1834">
        <v>6782</v>
      </c>
      <c r="EL22" s="1834">
        <v>8320</v>
      </c>
      <c r="EM22" s="1834">
        <f t="shared" si="45"/>
        <v>15102</v>
      </c>
      <c r="EN22" s="1834">
        <v>6701</v>
      </c>
      <c r="EO22" s="1834">
        <v>8232</v>
      </c>
      <c r="EP22" s="1834">
        <f t="shared" si="46"/>
        <v>14933</v>
      </c>
      <c r="EQ22" s="1834">
        <v>6649</v>
      </c>
      <c r="ER22" s="1834">
        <v>8107</v>
      </c>
      <c r="ES22" s="1834">
        <f t="shared" si="47"/>
        <v>14756</v>
      </c>
      <c r="ET22" s="1823">
        <v>6335</v>
      </c>
      <c r="EU22" s="1823">
        <v>7838</v>
      </c>
      <c r="EV22" s="1823">
        <f t="shared" si="48"/>
        <v>14173</v>
      </c>
      <c r="EW22" s="1823">
        <v>6696</v>
      </c>
      <c r="EX22" s="1823">
        <v>8080</v>
      </c>
      <c r="EY22" s="1823">
        <f t="shared" si="49"/>
        <v>14776</v>
      </c>
      <c r="EZ22" s="1823">
        <v>6466</v>
      </c>
      <c r="FA22" s="1823">
        <v>7835</v>
      </c>
      <c r="FB22" s="1823">
        <f t="shared" si="50"/>
        <v>14301</v>
      </c>
      <c r="FC22" s="1833">
        <v>6230</v>
      </c>
      <c r="FD22" s="1834">
        <v>7592</v>
      </c>
      <c r="FE22" s="1834">
        <f t="shared" si="51"/>
        <v>13822</v>
      </c>
      <c r="FF22" s="1830">
        <v>6544</v>
      </c>
      <c r="FG22" s="1830">
        <v>7908</v>
      </c>
      <c r="FH22" s="1830">
        <f t="shared" si="52"/>
        <v>14452</v>
      </c>
      <c r="FI22" s="1823">
        <v>6349</v>
      </c>
      <c r="FJ22" s="1823">
        <v>7674</v>
      </c>
      <c r="FK22" s="1823">
        <f t="shared" si="53"/>
        <v>14023</v>
      </c>
      <c r="FL22" s="1831">
        <v>6333</v>
      </c>
      <c r="FM22" s="1832">
        <v>7624</v>
      </c>
      <c r="FN22" s="1832">
        <f t="shared" si="54"/>
        <v>13957</v>
      </c>
      <c r="FO22" s="1823">
        <v>6277</v>
      </c>
      <c r="FP22" s="1823">
        <v>7530</v>
      </c>
      <c r="FQ22" s="1823">
        <f t="shared" si="55"/>
        <v>13807</v>
      </c>
      <c r="FR22" s="1835">
        <v>6277</v>
      </c>
      <c r="FS22" s="1834">
        <v>7523</v>
      </c>
      <c r="FT22" s="1834">
        <f t="shared" si="56"/>
        <v>13800</v>
      </c>
      <c r="FU22" s="1834">
        <v>6304</v>
      </c>
      <c r="FV22" s="1834">
        <v>7484</v>
      </c>
      <c r="FW22" s="1834">
        <f t="shared" si="57"/>
        <v>13788</v>
      </c>
      <c r="FX22" s="1834">
        <v>6294</v>
      </c>
      <c r="FY22" s="1834">
        <v>7430</v>
      </c>
      <c r="FZ22" s="1834">
        <f t="shared" si="58"/>
        <v>13724</v>
      </c>
      <c r="GA22" s="1834">
        <v>6380</v>
      </c>
      <c r="GB22" s="1834">
        <v>7346</v>
      </c>
      <c r="GC22" s="1834">
        <f t="shared" si="59"/>
        <v>13726</v>
      </c>
      <c r="GD22" s="1823">
        <v>6406</v>
      </c>
      <c r="GE22" s="1823">
        <v>7291</v>
      </c>
      <c r="GF22" s="1823">
        <f t="shared" si="60"/>
        <v>13697</v>
      </c>
      <c r="GG22" s="1823">
        <v>6436</v>
      </c>
      <c r="GH22" s="1823">
        <v>7204</v>
      </c>
      <c r="GI22" s="1823">
        <f t="shared" si="61"/>
        <v>13640</v>
      </c>
      <c r="GJ22" s="1823">
        <v>6441</v>
      </c>
      <c r="GK22" s="1823">
        <v>7179</v>
      </c>
      <c r="GL22" s="1823">
        <f t="shared" si="62"/>
        <v>13620</v>
      </c>
      <c r="GM22" s="1833">
        <v>6321</v>
      </c>
      <c r="GN22" s="1834">
        <v>6966</v>
      </c>
      <c r="GO22" s="1834">
        <f t="shared" si="63"/>
        <v>13287</v>
      </c>
      <c r="GP22" s="1830">
        <v>6491</v>
      </c>
      <c r="GQ22" s="1830">
        <v>7021</v>
      </c>
      <c r="GR22" s="1830">
        <f t="shared" si="64"/>
        <v>13512</v>
      </c>
      <c r="GS22" s="1823">
        <v>6437</v>
      </c>
      <c r="GT22" s="1823">
        <v>6942</v>
      </c>
      <c r="GU22" s="1823">
        <f t="shared" si="65"/>
        <v>13379</v>
      </c>
      <c r="GV22" s="1831">
        <v>6626</v>
      </c>
      <c r="GW22" s="1832">
        <v>7059</v>
      </c>
      <c r="GX22" s="1832">
        <f t="shared" si="66"/>
        <v>13685</v>
      </c>
      <c r="GY22" s="1823">
        <v>6470</v>
      </c>
      <c r="GZ22" s="1823">
        <v>6811</v>
      </c>
      <c r="HA22" s="1823">
        <f t="shared" si="67"/>
        <v>13281</v>
      </c>
      <c r="HB22" s="1835">
        <v>6410</v>
      </c>
      <c r="HC22" s="1834">
        <v>6802</v>
      </c>
      <c r="HD22" s="1834">
        <f t="shared" si="68"/>
        <v>13212</v>
      </c>
      <c r="HE22" s="1834">
        <v>6317</v>
      </c>
      <c r="HF22" s="1834">
        <v>6594</v>
      </c>
      <c r="HG22" s="1834">
        <f t="shared" si="69"/>
        <v>12911</v>
      </c>
      <c r="HH22" s="1834">
        <v>6280</v>
      </c>
      <c r="HI22" s="1834">
        <v>6577</v>
      </c>
      <c r="HJ22" s="1834">
        <f t="shared" si="70"/>
        <v>12857</v>
      </c>
      <c r="HK22" s="1834">
        <v>6259</v>
      </c>
      <c r="HL22" s="1834">
        <v>6399</v>
      </c>
      <c r="HM22" s="1834">
        <f t="shared" si="71"/>
        <v>12658</v>
      </c>
      <c r="HN22" s="1823">
        <v>6137</v>
      </c>
      <c r="HO22" s="1823">
        <v>6254</v>
      </c>
      <c r="HP22" s="1823">
        <f t="shared" si="72"/>
        <v>12391</v>
      </c>
      <c r="HQ22" s="1823">
        <v>6088</v>
      </c>
      <c r="HR22" s="1823">
        <v>6198</v>
      </c>
      <c r="HS22" s="1823">
        <f t="shared" si="73"/>
        <v>12286</v>
      </c>
      <c r="HT22" s="1823">
        <v>6056</v>
      </c>
      <c r="HU22" s="1823">
        <v>6114</v>
      </c>
      <c r="HV22" s="1823">
        <f t="shared" si="74"/>
        <v>12170</v>
      </c>
      <c r="HW22" s="1836">
        <v>6002</v>
      </c>
      <c r="HX22" s="1837">
        <v>6018</v>
      </c>
      <c r="HY22" s="1834">
        <f t="shared" si="75"/>
        <v>12020</v>
      </c>
      <c r="HZ22" s="1830">
        <v>5882</v>
      </c>
      <c r="IA22" s="1830">
        <v>5940</v>
      </c>
      <c r="IB22" s="1830">
        <f t="shared" si="76"/>
        <v>11822</v>
      </c>
      <c r="IC22" s="1823">
        <v>5689</v>
      </c>
      <c r="ID22" s="1823">
        <v>5735</v>
      </c>
      <c r="IE22" s="1823">
        <f t="shared" si="77"/>
        <v>11424</v>
      </c>
      <c r="IF22" s="1831">
        <v>6602</v>
      </c>
      <c r="IG22" s="1832">
        <v>6005</v>
      </c>
      <c r="IH22" s="1832">
        <f t="shared" si="78"/>
        <v>12607</v>
      </c>
      <c r="II22" s="1815">
        <v>6560</v>
      </c>
      <c r="IJ22" s="1815">
        <v>5767</v>
      </c>
      <c r="IK22" s="1815">
        <f t="shared" si="79"/>
        <v>12327</v>
      </c>
      <c r="IL22" s="1815">
        <v>15441</v>
      </c>
    </row>
    <row r="23" spans="1:246">
      <c r="A23" s="1900" t="s">
        <v>1603</v>
      </c>
      <c r="B23" s="1815">
        <v>2473</v>
      </c>
      <c r="C23" s="1815">
        <v>2444</v>
      </c>
      <c r="D23" s="1823">
        <f t="shared" si="0"/>
        <v>4917</v>
      </c>
      <c r="E23" s="1824">
        <v>2521</v>
      </c>
      <c r="F23" s="1824">
        <v>2591</v>
      </c>
      <c r="G23" s="1824">
        <f t="shared" si="1"/>
        <v>5112</v>
      </c>
      <c r="H23" s="1824">
        <v>2532</v>
      </c>
      <c r="I23" s="1824">
        <v>2691</v>
      </c>
      <c r="J23" s="1824">
        <f t="shared" si="2"/>
        <v>5223</v>
      </c>
      <c r="K23" s="1825">
        <v>2502</v>
      </c>
      <c r="L23" s="1825">
        <v>2753</v>
      </c>
      <c r="M23" s="1825">
        <f t="shared" si="3"/>
        <v>5255</v>
      </c>
      <c r="N23" s="1826">
        <v>2472</v>
      </c>
      <c r="O23" s="1826">
        <v>3209</v>
      </c>
      <c r="P23" s="1827">
        <f t="shared" si="4"/>
        <v>5681</v>
      </c>
      <c r="Q23" s="1823">
        <v>2417</v>
      </c>
      <c r="R23" s="1823">
        <v>3340</v>
      </c>
      <c r="S23" s="1823">
        <f t="shared" si="5"/>
        <v>5757</v>
      </c>
      <c r="T23" s="1823">
        <v>2464</v>
      </c>
      <c r="U23" s="1823">
        <v>3340</v>
      </c>
      <c r="V23" s="1823">
        <f t="shared" si="6"/>
        <v>5804</v>
      </c>
      <c r="W23" s="1825">
        <v>2458</v>
      </c>
      <c r="X23" s="1825">
        <v>3444</v>
      </c>
      <c r="Y23" s="1825">
        <f t="shared" si="7"/>
        <v>5902</v>
      </c>
      <c r="Z23" s="1825">
        <v>2434</v>
      </c>
      <c r="AA23" s="1825">
        <v>3457</v>
      </c>
      <c r="AB23" s="1825">
        <f t="shared" si="8"/>
        <v>5891</v>
      </c>
      <c r="AC23" s="1828">
        <v>2332</v>
      </c>
      <c r="AD23" s="1828">
        <v>3531</v>
      </c>
      <c r="AE23" s="1828">
        <f t="shared" si="9"/>
        <v>5863</v>
      </c>
      <c r="AF23" s="1829">
        <v>2281</v>
      </c>
      <c r="AG23" s="1829">
        <v>3570</v>
      </c>
      <c r="AH23" s="1830">
        <f t="shared" si="10"/>
        <v>5851</v>
      </c>
      <c r="AI23" s="1829">
        <v>2282</v>
      </c>
      <c r="AJ23" s="1829">
        <v>3580</v>
      </c>
      <c r="AK23" s="1830">
        <f t="shared" si="11"/>
        <v>5862</v>
      </c>
      <c r="AL23" s="1823">
        <v>2287</v>
      </c>
      <c r="AM23" s="1823">
        <v>3558</v>
      </c>
      <c r="AN23" s="1823">
        <f t="shared" si="12"/>
        <v>5845</v>
      </c>
      <c r="AO23" s="1829">
        <v>2295</v>
      </c>
      <c r="AP23" s="1829">
        <v>3552</v>
      </c>
      <c r="AQ23" s="1830">
        <f t="shared" si="13"/>
        <v>5847</v>
      </c>
      <c r="AR23" s="1829">
        <v>2315</v>
      </c>
      <c r="AS23" s="1829">
        <v>3625</v>
      </c>
      <c r="AT23" s="1830">
        <f t="shared" si="14"/>
        <v>5940</v>
      </c>
      <c r="AU23" s="1829">
        <v>2316</v>
      </c>
      <c r="AV23" s="1829">
        <v>3660</v>
      </c>
      <c r="AW23" s="1830">
        <f t="shared" si="15"/>
        <v>5976</v>
      </c>
      <c r="AX23" s="1829">
        <v>2336</v>
      </c>
      <c r="AY23" s="1829">
        <v>3682</v>
      </c>
      <c r="AZ23" s="1830">
        <f t="shared" si="16"/>
        <v>6018</v>
      </c>
      <c r="BA23" s="1823">
        <v>2304</v>
      </c>
      <c r="BB23" s="1823">
        <v>3635</v>
      </c>
      <c r="BC23" s="1823">
        <f t="shared" si="17"/>
        <v>5939</v>
      </c>
      <c r="BD23" s="1831">
        <v>2322</v>
      </c>
      <c r="BE23" s="1832">
        <v>3672</v>
      </c>
      <c r="BF23" s="1832">
        <f t="shared" si="18"/>
        <v>5994</v>
      </c>
      <c r="BG23" s="1823">
        <v>2335</v>
      </c>
      <c r="BH23" s="1823">
        <v>3714</v>
      </c>
      <c r="BI23" s="1823">
        <f t="shared" si="19"/>
        <v>6049</v>
      </c>
      <c r="BJ23" s="1833">
        <v>2352</v>
      </c>
      <c r="BK23" s="1834">
        <v>3809</v>
      </c>
      <c r="BL23" s="1834">
        <f t="shared" si="20"/>
        <v>6161</v>
      </c>
      <c r="BM23" s="1834">
        <v>2361</v>
      </c>
      <c r="BN23" s="1834">
        <v>3822</v>
      </c>
      <c r="BO23" s="1834">
        <f t="shared" si="21"/>
        <v>6183</v>
      </c>
      <c r="BP23" s="1834">
        <v>2346</v>
      </c>
      <c r="BQ23" s="1834">
        <v>3809</v>
      </c>
      <c r="BR23" s="1834">
        <f t="shared" si="22"/>
        <v>6155</v>
      </c>
      <c r="BS23" s="1834">
        <v>2378</v>
      </c>
      <c r="BT23" s="1834">
        <v>3846</v>
      </c>
      <c r="BU23" s="1834">
        <f t="shared" si="23"/>
        <v>6224</v>
      </c>
      <c r="BV23" s="1823">
        <v>2364</v>
      </c>
      <c r="BW23" s="1823">
        <v>3841</v>
      </c>
      <c r="BX23" s="1823">
        <f t="shared" si="24"/>
        <v>6205</v>
      </c>
      <c r="BY23" s="1823">
        <v>2375</v>
      </c>
      <c r="BZ23" s="1823">
        <v>3835</v>
      </c>
      <c r="CA23" s="1823">
        <v>2403</v>
      </c>
      <c r="CB23" s="1823">
        <v>3865</v>
      </c>
      <c r="CC23" s="1823">
        <f t="shared" si="25"/>
        <v>6268</v>
      </c>
      <c r="CD23" s="1823">
        <v>2393</v>
      </c>
      <c r="CE23" s="1823">
        <v>3846</v>
      </c>
      <c r="CF23" s="1823">
        <f t="shared" si="26"/>
        <v>6239</v>
      </c>
      <c r="CG23" s="1833">
        <v>2395</v>
      </c>
      <c r="CH23" s="1834">
        <v>3845</v>
      </c>
      <c r="CI23" s="1834">
        <f t="shared" si="27"/>
        <v>6240</v>
      </c>
      <c r="CJ23" s="1823">
        <v>2395</v>
      </c>
      <c r="CK23" s="1823">
        <v>3845</v>
      </c>
      <c r="CL23" s="1829">
        <v>2346</v>
      </c>
      <c r="CM23" s="1829">
        <v>3839</v>
      </c>
      <c r="CN23" s="1830">
        <f t="shared" si="28"/>
        <v>6185</v>
      </c>
      <c r="CO23" s="1823">
        <v>2353</v>
      </c>
      <c r="CP23" s="1823">
        <v>3903</v>
      </c>
      <c r="CQ23" s="1823">
        <f t="shared" si="29"/>
        <v>6256</v>
      </c>
      <c r="CR23" s="1831">
        <v>2351</v>
      </c>
      <c r="CS23" s="1832">
        <v>3925</v>
      </c>
      <c r="CT23" s="1832">
        <f t="shared" si="30"/>
        <v>6276</v>
      </c>
      <c r="CU23" s="1823">
        <v>2342</v>
      </c>
      <c r="CV23" s="1823">
        <v>3949</v>
      </c>
      <c r="CW23" s="1823">
        <f t="shared" si="31"/>
        <v>6291</v>
      </c>
      <c r="CX23" s="1833">
        <v>2335</v>
      </c>
      <c r="CY23" s="1834">
        <v>3908</v>
      </c>
      <c r="CZ23" s="1834">
        <f t="shared" si="32"/>
        <v>6243</v>
      </c>
      <c r="DA23" s="1834">
        <v>2361</v>
      </c>
      <c r="DB23" s="1834">
        <v>3983</v>
      </c>
      <c r="DC23" s="1834">
        <f t="shared" si="33"/>
        <v>6344</v>
      </c>
      <c r="DD23" s="1834">
        <v>2361</v>
      </c>
      <c r="DE23" s="1834">
        <v>4035</v>
      </c>
      <c r="DF23" s="1834">
        <f t="shared" si="34"/>
        <v>6396</v>
      </c>
      <c r="DG23" s="1834">
        <v>2389</v>
      </c>
      <c r="DH23" s="1834">
        <v>4175</v>
      </c>
      <c r="DI23" s="1834">
        <f t="shared" si="35"/>
        <v>6564</v>
      </c>
      <c r="DJ23" s="1823">
        <v>2418</v>
      </c>
      <c r="DK23" s="1823">
        <v>4174</v>
      </c>
      <c r="DL23" s="1823">
        <f t="shared" si="36"/>
        <v>6592</v>
      </c>
      <c r="DM23" s="1823">
        <v>2420</v>
      </c>
      <c r="DN23" s="1823">
        <v>4229</v>
      </c>
      <c r="DO23" s="1823">
        <f t="shared" si="37"/>
        <v>6649</v>
      </c>
      <c r="DP23" s="1823">
        <v>2467</v>
      </c>
      <c r="DQ23" s="1823">
        <v>4332</v>
      </c>
      <c r="DR23" s="1823">
        <f t="shared" si="38"/>
        <v>6799</v>
      </c>
      <c r="DS23" s="1833">
        <v>2475</v>
      </c>
      <c r="DT23" s="1834">
        <v>4397</v>
      </c>
      <c r="DU23" s="1834">
        <f t="shared" si="39"/>
        <v>6872</v>
      </c>
      <c r="DV23" s="1829">
        <v>2494</v>
      </c>
      <c r="DW23" s="1829">
        <v>4369</v>
      </c>
      <c r="DX23" s="1830">
        <f t="shared" si="40"/>
        <v>6863</v>
      </c>
      <c r="DY23" s="1823">
        <v>2480</v>
      </c>
      <c r="DZ23" s="1823">
        <v>4398</v>
      </c>
      <c r="EA23" s="1823">
        <f t="shared" si="41"/>
        <v>6878</v>
      </c>
      <c r="EB23" s="1831">
        <v>2450</v>
      </c>
      <c r="EC23" s="1832">
        <v>4391</v>
      </c>
      <c r="ED23" s="1832">
        <f t="shared" si="42"/>
        <v>6841</v>
      </c>
      <c r="EE23" s="1823">
        <v>2423</v>
      </c>
      <c r="EF23" s="1823">
        <v>4363</v>
      </c>
      <c r="EG23" s="1823">
        <f t="shared" si="43"/>
        <v>6786</v>
      </c>
      <c r="EH23" s="1833">
        <v>2413</v>
      </c>
      <c r="EI23" s="1834">
        <v>4348</v>
      </c>
      <c r="EJ23" s="1834">
        <f t="shared" si="44"/>
        <v>6761</v>
      </c>
      <c r="EK23" s="1834">
        <v>2434</v>
      </c>
      <c r="EL23" s="1834">
        <v>4365</v>
      </c>
      <c r="EM23" s="1834">
        <f t="shared" si="45"/>
        <v>6799</v>
      </c>
      <c r="EN23" s="1834">
        <v>2403</v>
      </c>
      <c r="EO23" s="1834">
        <v>4296</v>
      </c>
      <c r="EP23" s="1834">
        <f t="shared" si="46"/>
        <v>6699</v>
      </c>
      <c r="EQ23" s="1834">
        <v>2444</v>
      </c>
      <c r="ER23" s="1834">
        <v>4385</v>
      </c>
      <c r="ES23" s="1834">
        <f t="shared" si="47"/>
        <v>6829</v>
      </c>
      <c r="ET23" s="1823">
        <v>2419</v>
      </c>
      <c r="EU23" s="1823">
        <v>4326</v>
      </c>
      <c r="EV23" s="1823">
        <f t="shared" si="48"/>
        <v>6745</v>
      </c>
      <c r="EW23" s="1823">
        <v>2394</v>
      </c>
      <c r="EX23" s="1823">
        <v>4266</v>
      </c>
      <c r="EY23" s="1823">
        <f t="shared" si="49"/>
        <v>6660</v>
      </c>
      <c r="EZ23" s="1823">
        <v>2427</v>
      </c>
      <c r="FA23" s="1823">
        <v>4307</v>
      </c>
      <c r="FB23" s="1823">
        <f t="shared" si="50"/>
        <v>6734</v>
      </c>
      <c r="FC23" s="1833">
        <v>2453</v>
      </c>
      <c r="FD23" s="1834">
        <v>4339</v>
      </c>
      <c r="FE23" s="1834">
        <f t="shared" si="51"/>
        <v>6792</v>
      </c>
      <c r="FF23" s="1829">
        <v>2426</v>
      </c>
      <c r="FG23" s="1829">
        <v>4272</v>
      </c>
      <c r="FH23" s="1830">
        <f t="shared" si="52"/>
        <v>6698</v>
      </c>
      <c r="FI23" s="1823">
        <v>2420</v>
      </c>
      <c r="FJ23" s="1823">
        <v>4256</v>
      </c>
      <c r="FK23" s="1823">
        <f t="shared" si="53"/>
        <v>6676</v>
      </c>
      <c r="FL23" s="1831">
        <v>2434</v>
      </c>
      <c r="FM23" s="1832">
        <v>4251</v>
      </c>
      <c r="FN23" s="1832">
        <f t="shared" si="54"/>
        <v>6685</v>
      </c>
      <c r="FO23" s="1823">
        <v>2396</v>
      </c>
      <c r="FP23" s="1823">
        <v>4179</v>
      </c>
      <c r="FQ23" s="1823">
        <f t="shared" si="55"/>
        <v>6575</v>
      </c>
      <c r="FR23" s="1835">
        <v>2402</v>
      </c>
      <c r="FS23" s="1834">
        <v>4178</v>
      </c>
      <c r="FT23" s="1834">
        <f t="shared" si="56"/>
        <v>6580</v>
      </c>
      <c r="FU23" s="1834">
        <v>2393</v>
      </c>
      <c r="FV23" s="1834">
        <v>4172</v>
      </c>
      <c r="FW23" s="1834">
        <f t="shared" si="57"/>
        <v>6565</v>
      </c>
      <c r="FX23" s="1834">
        <v>2373</v>
      </c>
      <c r="FY23" s="1834">
        <v>4179</v>
      </c>
      <c r="FZ23" s="1834">
        <f t="shared" si="58"/>
        <v>6552</v>
      </c>
      <c r="GA23" s="1834">
        <v>2426</v>
      </c>
      <c r="GB23" s="1834">
        <v>4182</v>
      </c>
      <c r="GC23" s="1834">
        <f t="shared" si="59"/>
        <v>6608</v>
      </c>
      <c r="GD23" s="1823">
        <v>2394</v>
      </c>
      <c r="GE23" s="1823">
        <v>4157</v>
      </c>
      <c r="GF23" s="1823">
        <f t="shared" si="60"/>
        <v>6551</v>
      </c>
      <c r="GG23" s="1823">
        <v>2396</v>
      </c>
      <c r="GH23" s="1823">
        <v>4155</v>
      </c>
      <c r="GI23" s="1823">
        <f t="shared" si="61"/>
        <v>6551</v>
      </c>
      <c r="GJ23" s="1823">
        <v>2361</v>
      </c>
      <c r="GK23" s="1823">
        <v>4074</v>
      </c>
      <c r="GL23" s="1823">
        <f t="shared" si="62"/>
        <v>6435</v>
      </c>
      <c r="GM23" s="1833">
        <v>2371</v>
      </c>
      <c r="GN23" s="1834">
        <v>4053</v>
      </c>
      <c r="GO23" s="1834">
        <f t="shared" si="63"/>
        <v>6424</v>
      </c>
      <c r="GP23" s="1829">
        <v>2369</v>
      </c>
      <c r="GQ23" s="1829">
        <v>4038</v>
      </c>
      <c r="GR23" s="1830">
        <f t="shared" si="64"/>
        <v>6407</v>
      </c>
      <c r="GS23" s="1823">
        <v>2361</v>
      </c>
      <c r="GT23" s="1823">
        <v>4034</v>
      </c>
      <c r="GU23" s="1823">
        <f t="shared" si="65"/>
        <v>6395</v>
      </c>
      <c r="GV23" s="1831">
        <v>2365</v>
      </c>
      <c r="GW23" s="1832">
        <v>4018</v>
      </c>
      <c r="GX23" s="1832">
        <f t="shared" si="66"/>
        <v>6383</v>
      </c>
      <c r="GY23" s="1823">
        <v>2365</v>
      </c>
      <c r="GZ23" s="1823">
        <v>3983</v>
      </c>
      <c r="HA23" s="1823">
        <f t="shared" si="67"/>
        <v>6348</v>
      </c>
      <c r="HB23" s="1835">
        <v>2390</v>
      </c>
      <c r="HC23" s="1834">
        <v>4051</v>
      </c>
      <c r="HD23" s="1834">
        <f t="shared" si="68"/>
        <v>6441</v>
      </c>
      <c r="HE23" s="1834">
        <v>2427</v>
      </c>
      <c r="HF23" s="1834">
        <v>4008</v>
      </c>
      <c r="HG23" s="1834">
        <f t="shared" si="69"/>
        <v>6435</v>
      </c>
      <c r="HH23" s="1834">
        <v>2422</v>
      </c>
      <c r="HI23" s="1834">
        <v>4012</v>
      </c>
      <c r="HJ23" s="1834">
        <f t="shared" si="70"/>
        <v>6434</v>
      </c>
      <c r="HK23" s="1834">
        <v>2438</v>
      </c>
      <c r="HL23" s="1834">
        <v>4016</v>
      </c>
      <c r="HM23" s="1834">
        <f t="shared" si="71"/>
        <v>6454</v>
      </c>
      <c r="HN23" s="1823">
        <v>2440</v>
      </c>
      <c r="HO23" s="1823">
        <v>4001</v>
      </c>
      <c r="HP23" s="1823">
        <f t="shared" si="72"/>
        <v>6441</v>
      </c>
      <c r="HQ23" s="1823">
        <v>2419</v>
      </c>
      <c r="HR23" s="1823">
        <v>3986</v>
      </c>
      <c r="HS23" s="1823">
        <f t="shared" si="73"/>
        <v>6405</v>
      </c>
      <c r="HT23" s="1823">
        <v>2462</v>
      </c>
      <c r="HU23" s="1823">
        <v>3978</v>
      </c>
      <c r="HV23" s="1823">
        <f t="shared" si="74"/>
        <v>6440</v>
      </c>
      <c r="HW23" s="1836">
        <v>2462</v>
      </c>
      <c r="HX23" s="1837">
        <v>3982</v>
      </c>
      <c r="HY23" s="1834">
        <f t="shared" si="75"/>
        <v>6444</v>
      </c>
      <c r="HZ23" s="1829">
        <v>2476</v>
      </c>
      <c r="IA23" s="1829">
        <v>3998</v>
      </c>
      <c r="IB23" s="1830">
        <f t="shared" si="76"/>
        <v>6474</v>
      </c>
      <c r="IC23" s="1823">
        <v>2468</v>
      </c>
      <c r="ID23" s="1823">
        <v>3968</v>
      </c>
      <c r="IE23" s="1823">
        <f t="shared" si="77"/>
        <v>6436</v>
      </c>
      <c r="IF23" s="1831">
        <v>2463</v>
      </c>
      <c r="IG23" s="1832">
        <v>3957</v>
      </c>
      <c r="IH23" s="1832">
        <f t="shared" si="78"/>
        <v>6420</v>
      </c>
      <c r="II23" s="1815">
        <v>2486</v>
      </c>
      <c r="IJ23" s="1815">
        <v>3996</v>
      </c>
      <c r="IK23" s="1815">
        <f t="shared" si="79"/>
        <v>6482</v>
      </c>
      <c r="IL23" s="1815">
        <v>8266</v>
      </c>
    </row>
    <row r="24" spans="1:246">
      <c r="A24" s="1900" t="s">
        <v>1753</v>
      </c>
      <c r="B24" s="1815">
        <v>5569</v>
      </c>
      <c r="C24" s="1815">
        <v>615</v>
      </c>
      <c r="D24" s="1823">
        <f t="shared" si="0"/>
        <v>6184</v>
      </c>
      <c r="E24" s="1824">
        <v>6148</v>
      </c>
      <c r="F24" s="1824">
        <v>719</v>
      </c>
      <c r="G24" s="1824">
        <f t="shared" si="1"/>
        <v>6867</v>
      </c>
      <c r="H24" s="1824">
        <v>6188</v>
      </c>
      <c r="I24" s="1840">
        <v>732</v>
      </c>
      <c r="J24" s="1824">
        <f t="shared" si="2"/>
        <v>6920</v>
      </c>
      <c r="K24" s="1825">
        <v>6221</v>
      </c>
      <c r="L24" s="1825">
        <v>927</v>
      </c>
      <c r="M24" s="1825">
        <f t="shared" si="3"/>
        <v>7148</v>
      </c>
      <c r="N24" s="1827">
        <v>5940</v>
      </c>
      <c r="O24" s="1827">
        <v>1239</v>
      </c>
      <c r="P24" s="1827">
        <f t="shared" si="4"/>
        <v>7179</v>
      </c>
      <c r="Q24" s="1823">
        <v>5922</v>
      </c>
      <c r="R24" s="1823">
        <v>1396</v>
      </c>
      <c r="S24" s="1823">
        <f t="shared" si="5"/>
        <v>7318</v>
      </c>
      <c r="T24" s="1823">
        <v>6175</v>
      </c>
      <c r="U24" s="1823">
        <v>1522</v>
      </c>
      <c r="V24" s="1823">
        <f t="shared" si="6"/>
        <v>7697</v>
      </c>
      <c r="W24" s="1825">
        <v>6755</v>
      </c>
      <c r="X24" s="1825">
        <v>1561</v>
      </c>
      <c r="Y24" s="1825">
        <f t="shared" si="7"/>
        <v>8316</v>
      </c>
      <c r="Z24" s="1825">
        <v>6802</v>
      </c>
      <c r="AA24" s="1825">
        <v>1914</v>
      </c>
      <c r="AB24" s="1825">
        <f t="shared" si="8"/>
        <v>8716</v>
      </c>
      <c r="AC24" s="1828">
        <v>7051</v>
      </c>
      <c r="AD24" s="1828">
        <v>1994</v>
      </c>
      <c r="AE24" s="1828">
        <f t="shared" si="9"/>
        <v>9045</v>
      </c>
      <c r="AF24" s="1830">
        <v>6942</v>
      </c>
      <c r="AG24" s="1830">
        <v>2227</v>
      </c>
      <c r="AH24" s="1830">
        <f t="shared" si="10"/>
        <v>9169</v>
      </c>
      <c r="AI24" s="1830">
        <v>7052</v>
      </c>
      <c r="AJ24" s="1830">
        <v>2256</v>
      </c>
      <c r="AK24" s="1830">
        <f t="shared" si="11"/>
        <v>9308</v>
      </c>
      <c r="AL24" s="1823">
        <v>7047</v>
      </c>
      <c r="AM24" s="1823">
        <v>2346</v>
      </c>
      <c r="AN24" s="1823">
        <f t="shared" si="12"/>
        <v>9393</v>
      </c>
      <c r="AO24" s="1830">
        <v>7335</v>
      </c>
      <c r="AP24" s="1830">
        <v>2448</v>
      </c>
      <c r="AQ24" s="1830">
        <f t="shared" si="13"/>
        <v>9783</v>
      </c>
      <c r="AR24" s="1830">
        <v>7091</v>
      </c>
      <c r="AS24" s="1830">
        <v>2405</v>
      </c>
      <c r="AT24" s="1830">
        <f t="shared" si="14"/>
        <v>9496</v>
      </c>
      <c r="AU24" s="1830">
        <v>6963</v>
      </c>
      <c r="AV24" s="1830">
        <v>2380</v>
      </c>
      <c r="AW24" s="1830">
        <f t="shared" si="15"/>
        <v>9343</v>
      </c>
      <c r="AX24" s="1830">
        <v>7115</v>
      </c>
      <c r="AY24" s="1830">
        <v>2415</v>
      </c>
      <c r="AZ24" s="1830">
        <f t="shared" si="16"/>
        <v>9530</v>
      </c>
      <c r="BA24" s="1823">
        <v>7112</v>
      </c>
      <c r="BB24" s="1823">
        <v>2430</v>
      </c>
      <c r="BC24" s="1823">
        <f t="shared" si="17"/>
        <v>9542</v>
      </c>
      <c r="BD24" s="1831">
        <v>7042</v>
      </c>
      <c r="BE24" s="1832">
        <v>2388</v>
      </c>
      <c r="BF24" s="1832">
        <f t="shared" si="18"/>
        <v>9430</v>
      </c>
      <c r="BG24" s="1823">
        <v>6974</v>
      </c>
      <c r="BH24" s="1823">
        <v>2393</v>
      </c>
      <c r="BI24" s="1823">
        <f t="shared" si="19"/>
        <v>9367</v>
      </c>
      <c r="BJ24" s="1833">
        <v>6805</v>
      </c>
      <c r="BK24" s="1834">
        <v>2389</v>
      </c>
      <c r="BL24" s="1834">
        <f t="shared" si="20"/>
        <v>9194</v>
      </c>
      <c r="BM24" s="1834">
        <v>6955</v>
      </c>
      <c r="BN24" s="1834">
        <v>2414</v>
      </c>
      <c r="BO24" s="1834">
        <f t="shared" si="21"/>
        <v>9369</v>
      </c>
      <c r="BP24" s="1834">
        <v>6886</v>
      </c>
      <c r="BQ24" s="1834">
        <v>2408</v>
      </c>
      <c r="BR24" s="1834">
        <f t="shared" si="22"/>
        <v>9294</v>
      </c>
      <c r="BS24" s="1834">
        <v>7324</v>
      </c>
      <c r="BT24" s="1834">
        <v>2549</v>
      </c>
      <c r="BU24" s="1834">
        <f t="shared" si="23"/>
        <v>9873</v>
      </c>
      <c r="BV24" s="1823">
        <v>7186</v>
      </c>
      <c r="BW24" s="1823">
        <v>2460</v>
      </c>
      <c r="BX24" s="1823">
        <f t="shared" si="24"/>
        <v>9646</v>
      </c>
      <c r="BY24" s="1823">
        <v>7331</v>
      </c>
      <c r="BZ24" s="1823">
        <v>2546</v>
      </c>
      <c r="CA24" s="1823">
        <v>7080</v>
      </c>
      <c r="CB24" s="1823">
        <v>2449</v>
      </c>
      <c r="CC24" s="1823">
        <f t="shared" si="25"/>
        <v>9529</v>
      </c>
      <c r="CD24" s="1823">
        <v>6941</v>
      </c>
      <c r="CE24" s="1823">
        <v>2393</v>
      </c>
      <c r="CF24" s="1823">
        <f t="shared" si="26"/>
        <v>9334</v>
      </c>
      <c r="CG24" s="1833">
        <v>6774</v>
      </c>
      <c r="CH24" s="1834">
        <v>2361</v>
      </c>
      <c r="CI24" s="1834">
        <f t="shared" si="27"/>
        <v>9135</v>
      </c>
      <c r="CJ24" s="1823">
        <v>6757</v>
      </c>
      <c r="CK24" s="1823">
        <v>2360</v>
      </c>
      <c r="CL24" s="1830">
        <v>6807</v>
      </c>
      <c r="CM24" s="1830">
        <v>2357</v>
      </c>
      <c r="CN24" s="1830">
        <f t="shared" si="28"/>
        <v>9164</v>
      </c>
      <c r="CO24" s="1823">
        <v>7099</v>
      </c>
      <c r="CP24" s="1823">
        <v>2463</v>
      </c>
      <c r="CQ24" s="1823">
        <f t="shared" si="29"/>
        <v>9562</v>
      </c>
      <c r="CR24" s="1831">
        <v>6708</v>
      </c>
      <c r="CS24" s="1832">
        <v>2291</v>
      </c>
      <c r="CT24" s="1832">
        <f t="shared" si="30"/>
        <v>8999</v>
      </c>
      <c r="CU24" s="1823">
        <v>6519</v>
      </c>
      <c r="CV24" s="1823">
        <v>2235</v>
      </c>
      <c r="CW24" s="1823">
        <f t="shared" si="31"/>
        <v>8754</v>
      </c>
      <c r="CX24" s="1833">
        <v>6373</v>
      </c>
      <c r="CY24" s="1834">
        <v>2242</v>
      </c>
      <c r="CZ24" s="1834">
        <f t="shared" si="32"/>
        <v>8615</v>
      </c>
      <c r="DA24" s="1834">
        <v>5986</v>
      </c>
      <c r="DB24" s="1834">
        <v>2109</v>
      </c>
      <c r="DC24" s="1834">
        <f t="shared" si="33"/>
        <v>8095</v>
      </c>
      <c r="DD24" s="1834">
        <v>5994</v>
      </c>
      <c r="DE24" s="1834">
        <v>2087</v>
      </c>
      <c r="DF24" s="1834">
        <f t="shared" si="34"/>
        <v>8081</v>
      </c>
      <c r="DG24" s="1834">
        <v>5828</v>
      </c>
      <c r="DH24" s="1834">
        <v>2047</v>
      </c>
      <c r="DI24" s="1834">
        <f t="shared" si="35"/>
        <v>7875</v>
      </c>
      <c r="DJ24" s="1823">
        <v>5627</v>
      </c>
      <c r="DK24" s="1823">
        <v>1972</v>
      </c>
      <c r="DL24" s="1823">
        <f t="shared" si="36"/>
        <v>7599</v>
      </c>
      <c r="DM24" s="1823">
        <v>5500</v>
      </c>
      <c r="DN24" s="1823">
        <v>1927</v>
      </c>
      <c r="DO24" s="1823">
        <f t="shared" si="37"/>
        <v>7427</v>
      </c>
      <c r="DP24" s="1823">
        <v>5594</v>
      </c>
      <c r="DQ24" s="1823">
        <v>1981</v>
      </c>
      <c r="DR24" s="1823">
        <f t="shared" si="38"/>
        <v>7575</v>
      </c>
      <c r="DS24" s="1833">
        <v>5365</v>
      </c>
      <c r="DT24" s="1834">
        <v>1901</v>
      </c>
      <c r="DU24" s="1834">
        <f t="shared" si="39"/>
        <v>7266</v>
      </c>
      <c r="DV24" s="1830">
        <v>5220</v>
      </c>
      <c r="DW24" s="1830">
        <v>1879</v>
      </c>
      <c r="DX24" s="1830">
        <f t="shared" si="40"/>
        <v>7099</v>
      </c>
      <c r="DY24" s="1823">
        <v>5032</v>
      </c>
      <c r="DZ24" s="1823">
        <v>1773</v>
      </c>
      <c r="EA24" s="1823">
        <f t="shared" si="41"/>
        <v>6805</v>
      </c>
      <c r="EB24" s="1831">
        <v>5011</v>
      </c>
      <c r="EC24" s="1832">
        <v>1740</v>
      </c>
      <c r="ED24" s="1832">
        <f t="shared" si="42"/>
        <v>6751</v>
      </c>
      <c r="EE24" s="1823">
        <v>4716</v>
      </c>
      <c r="EF24" s="1823">
        <v>1666</v>
      </c>
      <c r="EG24" s="1823">
        <f t="shared" si="43"/>
        <v>6382</v>
      </c>
      <c r="EH24" s="1833">
        <v>4520</v>
      </c>
      <c r="EI24" s="1834">
        <v>1586</v>
      </c>
      <c r="EJ24" s="1834">
        <f t="shared" si="44"/>
        <v>6106</v>
      </c>
      <c r="EK24" s="1834">
        <v>4457</v>
      </c>
      <c r="EL24" s="1834">
        <v>1534</v>
      </c>
      <c r="EM24" s="1834">
        <f t="shared" si="45"/>
        <v>5991</v>
      </c>
      <c r="EN24" s="1834">
        <v>4339</v>
      </c>
      <c r="EO24" s="1834">
        <v>1502</v>
      </c>
      <c r="EP24" s="1834">
        <f t="shared" si="46"/>
        <v>5841</v>
      </c>
      <c r="EQ24" s="1834">
        <v>4311</v>
      </c>
      <c r="ER24" s="1834">
        <v>1473</v>
      </c>
      <c r="ES24" s="1834">
        <f t="shared" si="47"/>
        <v>5784</v>
      </c>
      <c r="ET24" s="1823">
        <v>4177</v>
      </c>
      <c r="EU24" s="1823">
        <v>1425</v>
      </c>
      <c r="EV24" s="1823">
        <f t="shared" si="48"/>
        <v>5602</v>
      </c>
      <c r="EW24" s="1823">
        <v>4209</v>
      </c>
      <c r="EX24" s="1823">
        <v>1455</v>
      </c>
      <c r="EY24" s="1823">
        <f t="shared" si="49"/>
        <v>5664</v>
      </c>
      <c r="EZ24" s="1823">
        <v>4105</v>
      </c>
      <c r="FA24" s="1823">
        <v>1426</v>
      </c>
      <c r="FB24" s="1823">
        <f t="shared" si="50"/>
        <v>5531</v>
      </c>
      <c r="FC24" s="1833">
        <v>3983</v>
      </c>
      <c r="FD24" s="1834">
        <v>1433</v>
      </c>
      <c r="FE24" s="1834">
        <f t="shared" si="51"/>
        <v>5416</v>
      </c>
      <c r="FF24" s="1830">
        <v>3946</v>
      </c>
      <c r="FG24" s="1830">
        <v>1388</v>
      </c>
      <c r="FH24" s="1830">
        <f t="shared" si="52"/>
        <v>5334</v>
      </c>
      <c r="FI24" s="1823">
        <v>3868</v>
      </c>
      <c r="FJ24" s="1823">
        <v>1354</v>
      </c>
      <c r="FK24" s="1823">
        <f t="shared" si="53"/>
        <v>5222</v>
      </c>
      <c r="FL24" s="1831">
        <v>3824</v>
      </c>
      <c r="FM24" s="1832">
        <v>1345</v>
      </c>
      <c r="FN24" s="1832">
        <f t="shared" si="54"/>
        <v>5169</v>
      </c>
      <c r="FO24" s="1823">
        <v>3739</v>
      </c>
      <c r="FP24" s="1823">
        <v>1314</v>
      </c>
      <c r="FQ24" s="1823">
        <f t="shared" si="55"/>
        <v>5053</v>
      </c>
      <c r="FR24" s="1835">
        <v>3711</v>
      </c>
      <c r="FS24" s="1834">
        <v>1331</v>
      </c>
      <c r="FT24" s="1834">
        <f t="shared" si="56"/>
        <v>5042</v>
      </c>
      <c r="FU24" s="1834">
        <v>3625</v>
      </c>
      <c r="FV24" s="1834">
        <v>1351</v>
      </c>
      <c r="FW24" s="1834">
        <f t="shared" si="57"/>
        <v>4976</v>
      </c>
      <c r="FX24" s="1834">
        <v>3542</v>
      </c>
      <c r="FY24" s="1834">
        <v>1375</v>
      </c>
      <c r="FZ24" s="1834">
        <f t="shared" si="58"/>
        <v>4917</v>
      </c>
      <c r="GA24" s="1834">
        <v>3595</v>
      </c>
      <c r="GB24" s="1834">
        <v>1426</v>
      </c>
      <c r="GC24" s="1834">
        <f t="shared" si="59"/>
        <v>5021</v>
      </c>
      <c r="GD24" s="1823">
        <v>3471</v>
      </c>
      <c r="GE24" s="1823">
        <v>1464</v>
      </c>
      <c r="GF24" s="1823">
        <f t="shared" si="60"/>
        <v>4935</v>
      </c>
      <c r="GG24" s="1823">
        <v>3350</v>
      </c>
      <c r="GH24" s="1823">
        <v>1445</v>
      </c>
      <c r="GI24" s="1823">
        <f t="shared" si="61"/>
        <v>4795</v>
      </c>
      <c r="GJ24" s="1823">
        <v>3314</v>
      </c>
      <c r="GK24" s="1823">
        <v>1448</v>
      </c>
      <c r="GL24" s="1823">
        <f t="shared" si="62"/>
        <v>4762</v>
      </c>
      <c r="GM24" s="1833">
        <v>3213</v>
      </c>
      <c r="GN24" s="1834">
        <v>1443</v>
      </c>
      <c r="GO24" s="1834">
        <f t="shared" si="63"/>
        <v>4656</v>
      </c>
      <c r="GP24" s="1830">
        <v>3215</v>
      </c>
      <c r="GQ24" s="1830">
        <v>1425</v>
      </c>
      <c r="GR24" s="1830">
        <f t="shared" si="64"/>
        <v>4640</v>
      </c>
      <c r="GS24" s="1823">
        <v>3151</v>
      </c>
      <c r="GT24" s="1823">
        <v>1394</v>
      </c>
      <c r="GU24" s="1823">
        <f t="shared" si="65"/>
        <v>4545</v>
      </c>
      <c r="GV24" s="1831">
        <v>3134</v>
      </c>
      <c r="GW24" s="1832">
        <v>1348</v>
      </c>
      <c r="GX24" s="1832">
        <f t="shared" si="66"/>
        <v>4482</v>
      </c>
      <c r="GY24" s="1823">
        <v>3070</v>
      </c>
      <c r="GZ24" s="1823">
        <v>1345</v>
      </c>
      <c r="HA24" s="1823">
        <f t="shared" si="67"/>
        <v>4415</v>
      </c>
      <c r="HB24" s="1835">
        <v>3085</v>
      </c>
      <c r="HC24" s="1834">
        <v>1364</v>
      </c>
      <c r="HD24" s="1834">
        <f t="shared" si="68"/>
        <v>4449</v>
      </c>
      <c r="HE24" s="1834">
        <v>2999</v>
      </c>
      <c r="HF24" s="1834">
        <v>1350</v>
      </c>
      <c r="HG24" s="1834">
        <f t="shared" si="69"/>
        <v>4349</v>
      </c>
      <c r="HH24" s="1834">
        <v>2941</v>
      </c>
      <c r="HI24" s="1834">
        <v>1324</v>
      </c>
      <c r="HJ24" s="1834">
        <f t="shared" si="70"/>
        <v>4265</v>
      </c>
      <c r="HK24" s="1834">
        <v>2917</v>
      </c>
      <c r="HL24" s="1834">
        <v>1384</v>
      </c>
      <c r="HM24" s="1834">
        <f t="shared" si="71"/>
        <v>4301</v>
      </c>
      <c r="HN24" s="1823">
        <v>2846</v>
      </c>
      <c r="HO24" s="1823">
        <v>1334</v>
      </c>
      <c r="HP24" s="1823">
        <f t="shared" si="72"/>
        <v>4180</v>
      </c>
      <c r="HQ24" s="1823">
        <v>2772</v>
      </c>
      <c r="HR24" s="1823">
        <v>1288</v>
      </c>
      <c r="HS24" s="1823">
        <f t="shared" si="73"/>
        <v>4060</v>
      </c>
      <c r="HT24" s="1823">
        <v>2800</v>
      </c>
      <c r="HU24" s="1823">
        <v>1283</v>
      </c>
      <c r="HV24" s="1823">
        <f t="shared" si="74"/>
        <v>4083</v>
      </c>
      <c r="HW24" s="1836">
        <v>2813</v>
      </c>
      <c r="HX24" s="1837">
        <v>1297</v>
      </c>
      <c r="HY24" s="1834">
        <f t="shared" si="75"/>
        <v>4110</v>
      </c>
      <c r="HZ24" s="1830">
        <v>2731</v>
      </c>
      <c r="IA24" s="1830">
        <v>1278</v>
      </c>
      <c r="IB24" s="1830">
        <f t="shared" si="76"/>
        <v>4009</v>
      </c>
      <c r="IC24" s="1823">
        <v>2655</v>
      </c>
      <c r="ID24" s="1823">
        <v>1244</v>
      </c>
      <c r="IE24" s="1823">
        <f t="shared" si="77"/>
        <v>3899</v>
      </c>
      <c r="IF24" s="1831">
        <v>2649</v>
      </c>
      <c r="IG24" s="1832">
        <v>1238</v>
      </c>
      <c r="IH24" s="1832">
        <f t="shared" si="78"/>
        <v>3887</v>
      </c>
      <c r="II24" s="1815">
        <v>2747</v>
      </c>
      <c r="IJ24" s="1815">
        <v>1337</v>
      </c>
      <c r="IK24" s="1815">
        <f t="shared" si="79"/>
        <v>4084</v>
      </c>
      <c r="IL24" s="1815">
        <v>3930</v>
      </c>
    </row>
    <row r="25" spans="1:246">
      <c r="A25" s="1900" t="s">
        <v>1752</v>
      </c>
      <c r="B25" s="1815">
        <v>2629</v>
      </c>
      <c r="C25" s="1815">
        <v>2565</v>
      </c>
      <c r="D25" s="1823">
        <f t="shared" si="0"/>
        <v>5194</v>
      </c>
      <c r="E25" s="1824">
        <v>3121</v>
      </c>
      <c r="F25" s="1824">
        <v>3594</v>
      </c>
      <c r="G25" s="1824">
        <f t="shared" si="1"/>
        <v>6715</v>
      </c>
      <c r="H25" s="1824">
        <v>3111</v>
      </c>
      <c r="I25" s="1824">
        <v>3618</v>
      </c>
      <c r="J25" s="1824">
        <f t="shared" si="2"/>
        <v>6729</v>
      </c>
      <c r="K25" s="1825">
        <v>3387</v>
      </c>
      <c r="L25" s="1825">
        <v>3715</v>
      </c>
      <c r="M25" s="1825">
        <f t="shared" si="3"/>
        <v>7102</v>
      </c>
      <c r="N25" s="1826">
        <v>3127</v>
      </c>
      <c r="O25" s="1826">
        <v>3557</v>
      </c>
      <c r="P25" s="1827">
        <f t="shared" si="4"/>
        <v>6684</v>
      </c>
      <c r="Q25" s="1823">
        <v>3028</v>
      </c>
      <c r="R25" s="1823">
        <v>3490</v>
      </c>
      <c r="S25" s="1823">
        <f t="shared" si="5"/>
        <v>6518</v>
      </c>
      <c r="T25" s="1823">
        <v>3236</v>
      </c>
      <c r="U25" s="1823">
        <v>3676</v>
      </c>
      <c r="V25" s="1823">
        <f t="shared" si="6"/>
        <v>6912</v>
      </c>
      <c r="W25" s="1825">
        <v>3160</v>
      </c>
      <c r="X25" s="1825">
        <v>3599</v>
      </c>
      <c r="Y25" s="1825">
        <f t="shared" si="7"/>
        <v>6759</v>
      </c>
      <c r="Z25" s="1825">
        <v>3734</v>
      </c>
      <c r="AA25" s="1825">
        <v>3970</v>
      </c>
      <c r="AB25" s="1825">
        <f t="shared" si="8"/>
        <v>7704</v>
      </c>
      <c r="AC25" s="1828">
        <v>3387</v>
      </c>
      <c r="AD25" s="1828">
        <v>4073</v>
      </c>
      <c r="AE25" s="1828">
        <f t="shared" si="9"/>
        <v>7460</v>
      </c>
      <c r="AF25" s="1829">
        <v>3287</v>
      </c>
      <c r="AG25" s="1829">
        <v>3872</v>
      </c>
      <c r="AH25" s="1830">
        <f t="shared" si="10"/>
        <v>7159</v>
      </c>
      <c r="AI25" s="1829">
        <v>3402</v>
      </c>
      <c r="AJ25" s="1829">
        <v>4006</v>
      </c>
      <c r="AK25" s="1830">
        <f t="shared" si="11"/>
        <v>7408</v>
      </c>
      <c r="AL25" s="1823">
        <v>3368</v>
      </c>
      <c r="AM25" s="1823">
        <v>3955</v>
      </c>
      <c r="AN25" s="1823">
        <f t="shared" si="12"/>
        <v>7323</v>
      </c>
      <c r="AO25" s="1829">
        <v>3529</v>
      </c>
      <c r="AP25" s="1829">
        <v>4068</v>
      </c>
      <c r="AQ25" s="1830">
        <f t="shared" si="13"/>
        <v>7597</v>
      </c>
      <c r="AR25" s="1829">
        <v>3414</v>
      </c>
      <c r="AS25" s="1829">
        <v>3966</v>
      </c>
      <c r="AT25" s="1830">
        <f t="shared" si="14"/>
        <v>7380</v>
      </c>
      <c r="AU25" s="1829">
        <v>3357</v>
      </c>
      <c r="AV25" s="1829">
        <v>3892</v>
      </c>
      <c r="AW25" s="1830">
        <f t="shared" si="15"/>
        <v>7249</v>
      </c>
      <c r="AX25" s="1829">
        <v>3446</v>
      </c>
      <c r="AY25" s="1829">
        <v>4014</v>
      </c>
      <c r="AZ25" s="1830">
        <f t="shared" si="16"/>
        <v>7460</v>
      </c>
      <c r="BA25" s="1823">
        <v>3487</v>
      </c>
      <c r="BB25" s="1823">
        <v>4038</v>
      </c>
      <c r="BC25" s="1823">
        <f t="shared" si="17"/>
        <v>7525</v>
      </c>
      <c r="BD25" s="1838">
        <v>3456</v>
      </c>
      <c r="BE25" s="1839">
        <v>3911</v>
      </c>
      <c r="BF25" s="1832">
        <f t="shared" si="18"/>
        <v>7367</v>
      </c>
      <c r="BG25" s="1823">
        <v>3470</v>
      </c>
      <c r="BH25" s="1823">
        <v>3924</v>
      </c>
      <c r="BI25" s="1823">
        <f t="shared" si="19"/>
        <v>7394</v>
      </c>
      <c r="BJ25" s="1833">
        <v>3422</v>
      </c>
      <c r="BK25" s="1834">
        <v>3874</v>
      </c>
      <c r="BL25" s="1834">
        <f t="shared" si="20"/>
        <v>7296</v>
      </c>
      <c r="BM25" s="1834">
        <v>3432</v>
      </c>
      <c r="BN25" s="1834">
        <v>3958</v>
      </c>
      <c r="BO25" s="1834">
        <f t="shared" si="21"/>
        <v>7390</v>
      </c>
      <c r="BP25" s="1834">
        <v>3387</v>
      </c>
      <c r="BQ25" s="1834">
        <v>3891</v>
      </c>
      <c r="BR25" s="1834">
        <f t="shared" si="22"/>
        <v>7278</v>
      </c>
      <c r="BS25" s="1834">
        <v>3605</v>
      </c>
      <c r="BT25" s="1834">
        <v>4080</v>
      </c>
      <c r="BU25" s="1834">
        <f t="shared" si="23"/>
        <v>7685</v>
      </c>
      <c r="BV25" s="1823">
        <v>3538</v>
      </c>
      <c r="BW25" s="1823">
        <v>4012</v>
      </c>
      <c r="BX25" s="1823">
        <f t="shared" si="24"/>
        <v>7550</v>
      </c>
      <c r="BY25" s="1823">
        <v>3583</v>
      </c>
      <c r="BZ25" s="1823">
        <v>4068</v>
      </c>
      <c r="CA25" s="1823">
        <v>3496</v>
      </c>
      <c r="CB25" s="1823">
        <v>3956</v>
      </c>
      <c r="CC25" s="1823">
        <f t="shared" si="25"/>
        <v>7452</v>
      </c>
      <c r="CD25" s="1823">
        <v>3478</v>
      </c>
      <c r="CE25" s="1823">
        <v>3933</v>
      </c>
      <c r="CF25" s="1823">
        <f t="shared" si="26"/>
        <v>7411</v>
      </c>
      <c r="CG25" s="1833">
        <v>3485</v>
      </c>
      <c r="CH25" s="1834">
        <v>3904</v>
      </c>
      <c r="CI25" s="1834">
        <f t="shared" si="27"/>
        <v>7389</v>
      </c>
      <c r="CJ25" s="1823">
        <v>3465</v>
      </c>
      <c r="CK25" s="1823">
        <v>3892</v>
      </c>
      <c r="CL25" s="1829">
        <v>3430</v>
      </c>
      <c r="CM25" s="1829">
        <v>4538</v>
      </c>
      <c r="CN25" s="1830">
        <f t="shared" si="28"/>
        <v>7968</v>
      </c>
      <c r="CO25" s="1823">
        <v>3666</v>
      </c>
      <c r="CP25" s="1823">
        <v>4832</v>
      </c>
      <c r="CQ25" s="1823">
        <f t="shared" si="29"/>
        <v>8498</v>
      </c>
      <c r="CR25" s="1838">
        <v>3405</v>
      </c>
      <c r="CS25" s="1839">
        <v>4557</v>
      </c>
      <c r="CT25" s="1832">
        <f t="shared" si="30"/>
        <v>7962</v>
      </c>
      <c r="CU25" s="1823">
        <v>3383</v>
      </c>
      <c r="CV25" s="1823">
        <v>4511</v>
      </c>
      <c r="CW25" s="1823">
        <f t="shared" si="31"/>
        <v>7894</v>
      </c>
      <c r="CX25" s="1833">
        <v>3253</v>
      </c>
      <c r="CY25" s="1834">
        <v>4408</v>
      </c>
      <c r="CZ25" s="1834">
        <f t="shared" si="32"/>
        <v>7661</v>
      </c>
      <c r="DA25" s="1834">
        <v>3092</v>
      </c>
      <c r="DB25" s="1834">
        <v>4170</v>
      </c>
      <c r="DC25" s="1834">
        <f t="shared" si="33"/>
        <v>7262</v>
      </c>
      <c r="DD25" s="1834">
        <v>3091</v>
      </c>
      <c r="DE25" s="1834">
        <v>4263</v>
      </c>
      <c r="DF25" s="1834">
        <f t="shared" si="34"/>
        <v>7354</v>
      </c>
      <c r="DG25" s="1834">
        <v>2964</v>
      </c>
      <c r="DH25" s="1834">
        <v>4041</v>
      </c>
      <c r="DI25" s="1834">
        <f t="shared" si="35"/>
        <v>7005</v>
      </c>
      <c r="DJ25" s="1823">
        <v>2900</v>
      </c>
      <c r="DK25" s="1823">
        <v>4001</v>
      </c>
      <c r="DL25" s="1823">
        <f t="shared" si="36"/>
        <v>6901</v>
      </c>
      <c r="DM25" s="1823">
        <v>2839</v>
      </c>
      <c r="DN25" s="1823">
        <v>3872</v>
      </c>
      <c r="DO25" s="1823">
        <f t="shared" si="37"/>
        <v>6711</v>
      </c>
      <c r="DP25" s="1823">
        <v>2798</v>
      </c>
      <c r="DQ25" s="1823">
        <v>3837</v>
      </c>
      <c r="DR25" s="1823">
        <f t="shared" si="38"/>
        <v>6635</v>
      </c>
      <c r="DS25" s="1833">
        <v>2730</v>
      </c>
      <c r="DT25" s="1834">
        <v>3809</v>
      </c>
      <c r="DU25" s="1834">
        <f t="shared" si="39"/>
        <v>6539</v>
      </c>
      <c r="DV25" s="1829">
        <v>2659</v>
      </c>
      <c r="DW25" s="1829">
        <v>3702</v>
      </c>
      <c r="DX25" s="1830">
        <f t="shared" si="40"/>
        <v>6361</v>
      </c>
      <c r="DY25" s="1823">
        <v>2611</v>
      </c>
      <c r="DZ25" s="1823">
        <v>3619</v>
      </c>
      <c r="EA25" s="1823">
        <f t="shared" si="41"/>
        <v>6230</v>
      </c>
      <c r="EB25" s="1838">
        <v>2636</v>
      </c>
      <c r="EC25" s="1839">
        <v>3640</v>
      </c>
      <c r="ED25" s="1832">
        <f t="shared" si="42"/>
        <v>6276</v>
      </c>
      <c r="EE25" s="1823">
        <v>2462</v>
      </c>
      <c r="EF25" s="1823">
        <v>3411</v>
      </c>
      <c r="EG25" s="1823">
        <f t="shared" si="43"/>
        <v>5873</v>
      </c>
      <c r="EH25" s="1833">
        <v>2381</v>
      </c>
      <c r="EI25" s="1834">
        <v>3280</v>
      </c>
      <c r="EJ25" s="1834">
        <f t="shared" si="44"/>
        <v>5661</v>
      </c>
      <c r="EK25" s="1834">
        <v>2432</v>
      </c>
      <c r="EL25" s="1834">
        <v>3331</v>
      </c>
      <c r="EM25" s="1834">
        <f t="shared" si="45"/>
        <v>5763</v>
      </c>
      <c r="EN25" s="1834">
        <v>2381</v>
      </c>
      <c r="EO25" s="1834">
        <v>3272</v>
      </c>
      <c r="EP25" s="1834">
        <f t="shared" si="46"/>
        <v>5653</v>
      </c>
      <c r="EQ25" s="1834">
        <v>2388</v>
      </c>
      <c r="ER25" s="1834">
        <v>3298</v>
      </c>
      <c r="ES25" s="1834">
        <f t="shared" si="47"/>
        <v>5686</v>
      </c>
      <c r="ET25" s="1823">
        <v>2296</v>
      </c>
      <c r="EU25" s="1823">
        <v>3153</v>
      </c>
      <c r="EV25" s="1823">
        <f t="shared" si="48"/>
        <v>5449</v>
      </c>
      <c r="EW25" s="1823">
        <v>2366</v>
      </c>
      <c r="EX25" s="1823">
        <v>3163</v>
      </c>
      <c r="EY25" s="1823">
        <f t="shared" si="49"/>
        <v>5529</v>
      </c>
      <c r="EZ25" s="1823">
        <v>2280</v>
      </c>
      <c r="FA25" s="1823">
        <v>3045</v>
      </c>
      <c r="FB25" s="1823">
        <f t="shared" si="50"/>
        <v>5325</v>
      </c>
      <c r="FC25" s="1833">
        <v>2258</v>
      </c>
      <c r="FD25" s="1834">
        <v>3080</v>
      </c>
      <c r="FE25" s="1834">
        <f t="shared" si="51"/>
        <v>5338</v>
      </c>
      <c r="FF25" s="1829">
        <v>2204</v>
      </c>
      <c r="FG25" s="1829">
        <v>2945</v>
      </c>
      <c r="FH25" s="1830">
        <f t="shared" si="52"/>
        <v>5149</v>
      </c>
      <c r="FI25" s="1823">
        <v>2175</v>
      </c>
      <c r="FJ25" s="1823">
        <v>2924</v>
      </c>
      <c r="FK25" s="1823">
        <f t="shared" si="53"/>
        <v>5099</v>
      </c>
      <c r="FL25" s="1838">
        <v>2176</v>
      </c>
      <c r="FM25" s="1839">
        <v>2848</v>
      </c>
      <c r="FN25" s="1832">
        <f t="shared" si="54"/>
        <v>5024</v>
      </c>
      <c r="FO25" s="1823">
        <v>2136</v>
      </c>
      <c r="FP25" s="1823">
        <v>2851</v>
      </c>
      <c r="FQ25" s="1823">
        <f t="shared" si="55"/>
        <v>4987</v>
      </c>
      <c r="FR25" s="1835">
        <v>2120</v>
      </c>
      <c r="FS25" s="1834">
        <v>2738</v>
      </c>
      <c r="FT25" s="1834">
        <f t="shared" si="56"/>
        <v>4858</v>
      </c>
      <c r="FU25" s="1834">
        <v>2096</v>
      </c>
      <c r="FV25" s="1834">
        <v>2734</v>
      </c>
      <c r="FW25" s="1834">
        <f t="shared" si="57"/>
        <v>4830</v>
      </c>
      <c r="FX25" s="1834">
        <v>2035</v>
      </c>
      <c r="FY25" s="1834">
        <v>2608</v>
      </c>
      <c r="FZ25" s="1834">
        <f t="shared" si="58"/>
        <v>4643</v>
      </c>
      <c r="GA25" s="1834">
        <v>2105</v>
      </c>
      <c r="GB25" s="1834">
        <v>2720</v>
      </c>
      <c r="GC25" s="1834">
        <f t="shared" si="59"/>
        <v>4825</v>
      </c>
      <c r="GD25" s="1823">
        <v>2033</v>
      </c>
      <c r="GE25" s="1823">
        <v>2623</v>
      </c>
      <c r="GF25" s="1823">
        <f t="shared" si="60"/>
        <v>4656</v>
      </c>
      <c r="GG25" s="1823">
        <v>1988</v>
      </c>
      <c r="GH25" s="1823">
        <v>2599</v>
      </c>
      <c r="GI25" s="1823">
        <f t="shared" si="61"/>
        <v>4587</v>
      </c>
      <c r="GJ25" s="1823">
        <v>1990</v>
      </c>
      <c r="GK25" s="1823">
        <v>2657</v>
      </c>
      <c r="GL25" s="1823">
        <f t="shared" si="62"/>
        <v>4647</v>
      </c>
      <c r="GM25" s="1833">
        <v>1933</v>
      </c>
      <c r="GN25" s="1834">
        <v>2617</v>
      </c>
      <c r="GO25" s="1834">
        <f t="shared" si="63"/>
        <v>4550</v>
      </c>
      <c r="GP25" s="1829">
        <v>1938</v>
      </c>
      <c r="GQ25" s="1829">
        <v>2613</v>
      </c>
      <c r="GR25" s="1830">
        <f t="shared" si="64"/>
        <v>4551</v>
      </c>
      <c r="GS25" s="1823">
        <v>1915</v>
      </c>
      <c r="GT25" s="1823">
        <v>2532</v>
      </c>
      <c r="GU25" s="1823">
        <f t="shared" si="65"/>
        <v>4447</v>
      </c>
      <c r="GV25" s="1838">
        <v>1926</v>
      </c>
      <c r="GW25" s="1839">
        <v>2512</v>
      </c>
      <c r="GX25" s="1832">
        <f t="shared" si="66"/>
        <v>4438</v>
      </c>
      <c r="GY25" s="1823">
        <v>1888</v>
      </c>
      <c r="GZ25" s="1823">
        <v>2477</v>
      </c>
      <c r="HA25" s="1823">
        <f t="shared" si="67"/>
        <v>4365</v>
      </c>
      <c r="HB25" s="1835">
        <v>1893</v>
      </c>
      <c r="HC25" s="1834">
        <v>2445</v>
      </c>
      <c r="HD25" s="1834">
        <f t="shared" si="68"/>
        <v>4338</v>
      </c>
      <c r="HE25" s="1834">
        <v>1821</v>
      </c>
      <c r="HF25" s="1834">
        <v>2411</v>
      </c>
      <c r="HG25" s="1834">
        <f t="shared" si="69"/>
        <v>4232</v>
      </c>
      <c r="HH25" s="1834">
        <v>1835</v>
      </c>
      <c r="HI25" s="1834">
        <v>2369</v>
      </c>
      <c r="HJ25" s="1834">
        <f t="shared" si="70"/>
        <v>4204</v>
      </c>
      <c r="HK25" s="1834">
        <v>1827</v>
      </c>
      <c r="HL25" s="1834">
        <v>2305</v>
      </c>
      <c r="HM25" s="1834">
        <f t="shared" si="71"/>
        <v>4132</v>
      </c>
      <c r="HN25" s="1823">
        <v>1809</v>
      </c>
      <c r="HO25" s="1823">
        <v>2219</v>
      </c>
      <c r="HP25" s="1823">
        <f t="shared" si="72"/>
        <v>4028</v>
      </c>
      <c r="HQ25" s="1823">
        <v>1792</v>
      </c>
      <c r="HR25" s="1823">
        <v>2159</v>
      </c>
      <c r="HS25" s="1823">
        <f t="shared" si="73"/>
        <v>3951</v>
      </c>
      <c r="HT25" s="1823">
        <v>1822</v>
      </c>
      <c r="HU25" s="1823">
        <v>2193</v>
      </c>
      <c r="HV25" s="1823">
        <f t="shared" si="74"/>
        <v>4015</v>
      </c>
      <c r="HW25" s="1836">
        <v>1811</v>
      </c>
      <c r="HX25" s="1837">
        <v>2127</v>
      </c>
      <c r="HY25" s="1834">
        <f t="shared" si="75"/>
        <v>3938</v>
      </c>
      <c r="HZ25" s="1829">
        <v>1761</v>
      </c>
      <c r="IA25" s="1829">
        <v>2026</v>
      </c>
      <c r="IB25" s="1830">
        <f t="shared" si="76"/>
        <v>3787</v>
      </c>
      <c r="IC25" s="1823">
        <v>1771</v>
      </c>
      <c r="ID25" s="1823">
        <v>2019</v>
      </c>
      <c r="IE25" s="1823">
        <f t="shared" si="77"/>
        <v>3790</v>
      </c>
      <c r="IF25" s="1838">
        <v>1779</v>
      </c>
      <c r="IG25" s="1839">
        <v>1989</v>
      </c>
      <c r="IH25" s="1832">
        <f t="shared" si="78"/>
        <v>3768</v>
      </c>
      <c r="II25" s="1815">
        <v>1758</v>
      </c>
      <c r="IJ25" s="1815">
        <v>1983</v>
      </c>
      <c r="IK25" s="1815">
        <f t="shared" si="79"/>
        <v>3741</v>
      </c>
      <c r="IL25" s="1815">
        <v>3676</v>
      </c>
    </row>
    <row r="26" spans="1:246">
      <c r="A26" s="1900" t="s">
        <v>1604</v>
      </c>
      <c r="B26" s="1815">
        <v>2960</v>
      </c>
      <c r="C26" s="1815">
        <v>2071</v>
      </c>
      <c r="D26" s="1823">
        <f t="shared" si="0"/>
        <v>5031</v>
      </c>
      <c r="E26" s="1824">
        <v>2960</v>
      </c>
      <c r="F26" s="1824">
        <v>2045</v>
      </c>
      <c r="G26" s="1824">
        <f t="shared" si="1"/>
        <v>5005</v>
      </c>
      <c r="H26" s="1824">
        <v>2984</v>
      </c>
      <c r="I26" s="1824">
        <v>2040</v>
      </c>
      <c r="J26" s="1824">
        <f t="shared" si="2"/>
        <v>5024</v>
      </c>
      <c r="K26" s="1825">
        <v>2946</v>
      </c>
      <c r="L26" s="1825">
        <v>2006</v>
      </c>
      <c r="M26" s="1825">
        <f t="shared" si="3"/>
        <v>4952</v>
      </c>
      <c r="N26" s="1827">
        <v>2943</v>
      </c>
      <c r="O26" s="1827">
        <v>2053</v>
      </c>
      <c r="P26" s="1827">
        <f t="shared" si="4"/>
        <v>4996</v>
      </c>
      <c r="Q26" s="1823">
        <v>2907</v>
      </c>
      <c r="R26" s="1823">
        <v>2019</v>
      </c>
      <c r="S26" s="1823">
        <f t="shared" si="5"/>
        <v>4926</v>
      </c>
      <c r="T26" s="1823">
        <v>2936</v>
      </c>
      <c r="U26" s="1823">
        <v>2020</v>
      </c>
      <c r="V26" s="1823">
        <f t="shared" si="6"/>
        <v>4956</v>
      </c>
      <c r="W26" s="1825">
        <v>2929</v>
      </c>
      <c r="X26" s="1825">
        <v>2059</v>
      </c>
      <c r="Y26" s="1825">
        <f t="shared" si="7"/>
        <v>4988</v>
      </c>
      <c r="Z26" s="1825">
        <v>3022</v>
      </c>
      <c r="AA26" s="1825">
        <v>2047</v>
      </c>
      <c r="AB26" s="1825">
        <f t="shared" si="8"/>
        <v>5069</v>
      </c>
      <c r="AC26" s="1828">
        <v>3044</v>
      </c>
      <c r="AD26" s="1828">
        <v>2042</v>
      </c>
      <c r="AE26" s="1828">
        <f t="shared" si="9"/>
        <v>5086</v>
      </c>
      <c r="AF26" s="1830">
        <v>3013</v>
      </c>
      <c r="AG26" s="1830">
        <v>2035</v>
      </c>
      <c r="AH26" s="1830">
        <f t="shared" si="10"/>
        <v>5048</v>
      </c>
      <c r="AI26" s="1830">
        <v>3013</v>
      </c>
      <c r="AJ26" s="1830">
        <v>2418</v>
      </c>
      <c r="AK26" s="1830">
        <f t="shared" si="11"/>
        <v>5431</v>
      </c>
      <c r="AL26" s="1823">
        <v>3013</v>
      </c>
      <c r="AM26" s="1823">
        <v>2487</v>
      </c>
      <c r="AN26" s="1823">
        <f t="shared" si="12"/>
        <v>5500</v>
      </c>
      <c r="AO26" s="1830">
        <v>2949</v>
      </c>
      <c r="AP26" s="1830">
        <v>2516</v>
      </c>
      <c r="AQ26" s="1830">
        <f t="shared" si="13"/>
        <v>5465</v>
      </c>
      <c r="AR26" s="1830">
        <v>2750</v>
      </c>
      <c r="AS26" s="1830">
        <v>2369</v>
      </c>
      <c r="AT26" s="1830">
        <f t="shared" si="14"/>
        <v>5119</v>
      </c>
      <c r="AU26" s="1830">
        <v>2656</v>
      </c>
      <c r="AV26" s="1830">
        <v>2308</v>
      </c>
      <c r="AW26" s="1830">
        <f t="shared" si="15"/>
        <v>4964</v>
      </c>
      <c r="AX26" s="1830">
        <v>2566</v>
      </c>
      <c r="AY26" s="1830">
        <v>2242</v>
      </c>
      <c r="AZ26" s="1830">
        <f t="shared" si="16"/>
        <v>4808</v>
      </c>
      <c r="BA26" s="1823">
        <v>2528</v>
      </c>
      <c r="BB26" s="1823">
        <v>2233</v>
      </c>
      <c r="BC26" s="1823">
        <f t="shared" si="17"/>
        <v>4761</v>
      </c>
      <c r="BD26" s="1831">
        <v>2509</v>
      </c>
      <c r="BE26" s="1832">
        <v>2306</v>
      </c>
      <c r="BF26" s="1832">
        <f t="shared" si="18"/>
        <v>4815</v>
      </c>
      <c r="BG26" s="1823">
        <v>2459</v>
      </c>
      <c r="BH26" s="1823">
        <v>2239</v>
      </c>
      <c r="BI26" s="1823">
        <f t="shared" si="19"/>
        <v>4698</v>
      </c>
      <c r="BJ26" s="1833">
        <v>2383</v>
      </c>
      <c r="BK26" s="1834">
        <v>2206</v>
      </c>
      <c r="BL26" s="1834">
        <f t="shared" si="20"/>
        <v>4589</v>
      </c>
      <c r="BM26" s="1834">
        <v>2348</v>
      </c>
      <c r="BN26" s="1834">
        <v>2144</v>
      </c>
      <c r="BO26" s="1834">
        <f t="shared" si="21"/>
        <v>4492</v>
      </c>
      <c r="BP26" s="1834">
        <v>2262</v>
      </c>
      <c r="BQ26" s="1834">
        <v>2089</v>
      </c>
      <c r="BR26" s="1834">
        <f t="shared" si="22"/>
        <v>4351</v>
      </c>
      <c r="BS26" s="1834">
        <v>2156</v>
      </c>
      <c r="BT26" s="1834">
        <v>1991</v>
      </c>
      <c r="BU26" s="1834">
        <f t="shared" si="23"/>
        <v>4147</v>
      </c>
      <c r="BV26" s="1823">
        <v>2014</v>
      </c>
      <c r="BW26" s="1823">
        <v>1869</v>
      </c>
      <c r="BX26" s="1823">
        <f t="shared" si="24"/>
        <v>3883</v>
      </c>
      <c r="BY26" s="1823">
        <v>2150</v>
      </c>
      <c r="BZ26" s="1823">
        <v>1991</v>
      </c>
      <c r="CA26" s="1823">
        <v>1895</v>
      </c>
      <c r="CB26" s="1823">
        <v>1754</v>
      </c>
      <c r="CC26" s="1823">
        <f t="shared" si="25"/>
        <v>3649</v>
      </c>
      <c r="CD26" s="1823">
        <v>1803</v>
      </c>
      <c r="CE26" s="1823">
        <v>1691</v>
      </c>
      <c r="CF26" s="1823">
        <f t="shared" si="26"/>
        <v>3494</v>
      </c>
      <c r="CG26" s="1833">
        <v>1686</v>
      </c>
      <c r="CH26" s="1834">
        <v>1605</v>
      </c>
      <c r="CI26" s="1834">
        <f t="shared" si="27"/>
        <v>3291</v>
      </c>
      <c r="CJ26" s="1823">
        <v>1681</v>
      </c>
      <c r="CK26" s="1823">
        <v>1605</v>
      </c>
      <c r="CL26" s="1830">
        <v>1611</v>
      </c>
      <c r="CM26" s="1830">
        <v>1591</v>
      </c>
      <c r="CN26" s="1830">
        <f t="shared" si="28"/>
        <v>3202</v>
      </c>
      <c r="CO26" s="1823">
        <v>1589</v>
      </c>
      <c r="CP26" s="1823">
        <v>1538</v>
      </c>
      <c r="CQ26" s="1823">
        <f t="shared" si="29"/>
        <v>3127</v>
      </c>
      <c r="CR26" s="1831">
        <v>1540</v>
      </c>
      <c r="CS26" s="1832">
        <v>1540</v>
      </c>
      <c r="CT26" s="1832">
        <f t="shared" si="30"/>
        <v>3080</v>
      </c>
      <c r="CU26" s="1823">
        <v>1478</v>
      </c>
      <c r="CV26" s="1823">
        <v>1509</v>
      </c>
      <c r="CW26" s="1823">
        <f t="shared" si="31"/>
        <v>2987</v>
      </c>
      <c r="CX26" s="1833">
        <v>1418</v>
      </c>
      <c r="CY26" s="1834">
        <v>1457</v>
      </c>
      <c r="CZ26" s="1834">
        <f t="shared" si="32"/>
        <v>2875</v>
      </c>
      <c r="DA26" s="1834">
        <v>1384</v>
      </c>
      <c r="DB26" s="1834">
        <v>1409</v>
      </c>
      <c r="DC26" s="1834">
        <f t="shared" si="33"/>
        <v>2793</v>
      </c>
      <c r="DD26" s="1834">
        <v>1376</v>
      </c>
      <c r="DE26" s="1834">
        <v>1401</v>
      </c>
      <c r="DF26" s="1834">
        <f t="shared" si="34"/>
        <v>2777</v>
      </c>
      <c r="DG26" s="1834">
        <v>1316</v>
      </c>
      <c r="DH26" s="1834">
        <v>1341</v>
      </c>
      <c r="DI26" s="1834">
        <f t="shared" si="35"/>
        <v>2657</v>
      </c>
      <c r="DJ26" s="1823">
        <v>1272</v>
      </c>
      <c r="DK26" s="1823">
        <v>1309</v>
      </c>
      <c r="DL26" s="1823">
        <f t="shared" si="36"/>
        <v>2581</v>
      </c>
      <c r="DM26" s="1823">
        <v>1216</v>
      </c>
      <c r="DN26" s="1823">
        <v>1249</v>
      </c>
      <c r="DO26" s="1823">
        <f t="shared" si="37"/>
        <v>2465</v>
      </c>
      <c r="DP26" s="1823">
        <v>1197</v>
      </c>
      <c r="DQ26" s="1823">
        <v>1219</v>
      </c>
      <c r="DR26" s="1823">
        <f t="shared" si="38"/>
        <v>2416</v>
      </c>
      <c r="DS26" s="1833">
        <v>1149</v>
      </c>
      <c r="DT26" s="1834">
        <v>1173</v>
      </c>
      <c r="DU26" s="1834">
        <f t="shared" si="39"/>
        <v>2322</v>
      </c>
      <c r="DV26" s="1830">
        <v>1123</v>
      </c>
      <c r="DW26" s="1830">
        <v>1144</v>
      </c>
      <c r="DX26" s="1830">
        <f t="shared" si="40"/>
        <v>2267</v>
      </c>
      <c r="DY26" s="1823">
        <v>1115</v>
      </c>
      <c r="DZ26" s="1823">
        <v>1143</v>
      </c>
      <c r="EA26" s="1823">
        <f t="shared" si="41"/>
        <v>2258</v>
      </c>
      <c r="EB26" s="1831">
        <v>1107</v>
      </c>
      <c r="EC26" s="1832">
        <v>1118</v>
      </c>
      <c r="ED26" s="1832">
        <f t="shared" si="42"/>
        <v>2225</v>
      </c>
      <c r="EE26" s="1823">
        <v>1082</v>
      </c>
      <c r="EF26" s="1823">
        <v>1081</v>
      </c>
      <c r="EG26" s="1823">
        <f t="shared" si="43"/>
        <v>2163</v>
      </c>
      <c r="EH26" s="1833">
        <v>1051</v>
      </c>
      <c r="EI26" s="1834">
        <v>1079</v>
      </c>
      <c r="EJ26" s="1834">
        <f t="shared" si="44"/>
        <v>2130</v>
      </c>
      <c r="EK26" s="1834">
        <v>1041</v>
      </c>
      <c r="EL26" s="1834">
        <v>1054</v>
      </c>
      <c r="EM26" s="1834">
        <f t="shared" si="45"/>
        <v>2095</v>
      </c>
      <c r="EN26" s="1834">
        <v>1023</v>
      </c>
      <c r="EO26" s="1834">
        <v>1021</v>
      </c>
      <c r="EP26" s="1834">
        <f t="shared" si="46"/>
        <v>2044</v>
      </c>
      <c r="EQ26" s="1834">
        <v>996</v>
      </c>
      <c r="ER26" s="1834">
        <v>1008</v>
      </c>
      <c r="ES26" s="1834">
        <f t="shared" si="47"/>
        <v>2004</v>
      </c>
      <c r="ET26" s="1823">
        <v>972</v>
      </c>
      <c r="EU26" s="1823">
        <v>984</v>
      </c>
      <c r="EV26" s="1823">
        <f t="shared" si="48"/>
        <v>1956</v>
      </c>
      <c r="EW26" s="1823">
        <v>964</v>
      </c>
      <c r="EX26" s="1823">
        <v>973</v>
      </c>
      <c r="EY26" s="1823">
        <f t="shared" si="49"/>
        <v>1937</v>
      </c>
      <c r="EZ26" s="1823">
        <v>978</v>
      </c>
      <c r="FA26" s="1823">
        <v>998</v>
      </c>
      <c r="FB26" s="1823">
        <f t="shared" si="50"/>
        <v>1976</v>
      </c>
      <c r="FC26" s="1833">
        <v>981</v>
      </c>
      <c r="FD26" s="1834">
        <v>1002</v>
      </c>
      <c r="FE26" s="1834">
        <f t="shared" si="51"/>
        <v>1983</v>
      </c>
      <c r="FF26" s="1830">
        <v>974</v>
      </c>
      <c r="FG26" s="1830">
        <v>989</v>
      </c>
      <c r="FH26" s="1830">
        <f t="shared" si="52"/>
        <v>1963</v>
      </c>
      <c r="FI26" s="1823">
        <v>973</v>
      </c>
      <c r="FJ26" s="1823">
        <v>980</v>
      </c>
      <c r="FK26" s="1823">
        <f t="shared" si="53"/>
        <v>1953</v>
      </c>
      <c r="FL26" s="1831">
        <v>959</v>
      </c>
      <c r="FM26" s="1832">
        <v>983</v>
      </c>
      <c r="FN26" s="1832">
        <f t="shared" si="54"/>
        <v>1942</v>
      </c>
      <c r="FO26" s="1823">
        <v>972</v>
      </c>
      <c r="FP26" s="1823">
        <v>999</v>
      </c>
      <c r="FQ26" s="1823">
        <f t="shared" si="55"/>
        <v>1971</v>
      </c>
      <c r="FR26" s="1835">
        <v>956</v>
      </c>
      <c r="FS26" s="1834">
        <v>975</v>
      </c>
      <c r="FT26" s="1834">
        <f t="shared" si="56"/>
        <v>1931</v>
      </c>
      <c r="FU26" s="1834">
        <v>952</v>
      </c>
      <c r="FV26" s="1834">
        <v>968</v>
      </c>
      <c r="FW26" s="1834">
        <f t="shared" si="57"/>
        <v>1920</v>
      </c>
      <c r="FX26" s="1834">
        <v>939</v>
      </c>
      <c r="FY26" s="1834">
        <v>953</v>
      </c>
      <c r="FZ26" s="1834">
        <f t="shared" si="58"/>
        <v>1892</v>
      </c>
      <c r="GA26" s="1834">
        <v>941</v>
      </c>
      <c r="GB26" s="1834">
        <v>949</v>
      </c>
      <c r="GC26" s="1834">
        <f t="shared" si="59"/>
        <v>1890</v>
      </c>
      <c r="GD26" s="1823">
        <v>940</v>
      </c>
      <c r="GE26" s="1823">
        <v>955</v>
      </c>
      <c r="GF26" s="1823">
        <f t="shared" si="60"/>
        <v>1895</v>
      </c>
      <c r="GG26" s="1823">
        <v>971</v>
      </c>
      <c r="GH26" s="1823">
        <v>970</v>
      </c>
      <c r="GI26" s="1823">
        <f t="shared" si="61"/>
        <v>1941</v>
      </c>
      <c r="GJ26" s="1823">
        <v>973</v>
      </c>
      <c r="GK26" s="1823">
        <v>978</v>
      </c>
      <c r="GL26" s="1823">
        <f t="shared" si="62"/>
        <v>1951</v>
      </c>
      <c r="GM26" s="1833">
        <v>962</v>
      </c>
      <c r="GN26" s="1834">
        <v>981</v>
      </c>
      <c r="GO26" s="1834">
        <f t="shared" si="63"/>
        <v>1943</v>
      </c>
      <c r="GP26" s="1830">
        <v>966</v>
      </c>
      <c r="GQ26" s="1830">
        <v>987</v>
      </c>
      <c r="GR26" s="1830">
        <f t="shared" si="64"/>
        <v>1953</v>
      </c>
      <c r="GS26" s="1823">
        <v>973</v>
      </c>
      <c r="GT26" s="1823">
        <v>1008</v>
      </c>
      <c r="GU26" s="1823">
        <f t="shared" si="65"/>
        <v>1981</v>
      </c>
      <c r="GV26" s="1831">
        <v>987</v>
      </c>
      <c r="GW26" s="1832">
        <v>1013</v>
      </c>
      <c r="GX26" s="1832">
        <f t="shared" si="66"/>
        <v>2000</v>
      </c>
      <c r="GY26" s="1823">
        <v>990</v>
      </c>
      <c r="GZ26" s="1823">
        <v>1023</v>
      </c>
      <c r="HA26" s="1823">
        <f t="shared" si="67"/>
        <v>2013</v>
      </c>
      <c r="HB26" s="1835">
        <v>992</v>
      </c>
      <c r="HC26" s="1834">
        <v>1010</v>
      </c>
      <c r="HD26" s="1834">
        <f t="shared" si="68"/>
        <v>2002</v>
      </c>
      <c r="HE26" s="1834">
        <v>993</v>
      </c>
      <c r="HF26" s="1834">
        <v>1015</v>
      </c>
      <c r="HG26" s="1834">
        <f t="shared" si="69"/>
        <v>2008</v>
      </c>
      <c r="HH26" s="1834">
        <v>984</v>
      </c>
      <c r="HI26" s="1834">
        <v>1004</v>
      </c>
      <c r="HJ26" s="1834">
        <f t="shared" si="70"/>
        <v>1988</v>
      </c>
      <c r="HK26" s="1834">
        <v>983</v>
      </c>
      <c r="HL26" s="1834">
        <v>1005</v>
      </c>
      <c r="HM26" s="1834">
        <f t="shared" si="71"/>
        <v>1988</v>
      </c>
      <c r="HN26" s="1823">
        <v>980</v>
      </c>
      <c r="HO26" s="1823">
        <v>994</v>
      </c>
      <c r="HP26" s="1823">
        <f t="shared" si="72"/>
        <v>1974</v>
      </c>
      <c r="HQ26" s="1823">
        <v>986</v>
      </c>
      <c r="HR26" s="1823">
        <v>1000</v>
      </c>
      <c r="HS26" s="1823">
        <f t="shared" si="73"/>
        <v>1986</v>
      </c>
      <c r="HT26" s="1823">
        <v>998</v>
      </c>
      <c r="HU26" s="1823">
        <v>1002</v>
      </c>
      <c r="HV26" s="1823">
        <f t="shared" si="74"/>
        <v>2000</v>
      </c>
      <c r="HW26" s="1836">
        <v>994</v>
      </c>
      <c r="HX26" s="1837">
        <v>982</v>
      </c>
      <c r="HY26" s="1834">
        <f t="shared" si="75"/>
        <v>1976</v>
      </c>
      <c r="HZ26" s="1830">
        <v>999</v>
      </c>
      <c r="IA26" s="1830">
        <v>996</v>
      </c>
      <c r="IB26" s="1830">
        <f t="shared" si="76"/>
        <v>1995</v>
      </c>
      <c r="IC26" s="1823">
        <v>1010</v>
      </c>
      <c r="ID26" s="1823">
        <v>1008</v>
      </c>
      <c r="IE26" s="1823">
        <f t="shared" si="77"/>
        <v>2018</v>
      </c>
      <c r="IF26" s="1831">
        <v>1024</v>
      </c>
      <c r="IG26" s="1832">
        <v>1002</v>
      </c>
      <c r="IH26" s="1832">
        <f t="shared" si="78"/>
        <v>2026</v>
      </c>
      <c r="II26" s="1815">
        <v>1038</v>
      </c>
      <c r="IJ26" s="1815">
        <v>1004</v>
      </c>
      <c r="IK26" s="1815">
        <f t="shared" si="79"/>
        <v>2042</v>
      </c>
      <c r="IL26" s="1815">
        <v>2287</v>
      </c>
    </row>
    <row r="27" spans="1:246" hidden="1">
      <c r="A27" s="1901" t="s">
        <v>1585</v>
      </c>
      <c r="B27" s="1814">
        <v>15233</v>
      </c>
      <c r="C27" s="1814">
        <v>4454</v>
      </c>
      <c r="D27" s="1841">
        <f t="shared" si="0"/>
        <v>19687</v>
      </c>
      <c r="E27" s="1842">
        <v>25168</v>
      </c>
      <c r="F27" s="1842">
        <v>7069</v>
      </c>
      <c r="G27" s="1842">
        <f t="shared" si="1"/>
        <v>32237</v>
      </c>
      <c r="H27" s="1842">
        <v>25495</v>
      </c>
      <c r="I27" s="1842">
        <v>11686</v>
      </c>
      <c r="J27" s="1842">
        <f t="shared" si="2"/>
        <v>37181</v>
      </c>
      <c r="K27" s="1843">
        <v>28344</v>
      </c>
      <c r="L27" s="1843">
        <v>15396</v>
      </c>
      <c r="M27" s="1843">
        <f t="shared" si="3"/>
        <v>43740</v>
      </c>
      <c r="N27" s="1844">
        <v>29177</v>
      </c>
      <c r="O27" s="1844">
        <v>16582</v>
      </c>
      <c r="P27" s="1844">
        <f t="shared" si="4"/>
        <v>45759</v>
      </c>
      <c r="Q27" s="1841">
        <v>29781</v>
      </c>
      <c r="R27" s="1841">
        <v>18878</v>
      </c>
      <c r="S27" s="1841">
        <f t="shared" si="5"/>
        <v>48659</v>
      </c>
      <c r="T27" s="1841">
        <v>30319</v>
      </c>
      <c r="U27" s="1841">
        <v>19161</v>
      </c>
      <c r="V27" s="1841">
        <f t="shared" si="6"/>
        <v>49480</v>
      </c>
      <c r="W27" s="1843">
        <v>30520</v>
      </c>
      <c r="X27" s="1843">
        <v>19889</v>
      </c>
      <c r="Y27" s="1843">
        <f t="shared" si="7"/>
        <v>50409</v>
      </c>
      <c r="Z27" s="1843">
        <v>30190</v>
      </c>
      <c r="AA27" s="1843">
        <v>20300</v>
      </c>
      <c r="AB27" s="1843">
        <f t="shared" si="8"/>
        <v>50490</v>
      </c>
      <c r="AC27" s="1845">
        <v>30781</v>
      </c>
      <c r="AD27" s="1845">
        <v>21510</v>
      </c>
      <c r="AE27" s="1845">
        <f t="shared" si="9"/>
        <v>52291</v>
      </c>
      <c r="AF27" s="1846">
        <v>30621</v>
      </c>
      <c r="AG27" s="1846">
        <v>21785</v>
      </c>
      <c r="AH27" s="1846">
        <f t="shared" si="10"/>
        <v>52406</v>
      </c>
      <c r="AI27" s="1846">
        <v>30676</v>
      </c>
      <c r="AJ27" s="1846">
        <v>21895</v>
      </c>
      <c r="AK27" s="1846">
        <f t="shared" si="11"/>
        <v>52571</v>
      </c>
      <c r="AL27" s="1841">
        <v>30670</v>
      </c>
      <c r="AM27" s="1841">
        <v>22455</v>
      </c>
      <c r="AN27" s="1841">
        <f t="shared" si="12"/>
        <v>53125</v>
      </c>
      <c r="AO27" s="1846">
        <v>30395</v>
      </c>
      <c r="AP27" s="1846">
        <v>22467</v>
      </c>
      <c r="AQ27" s="1846">
        <f t="shared" si="13"/>
        <v>52862</v>
      </c>
      <c r="AR27" s="1846">
        <v>29269</v>
      </c>
      <c r="AS27" s="1846">
        <v>21792</v>
      </c>
      <c r="AT27" s="1846">
        <f t="shared" si="14"/>
        <v>51061</v>
      </c>
      <c r="AU27" s="1846">
        <v>28527</v>
      </c>
      <c r="AV27" s="1846">
        <v>21846</v>
      </c>
      <c r="AW27" s="1846">
        <f t="shared" si="15"/>
        <v>50373</v>
      </c>
      <c r="AX27" s="1846">
        <v>28443</v>
      </c>
      <c r="AY27" s="1846">
        <v>21706</v>
      </c>
      <c r="AZ27" s="1846">
        <f t="shared" si="16"/>
        <v>50149</v>
      </c>
      <c r="BA27" s="1841">
        <v>28115</v>
      </c>
      <c r="BB27" s="1841">
        <v>21282</v>
      </c>
      <c r="BC27" s="1841">
        <f t="shared" si="17"/>
        <v>49397</v>
      </c>
      <c r="BD27" s="1847">
        <v>27906</v>
      </c>
      <c r="BE27" s="1848">
        <v>21421</v>
      </c>
      <c r="BF27" s="1848">
        <f t="shared" si="18"/>
        <v>49327</v>
      </c>
      <c r="BG27" s="1841">
        <v>27518</v>
      </c>
      <c r="BH27" s="1841">
        <v>22532</v>
      </c>
      <c r="BI27" s="1841">
        <f t="shared" si="19"/>
        <v>50050</v>
      </c>
      <c r="BJ27" s="1849">
        <v>27174</v>
      </c>
      <c r="BK27" s="1850">
        <v>22396</v>
      </c>
      <c r="BL27" s="1850">
        <f t="shared" si="20"/>
        <v>49570</v>
      </c>
      <c r="BM27" s="1850">
        <v>27170</v>
      </c>
      <c r="BN27" s="1850">
        <v>22618</v>
      </c>
      <c r="BO27" s="1850">
        <f t="shared" si="21"/>
        <v>49788</v>
      </c>
      <c r="BP27" s="1850">
        <v>26666</v>
      </c>
      <c r="BQ27" s="1850">
        <v>22417</v>
      </c>
      <c r="BR27" s="1850">
        <f t="shared" si="22"/>
        <v>49083</v>
      </c>
      <c r="BS27" s="1850">
        <v>27344</v>
      </c>
      <c r="BT27" s="1850">
        <v>23284</v>
      </c>
      <c r="BU27" s="1850">
        <f t="shared" si="23"/>
        <v>50628</v>
      </c>
      <c r="BV27" s="1841">
        <v>26960</v>
      </c>
      <c r="BW27" s="1841">
        <v>23268</v>
      </c>
      <c r="BX27" s="1841">
        <f t="shared" si="24"/>
        <v>50228</v>
      </c>
      <c r="BY27" s="1841">
        <v>27316</v>
      </c>
      <c r="BZ27" s="1841">
        <v>23253</v>
      </c>
      <c r="CA27" s="1841">
        <v>26501</v>
      </c>
      <c r="CB27" s="1841">
        <v>23063</v>
      </c>
      <c r="CC27" s="1841">
        <f t="shared" si="25"/>
        <v>49564</v>
      </c>
      <c r="CD27" s="1841">
        <v>26204</v>
      </c>
      <c r="CE27" s="1841">
        <v>23134</v>
      </c>
      <c r="CF27" s="1841">
        <f t="shared" si="26"/>
        <v>49338</v>
      </c>
      <c r="CG27" s="1849">
        <v>25796</v>
      </c>
      <c r="CH27" s="1850">
        <v>23209</v>
      </c>
      <c r="CI27" s="1850">
        <f t="shared" si="27"/>
        <v>49005</v>
      </c>
      <c r="CJ27" s="1841">
        <v>25721</v>
      </c>
      <c r="CK27" s="1841">
        <v>23159</v>
      </c>
      <c r="CL27" s="1846">
        <v>25567</v>
      </c>
      <c r="CM27" s="1846">
        <v>23163</v>
      </c>
      <c r="CN27" s="1846">
        <f t="shared" si="28"/>
        <v>48730</v>
      </c>
      <c r="CO27" s="1841">
        <v>26736</v>
      </c>
      <c r="CP27" s="1841">
        <v>23813</v>
      </c>
      <c r="CQ27" s="1841">
        <f t="shared" si="29"/>
        <v>50549</v>
      </c>
      <c r="CR27" s="1847">
        <v>26107</v>
      </c>
      <c r="CS27" s="1848">
        <v>24019</v>
      </c>
      <c r="CT27" s="1848">
        <f t="shared" si="30"/>
        <v>50126</v>
      </c>
      <c r="CU27" s="1841">
        <v>25942</v>
      </c>
      <c r="CV27" s="1841">
        <v>23948</v>
      </c>
      <c r="CW27" s="1841">
        <f t="shared" si="31"/>
        <v>49890</v>
      </c>
      <c r="CX27" s="1849">
        <v>25832</v>
      </c>
      <c r="CY27" s="1850">
        <v>24156</v>
      </c>
      <c r="CZ27" s="1850">
        <f t="shared" si="32"/>
        <v>49988</v>
      </c>
      <c r="DA27" s="1850">
        <v>25165</v>
      </c>
      <c r="DB27" s="1850">
        <v>23740</v>
      </c>
      <c r="DC27" s="1850">
        <f t="shared" si="33"/>
        <v>48905</v>
      </c>
      <c r="DD27" s="1850">
        <v>25917</v>
      </c>
      <c r="DE27" s="1850">
        <v>24448</v>
      </c>
      <c r="DF27" s="1850">
        <f t="shared" si="34"/>
        <v>50365</v>
      </c>
      <c r="DG27" s="1850">
        <v>25338</v>
      </c>
      <c r="DH27" s="1850">
        <v>24256</v>
      </c>
      <c r="DI27" s="1850">
        <f t="shared" si="35"/>
        <v>49594</v>
      </c>
      <c r="DJ27" s="1841">
        <v>25005</v>
      </c>
      <c r="DK27" s="1841">
        <v>24080</v>
      </c>
      <c r="DL27" s="1841">
        <f t="shared" si="36"/>
        <v>49085</v>
      </c>
      <c r="DM27" s="1841">
        <v>24772</v>
      </c>
      <c r="DN27" s="1841">
        <v>24193</v>
      </c>
      <c r="DO27" s="1841">
        <f t="shared" si="37"/>
        <v>48965</v>
      </c>
      <c r="DP27" s="1841">
        <v>24992</v>
      </c>
      <c r="DQ27" s="1841">
        <v>24601</v>
      </c>
      <c r="DR27" s="1841">
        <f t="shared" si="38"/>
        <v>49593</v>
      </c>
      <c r="DS27" s="1849">
        <v>24439</v>
      </c>
      <c r="DT27" s="1850">
        <v>24261</v>
      </c>
      <c r="DU27" s="1850">
        <f t="shared" si="39"/>
        <v>48700</v>
      </c>
      <c r="DV27" s="1846">
        <v>24263</v>
      </c>
      <c r="DW27" s="1846">
        <v>24124</v>
      </c>
      <c r="DX27" s="1846">
        <f t="shared" si="40"/>
        <v>48387</v>
      </c>
      <c r="DY27" s="1841">
        <v>24228</v>
      </c>
      <c r="DZ27" s="1841">
        <v>24127</v>
      </c>
      <c r="EA27" s="1841">
        <f t="shared" si="41"/>
        <v>48355</v>
      </c>
      <c r="EB27" s="1847">
        <v>24670</v>
      </c>
      <c r="EC27" s="1848">
        <v>24169</v>
      </c>
      <c r="ED27" s="1848">
        <f t="shared" si="42"/>
        <v>48839</v>
      </c>
      <c r="EE27" s="1841">
        <v>24326</v>
      </c>
      <c r="EF27" s="1841">
        <v>24070</v>
      </c>
      <c r="EG27" s="1841">
        <f t="shared" si="43"/>
        <v>48396</v>
      </c>
      <c r="EH27" s="1849">
        <v>23930</v>
      </c>
      <c r="EI27" s="1850">
        <v>23824</v>
      </c>
      <c r="EJ27" s="1850">
        <f t="shared" si="44"/>
        <v>47754</v>
      </c>
      <c r="EK27" s="1850">
        <v>24020</v>
      </c>
      <c r="EL27" s="1850">
        <v>23994</v>
      </c>
      <c r="EM27" s="1850">
        <f t="shared" si="45"/>
        <v>48014</v>
      </c>
      <c r="EN27" s="1850">
        <v>23877</v>
      </c>
      <c r="EO27" s="1850">
        <v>23892</v>
      </c>
      <c r="EP27" s="1850">
        <f t="shared" si="46"/>
        <v>47769</v>
      </c>
      <c r="EQ27" s="1850">
        <v>23717</v>
      </c>
      <c r="ER27" s="1850">
        <v>23949</v>
      </c>
      <c r="ES27" s="1850">
        <f t="shared" si="47"/>
        <v>47666</v>
      </c>
      <c r="ET27" s="1841">
        <v>23451</v>
      </c>
      <c r="EU27" s="1841">
        <v>23998</v>
      </c>
      <c r="EV27" s="1841">
        <f t="shared" si="48"/>
        <v>47449</v>
      </c>
      <c r="EW27" s="1841">
        <v>23126</v>
      </c>
      <c r="EX27" s="1841">
        <v>23805</v>
      </c>
      <c r="EY27" s="1841">
        <f t="shared" si="49"/>
        <v>46931</v>
      </c>
      <c r="EZ27" s="1841">
        <v>23008</v>
      </c>
      <c r="FA27" s="1841">
        <v>23865</v>
      </c>
      <c r="FB27" s="1841">
        <f t="shared" si="50"/>
        <v>46873</v>
      </c>
      <c r="FC27" s="1849">
        <v>22795</v>
      </c>
      <c r="FD27" s="1850">
        <v>23837</v>
      </c>
      <c r="FE27" s="1850">
        <f t="shared" si="51"/>
        <v>46632</v>
      </c>
      <c r="FF27" s="1846">
        <v>22566</v>
      </c>
      <c r="FG27" s="1846">
        <v>23494</v>
      </c>
      <c r="FH27" s="1846">
        <f t="shared" si="52"/>
        <v>46060</v>
      </c>
      <c r="FI27" s="1841">
        <v>22684</v>
      </c>
      <c r="FJ27" s="1841">
        <v>23680</v>
      </c>
      <c r="FK27" s="1841">
        <f t="shared" si="53"/>
        <v>46364</v>
      </c>
      <c r="FL27" s="1847">
        <v>22730</v>
      </c>
      <c r="FM27" s="1848">
        <v>23838</v>
      </c>
      <c r="FN27" s="1848">
        <f t="shared" si="54"/>
        <v>46568</v>
      </c>
      <c r="FO27" s="1841">
        <v>22411</v>
      </c>
      <c r="FP27" s="1841">
        <v>23572</v>
      </c>
      <c r="FQ27" s="1841">
        <f t="shared" si="55"/>
        <v>45983</v>
      </c>
      <c r="FR27" s="1851">
        <v>22314</v>
      </c>
      <c r="FS27" s="1850">
        <v>23622</v>
      </c>
      <c r="FT27" s="1850">
        <f t="shared" si="56"/>
        <v>45936</v>
      </c>
      <c r="FU27" s="1850">
        <v>22154</v>
      </c>
      <c r="FV27" s="1850">
        <v>23528</v>
      </c>
      <c r="FW27" s="1850">
        <f t="shared" si="57"/>
        <v>45682</v>
      </c>
      <c r="FX27" s="1850">
        <v>21952</v>
      </c>
      <c r="FY27" s="1850">
        <v>23519</v>
      </c>
      <c r="FZ27" s="1850">
        <f t="shared" si="58"/>
        <v>45471</v>
      </c>
      <c r="GA27" s="1850">
        <v>22199</v>
      </c>
      <c r="GB27" s="1850">
        <v>23604</v>
      </c>
      <c r="GC27" s="1850">
        <f t="shared" si="59"/>
        <v>45803</v>
      </c>
      <c r="GD27" s="1841">
        <v>21826</v>
      </c>
      <c r="GE27" s="1841">
        <v>23488</v>
      </c>
      <c r="GF27" s="1841">
        <f t="shared" si="60"/>
        <v>45314</v>
      </c>
      <c r="GG27" s="1841">
        <v>21555</v>
      </c>
      <c r="GH27" s="1841">
        <v>23268</v>
      </c>
      <c r="GI27" s="1841">
        <f t="shared" si="61"/>
        <v>44823</v>
      </c>
      <c r="GJ27" s="1841">
        <v>21440</v>
      </c>
      <c r="GK27" s="1841">
        <v>23011</v>
      </c>
      <c r="GL27" s="1841">
        <f t="shared" si="62"/>
        <v>44451</v>
      </c>
      <c r="GM27" s="1849"/>
      <c r="GN27" s="1850"/>
      <c r="GO27" s="1850">
        <f t="shared" si="63"/>
        <v>0</v>
      </c>
      <c r="GP27" s="1846"/>
      <c r="GQ27" s="1846"/>
      <c r="GR27" s="1846">
        <f t="shared" si="64"/>
        <v>0</v>
      </c>
      <c r="GS27" s="1841"/>
      <c r="GT27" s="1841"/>
      <c r="GU27" s="1841">
        <f t="shared" si="65"/>
        <v>0</v>
      </c>
      <c r="GV27" s="1847"/>
      <c r="GW27" s="1848"/>
      <c r="GX27" s="1848">
        <f t="shared" si="66"/>
        <v>0</v>
      </c>
      <c r="GY27" s="1841"/>
      <c r="GZ27" s="1841"/>
      <c r="HA27" s="1841">
        <f t="shared" si="67"/>
        <v>0</v>
      </c>
      <c r="HB27" s="1851"/>
      <c r="HC27" s="1850"/>
      <c r="HD27" s="1850">
        <f t="shared" si="68"/>
        <v>0</v>
      </c>
      <c r="HE27" s="1850"/>
      <c r="HF27" s="1850"/>
      <c r="HG27" s="1850">
        <f t="shared" si="69"/>
        <v>0</v>
      </c>
      <c r="HH27" s="1850"/>
      <c r="HI27" s="1850"/>
      <c r="HJ27" s="1850">
        <f t="shared" si="70"/>
        <v>0</v>
      </c>
      <c r="HK27" s="1850"/>
      <c r="HL27" s="1850"/>
      <c r="HM27" s="1850">
        <f t="shared" si="71"/>
        <v>0</v>
      </c>
      <c r="HN27" s="1841"/>
      <c r="HO27" s="1841"/>
      <c r="HP27" s="1841">
        <f t="shared" si="72"/>
        <v>0</v>
      </c>
      <c r="HQ27" s="1841"/>
      <c r="HR27" s="1841"/>
      <c r="HS27" s="1841">
        <f t="shared" si="73"/>
        <v>0</v>
      </c>
      <c r="HT27" s="1841"/>
      <c r="HU27" s="1841"/>
      <c r="HV27" s="1841">
        <f t="shared" si="74"/>
        <v>0</v>
      </c>
      <c r="HW27" s="1852"/>
      <c r="HX27" s="1853"/>
      <c r="HY27" s="1850">
        <f t="shared" si="75"/>
        <v>0</v>
      </c>
      <c r="HZ27" s="1846"/>
      <c r="IA27" s="1846"/>
      <c r="IB27" s="1846">
        <f t="shared" si="76"/>
        <v>0</v>
      </c>
      <c r="IC27" s="1841"/>
      <c r="ID27" s="1841"/>
      <c r="IE27" s="1841">
        <f t="shared" si="77"/>
        <v>0</v>
      </c>
      <c r="IF27" s="1847"/>
      <c r="IG27" s="1848"/>
      <c r="IH27" s="1848">
        <f t="shared" si="78"/>
        <v>0</v>
      </c>
      <c r="II27" s="1814"/>
      <c r="IJ27" s="1814"/>
      <c r="IK27" s="1814">
        <f t="shared" si="79"/>
        <v>0</v>
      </c>
      <c r="IL27" s="1814">
        <f t="shared" si="79"/>
        <v>0</v>
      </c>
    </row>
    <row r="28" spans="1:246" hidden="1">
      <c r="A28" s="1901" t="s">
        <v>1591</v>
      </c>
      <c r="B28" s="1814">
        <v>1747</v>
      </c>
      <c r="C28" s="1814">
        <v>917</v>
      </c>
      <c r="D28" s="1841">
        <f t="shared" si="0"/>
        <v>2664</v>
      </c>
      <c r="E28" s="1842">
        <v>1899</v>
      </c>
      <c r="F28" s="1842">
        <v>926</v>
      </c>
      <c r="G28" s="1842">
        <f t="shared" si="1"/>
        <v>2825</v>
      </c>
      <c r="H28" s="1842">
        <v>1995</v>
      </c>
      <c r="I28" s="1842">
        <v>1021</v>
      </c>
      <c r="J28" s="1842">
        <f t="shared" si="2"/>
        <v>3016</v>
      </c>
      <c r="K28" s="1843">
        <v>2093</v>
      </c>
      <c r="L28" s="1843">
        <v>1131</v>
      </c>
      <c r="M28" s="1843">
        <f t="shared" si="3"/>
        <v>3224</v>
      </c>
      <c r="N28" s="1844">
        <v>2056</v>
      </c>
      <c r="O28" s="1844">
        <v>1224</v>
      </c>
      <c r="P28" s="1844">
        <f t="shared" si="4"/>
        <v>3280</v>
      </c>
      <c r="Q28" s="1841">
        <v>2096</v>
      </c>
      <c r="R28" s="1841">
        <v>1341</v>
      </c>
      <c r="S28" s="1841">
        <f t="shared" si="5"/>
        <v>3437</v>
      </c>
      <c r="T28" s="1841">
        <v>2214</v>
      </c>
      <c r="U28" s="1841">
        <v>1388</v>
      </c>
      <c r="V28" s="1841">
        <f t="shared" si="6"/>
        <v>3602</v>
      </c>
      <c r="W28" s="1843">
        <v>2284</v>
      </c>
      <c r="X28" s="1843">
        <v>1386</v>
      </c>
      <c r="Y28" s="1843">
        <f t="shared" si="7"/>
        <v>3670</v>
      </c>
      <c r="Z28" s="1843">
        <v>2347</v>
      </c>
      <c r="AA28" s="1843">
        <v>1555</v>
      </c>
      <c r="AB28" s="1843">
        <f t="shared" si="8"/>
        <v>3902</v>
      </c>
      <c r="AC28" s="1845">
        <v>2413</v>
      </c>
      <c r="AD28" s="1845">
        <v>1593</v>
      </c>
      <c r="AE28" s="1845">
        <f t="shared" si="9"/>
        <v>4006</v>
      </c>
      <c r="AF28" s="1846">
        <v>2330</v>
      </c>
      <c r="AG28" s="1846">
        <v>1655</v>
      </c>
      <c r="AH28" s="1846">
        <f t="shared" si="10"/>
        <v>3985</v>
      </c>
      <c r="AI28" s="1846">
        <v>2412</v>
      </c>
      <c r="AJ28" s="1846">
        <v>1500</v>
      </c>
      <c r="AK28" s="1846">
        <f t="shared" si="11"/>
        <v>3912</v>
      </c>
      <c r="AL28" s="1841">
        <v>2513</v>
      </c>
      <c r="AM28" s="1841">
        <v>1592</v>
      </c>
      <c r="AN28" s="1841">
        <f t="shared" si="12"/>
        <v>4105</v>
      </c>
      <c r="AO28" s="1846">
        <v>2492</v>
      </c>
      <c r="AP28" s="1846">
        <v>1713</v>
      </c>
      <c r="AQ28" s="1846">
        <f t="shared" si="13"/>
        <v>4205</v>
      </c>
      <c r="AR28" s="1846">
        <v>2268</v>
      </c>
      <c r="AS28" s="1846">
        <v>1509</v>
      </c>
      <c r="AT28" s="1846">
        <f t="shared" si="14"/>
        <v>3777</v>
      </c>
      <c r="AU28" s="1846">
        <v>2172</v>
      </c>
      <c r="AV28" s="1846">
        <v>1444</v>
      </c>
      <c r="AW28" s="1846">
        <f t="shared" si="15"/>
        <v>3616</v>
      </c>
      <c r="AX28" s="1846">
        <v>2107</v>
      </c>
      <c r="AY28" s="1846">
        <v>1485</v>
      </c>
      <c r="AZ28" s="1846">
        <f t="shared" si="16"/>
        <v>3592</v>
      </c>
      <c r="BA28" s="1841">
        <v>2219</v>
      </c>
      <c r="BB28" s="1841">
        <v>1523</v>
      </c>
      <c r="BC28" s="1841">
        <f t="shared" si="17"/>
        <v>3742</v>
      </c>
      <c r="BD28" s="1847">
        <v>2207</v>
      </c>
      <c r="BE28" s="1848">
        <v>1558</v>
      </c>
      <c r="BF28" s="1848">
        <f t="shared" si="18"/>
        <v>3765</v>
      </c>
      <c r="BG28" s="1841">
        <v>2098</v>
      </c>
      <c r="BH28" s="1841">
        <v>1536</v>
      </c>
      <c r="BI28" s="1841">
        <f t="shared" si="19"/>
        <v>3634</v>
      </c>
      <c r="BJ28" s="1849">
        <v>2052</v>
      </c>
      <c r="BK28" s="1850">
        <v>1545</v>
      </c>
      <c r="BL28" s="1850">
        <f t="shared" si="20"/>
        <v>3597</v>
      </c>
      <c r="BM28" s="1850">
        <v>2108</v>
      </c>
      <c r="BN28" s="1850">
        <v>1623</v>
      </c>
      <c r="BO28" s="1850">
        <f t="shared" si="21"/>
        <v>3731</v>
      </c>
      <c r="BP28" s="1850">
        <v>2092</v>
      </c>
      <c r="BQ28" s="1850">
        <v>1624</v>
      </c>
      <c r="BR28" s="1850">
        <f t="shared" si="22"/>
        <v>3716</v>
      </c>
      <c r="BS28" s="1850">
        <v>2105</v>
      </c>
      <c r="BT28" s="1850">
        <v>1635</v>
      </c>
      <c r="BU28" s="1850">
        <f t="shared" si="23"/>
        <v>3740</v>
      </c>
      <c r="BV28" s="1841">
        <v>2116</v>
      </c>
      <c r="BW28" s="1841">
        <v>1702</v>
      </c>
      <c r="BX28" s="1841">
        <f t="shared" si="24"/>
        <v>3818</v>
      </c>
      <c r="BY28" s="1841">
        <v>2124</v>
      </c>
      <c r="BZ28" s="1841">
        <v>1648</v>
      </c>
      <c r="CA28" s="1841">
        <v>2071</v>
      </c>
      <c r="CB28" s="1841">
        <v>1674</v>
      </c>
      <c r="CC28" s="1841">
        <f t="shared" si="25"/>
        <v>3745</v>
      </c>
      <c r="CD28" s="1841">
        <v>2044</v>
      </c>
      <c r="CE28" s="1841">
        <v>1706</v>
      </c>
      <c r="CF28" s="1841">
        <f t="shared" si="26"/>
        <v>3750</v>
      </c>
      <c r="CG28" s="1849">
        <v>1971</v>
      </c>
      <c r="CH28" s="1850">
        <v>1643</v>
      </c>
      <c r="CI28" s="1850">
        <f t="shared" si="27"/>
        <v>3614</v>
      </c>
      <c r="CJ28" s="1841">
        <v>1961</v>
      </c>
      <c r="CK28" s="1841">
        <v>1632</v>
      </c>
      <c r="CL28" s="1846">
        <v>1988</v>
      </c>
      <c r="CM28" s="1846">
        <v>1706</v>
      </c>
      <c r="CN28" s="1846">
        <f t="shared" si="28"/>
        <v>3694</v>
      </c>
      <c r="CO28" s="1841">
        <v>2278</v>
      </c>
      <c r="CP28" s="1841">
        <v>1865</v>
      </c>
      <c r="CQ28" s="1841">
        <f t="shared" si="29"/>
        <v>4143</v>
      </c>
      <c r="CR28" s="1847">
        <v>2040</v>
      </c>
      <c r="CS28" s="1848">
        <v>1793</v>
      </c>
      <c r="CT28" s="1848">
        <f t="shared" si="30"/>
        <v>3833</v>
      </c>
      <c r="CU28" s="1841">
        <v>1998</v>
      </c>
      <c r="CV28" s="1841">
        <v>1702</v>
      </c>
      <c r="CW28" s="1841">
        <f t="shared" si="31"/>
        <v>3700</v>
      </c>
      <c r="CX28" s="1849">
        <v>1936</v>
      </c>
      <c r="CY28" s="1850">
        <v>1648</v>
      </c>
      <c r="CZ28" s="1850">
        <f t="shared" si="32"/>
        <v>3584</v>
      </c>
      <c r="DA28" s="1850">
        <v>1848</v>
      </c>
      <c r="DB28" s="1850">
        <v>1597</v>
      </c>
      <c r="DC28" s="1850">
        <f t="shared" si="33"/>
        <v>3445</v>
      </c>
      <c r="DD28" s="1850">
        <v>1851</v>
      </c>
      <c r="DE28" s="1850">
        <v>1591</v>
      </c>
      <c r="DF28" s="1850">
        <f t="shared" si="34"/>
        <v>3442</v>
      </c>
      <c r="DG28" s="1850">
        <v>1821</v>
      </c>
      <c r="DH28" s="1850">
        <v>1616</v>
      </c>
      <c r="DI28" s="1850">
        <f t="shared" si="35"/>
        <v>3437</v>
      </c>
      <c r="DJ28" s="1841">
        <v>1775</v>
      </c>
      <c r="DK28" s="1841">
        <v>1585</v>
      </c>
      <c r="DL28" s="1841">
        <f t="shared" si="36"/>
        <v>3360</v>
      </c>
      <c r="DM28" s="1841">
        <v>1639</v>
      </c>
      <c r="DN28" s="1841">
        <v>1431</v>
      </c>
      <c r="DO28" s="1841">
        <f t="shared" si="37"/>
        <v>3070</v>
      </c>
      <c r="DP28" s="1841"/>
      <c r="DQ28" s="1841"/>
      <c r="DR28" s="1841">
        <f t="shared" si="38"/>
        <v>0</v>
      </c>
      <c r="DS28" s="1849"/>
      <c r="DT28" s="1850"/>
      <c r="DU28" s="1850">
        <f t="shared" si="39"/>
        <v>0</v>
      </c>
      <c r="DV28" s="1846"/>
      <c r="DW28" s="1846"/>
      <c r="DX28" s="1846">
        <f t="shared" si="40"/>
        <v>0</v>
      </c>
      <c r="DY28" s="1841"/>
      <c r="DZ28" s="1841"/>
      <c r="EA28" s="1841">
        <f t="shared" si="41"/>
        <v>0</v>
      </c>
      <c r="EB28" s="1847"/>
      <c r="EC28" s="1848"/>
      <c r="ED28" s="1848">
        <f t="shared" si="42"/>
        <v>0</v>
      </c>
      <c r="EE28" s="1841"/>
      <c r="EF28" s="1841"/>
      <c r="EG28" s="1841">
        <f t="shared" si="43"/>
        <v>0</v>
      </c>
      <c r="EH28" s="1849"/>
      <c r="EI28" s="1850"/>
      <c r="EJ28" s="1850">
        <f t="shared" si="44"/>
        <v>0</v>
      </c>
      <c r="EK28" s="1850"/>
      <c r="EL28" s="1850"/>
      <c r="EM28" s="1850">
        <f t="shared" si="45"/>
        <v>0</v>
      </c>
      <c r="EN28" s="1850"/>
      <c r="EO28" s="1850"/>
      <c r="EP28" s="1850">
        <f t="shared" si="46"/>
        <v>0</v>
      </c>
      <c r="EQ28" s="1850"/>
      <c r="ER28" s="1850"/>
      <c r="ES28" s="1850">
        <f t="shared" si="47"/>
        <v>0</v>
      </c>
      <c r="ET28" s="1841"/>
      <c r="EU28" s="1841"/>
      <c r="EV28" s="1841">
        <f t="shared" si="48"/>
        <v>0</v>
      </c>
      <c r="EW28" s="1841"/>
      <c r="EX28" s="1841"/>
      <c r="EY28" s="1841">
        <f t="shared" si="49"/>
        <v>0</v>
      </c>
      <c r="EZ28" s="1841"/>
      <c r="FA28" s="1841"/>
      <c r="FB28" s="1841">
        <f t="shared" si="50"/>
        <v>0</v>
      </c>
      <c r="FC28" s="1849"/>
      <c r="FD28" s="1850"/>
      <c r="FE28" s="1850">
        <f t="shared" si="51"/>
        <v>0</v>
      </c>
      <c r="FF28" s="1846"/>
      <c r="FG28" s="1846"/>
      <c r="FH28" s="1846">
        <f t="shared" si="52"/>
        <v>0</v>
      </c>
      <c r="FI28" s="1841"/>
      <c r="FJ28" s="1841"/>
      <c r="FK28" s="1841">
        <f t="shared" si="53"/>
        <v>0</v>
      </c>
      <c r="FL28" s="1847"/>
      <c r="FM28" s="1848"/>
      <c r="FN28" s="1848">
        <f t="shared" si="54"/>
        <v>0</v>
      </c>
      <c r="FO28" s="1841"/>
      <c r="FP28" s="1841"/>
      <c r="FQ28" s="1841">
        <f t="shared" si="55"/>
        <v>0</v>
      </c>
      <c r="FR28" s="1851"/>
      <c r="FS28" s="1850"/>
      <c r="FT28" s="1850">
        <f t="shared" si="56"/>
        <v>0</v>
      </c>
      <c r="FU28" s="1850"/>
      <c r="FV28" s="1850"/>
      <c r="FW28" s="1850">
        <f t="shared" si="57"/>
        <v>0</v>
      </c>
      <c r="FX28" s="1850"/>
      <c r="FY28" s="1850"/>
      <c r="FZ28" s="1850">
        <f t="shared" si="58"/>
        <v>0</v>
      </c>
      <c r="GA28" s="1850"/>
      <c r="GB28" s="1850"/>
      <c r="GC28" s="1850">
        <f t="shared" si="59"/>
        <v>0</v>
      </c>
      <c r="GD28" s="1841"/>
      <c r="GE28" s="1841"/>
      <c r="GF28" s="1841">
        <f t="shared" si="60"/>
        <v>0</v>
      </c>
      <c r="GG28" s="1841"/>
      <c r="GH28" s="1841"/>
      <c r="GI28" s="1841">
        <f t="shared" si="61"/>
        <v>0</v>
      </c>
      <c r="GJ28" s="1841"/>
      <c r="GK28" s="1841"/>
      <c r="GL28" s="1841">
        <f t="shared" si="62"/>
        <v>0</v>
      </c>
      <c r="GM28" s="1849"/>
      <c r="GN28" s="1850"/>
      <c r="GO28" s="1850">
        <f t="shared" si="63"/>
        <v>0</v>
      </c>
      <c r="GP28" s="1846"/>
      <c r="GQ28" s="1846"/>
      <c r="GR28" s="1846">
        <f t="shared" si="64"/>
        <v>0</v>
      </c>
      <c r="GS28" s="1841"/>
      <c r="GT28" s="1841"/>
      <c r="GU28" s="1841">
        <f t="shared" si="65"/>
        <v>0</v>
      </c>
      <c r="GV28" s="1847"/>
      <c r="GW28" s="1848"/>
      <c r="GX28" s="1848">
        <f t="shared" si="66"/>
        <v>0</v>
      </c>
      <c r="GY28" s="1841"/>
      <c r="GZ28" s="1841"/>
      <c r="HA28" s="1841">
        <f t="shared" si="67"/>
        <v>0</v>
      </c>
      <c r="HB28" s="1851"/>
      <c r="HC28" s="1850"/>
      <c r="HD28" s="1850">
        <f t="shared" si="68"/>
        <v>0</v>
      </c>
      <c r="HE28" s="1850"/>
      <c r="HF28" s="1850"/>
      <c r="HG28" s="1850">
        <f t="shared" si="69"/>
        <v>0</v>
      </c>
      <c r="HH28" s="1850"/>
      <c r="HI28" s="1850"/>
      <c r="HJ28" s="1850">
        <f t="shared" si="70"/>
        <v>0</v>
      </c>
      <c r="HK28" s="1850"/>
      <c r="HL28" s="1850"/>
      <c r="HM28" s="1850">
        <f t="shared" si="71"/>
        <v>0</v>
      </c>
      <c r="HN28" s="1841"/>
      <c r="HO28" s="1841"/>
      <c r="HP28" s="1841">
        <f t="shared" si="72"/>
        <v>0</v>
      </c>
      <c r="HQ28" s="1841"/>
      <c r="HR28" s="1841"/>
      <c r="HS28" s="1841">
        <f t="shared" si="73"/>
        <v>0</v>
      </c>
      <c r="HT28" s="1841"/>
      <c r="HU28" s="1841"/>
      <c r="HV28" s="1841">
        <f t="shared" si="74"/>
        <v>0</v>
      </c>
      <c r="HW28" s="1852"/>
      <c r="HX28" s="1853"/>
      <c r="HY28" s="1850">
        <f t="shared" si="75"/>
        <v>0</v>
      </c>
      <c r="HZ28" s="1846"/>
      <c r="IA28" s="1846"/>
      <c r="IB28" s="1846">
        <f t="shared" si="76"/>
        <v>0</v>
      </c>
      <c r="IC28" s="1841"/>
      <c r="ID28" s="1841"/>
      <c r="IE28" s="1841">
        <f t="shared" si="77"/>
        <v>0</v>
      </c>
      <c r="IF28" s="1847"/>
      <c r="IG28" s="1848"/>
      <c r="IH28" s="1848">
        <f t="shared" si="78"/>
        <v>0</v>
      </c>
      <c r="II28" s="1814"/>
      <c r="IJ28" s="1814"/>
      <c r="IK28" s="1814">
        <f t="shared" si="79"/>
        <v>0</v>
      </c>
      <c r="IL28" s="1814">
        <f t="shared" si="79"/>
        <v>0</v>
      </c>
    </row>
    <row r="29" spans="1:246" hidden="1">
      <c r="A29" s="1901" t="s">
        <v>1594</v>
      </c>
      <c r="B29" s="1814">
        <v>907</v>
      </c>
      <c r="C29" s="1814">
        <v>397</v>
      </c>
      <c r="D29" s="1841">
        <f t="shared" si="0"/>
        <v>1304</v>
      </c>
      <c r="E29" s="1842">
        <v>952</v>
      </c>
      <c r="F29" s="1842">
        <v>392</v>
      </c>
      <c r="G29" s="1842">
        <f t="shared" si="1"/>
        <v>1344</v>
      </c>
      <c r="H29" s="1854">
        <v>970</v>
      </c>
      <c r="I29" s="1854">
        <v>443</v>
      </c>
      <c r="J29" s="1842">
        <f t="shared" si="2"/>
        <v>1413</v>
      </c>
      <c r="K29" s="1843">
        <v>1029</v>
      </c>
      <c r="L29" s="1843">
        <v>466</v>
      </c>
      <c r="M29" s="1843">
        <f t="shared" si="3"/>
        <v>1495</v>
      </c>
      <c r="N29" s="1855">
        <v>1031</v>
      </c>
      <c r="O29" s="1855">
        <v>482</v>
      </c>
      <c r="P29" s="1844">
        <f t="shared" si="4"/>
        <v>1513</v>
      </c>
      <c r="Q29" s="1841">
        <v>981</v>
      </c>
      <c r="R29" s="1841">
        <v>474</v>
      </c>
      <c r="S29" s="1841">
        <f t="shared" si="5"/>
        <v>1455</v>
      </c>
      <c r="T29" s="1841">
        <v>1040</v>
      </c>
      <c r="U29" s="1841">
        <v>495</v>
      </c>
      <c r="V29" s="1841">
        <f t="shared" si="6"/>
        <v>1535</v>
      </c>
      <c r="W29" s="1843">
        <v>1037</v>
      </c>
      <c r="X29" s="1843">
        <v>489</v>
      </c>
      <c r="Y29" s="1843">
        <f t="shared" si="7"/>
        <v>1526</v>
      </c>
      <c r="Z29" s="1843">
        <v>1052</v>
      </c>
      <c r="AA29" s="1843">
        <v>519</v>
      </c>
      <c r="AB29" s="1843">
        <f t="shared" si="8"/>
        <v>1571</v>
      </c>
      <c r="AC29" s="1845">
        <v>1091</v>
      </c>
      <c r="AD29" s="1845">
        <v>557</v>
      </c>
      <c r="AE29" s="1845">
        <f t="shared" si="9"/>
        <v>1648</v>
      </c>
      <c r="AF29" s="1856">
        <v>1076</v>
      </c>
      <c r="AG29" s="1856">
        <v>579</v>
      </c>
      <c r="AH29" s="1846">
        <f t="shared" si="10"/>
        <v>1655</v>
      </c>
      <c r="AI29" s="1856">
        <v>1134</v>
      </c>
      <c r="AJ29" s="1856">
        <v>547</v>
      </c>
      <c r="AK29" s="1846">
        <f t="shared" si="11"/>
        <v>1681</v>
      </c>
      <c r="AL29" s="1841">
        <v>1182</v>
      </c>
      <c r="AM29" s="1841">
        <v>574</v>
      </c>
      <c r="AN29" s="1841">
        <f t="shared" si="12"/>
        <v>1756</v>
      </c>
      <c r="AO29" s="1856">
        <v>1161</v>
      </c>
      <c r="AP29" s="1856">
        <v>555</v>
      </c>
      <c r="AQ29" s="1846">
        <f t="shared" si="13"/>
        <v>1716</v>
      </c>
      <c r="AR29" s="1856">
        <v>1075</v>
      </c>
      <c r="AS29" s="1856">
        <v>520</v>
      </c>
      <c r="AT29" s="1846">
        <f t="shared" si="14"/>
        <v>1595</v>
      </c>
      <c r="AU29" s="1856">
        <v>980</v>
      </c>
      <c r="AV29" s="1856">
        <v>502</v>
      </c>
      <c r="AW29" s="1846">
        <f t="shared" si="15"/>
        <v>1482</v>
      </c>
      <c r="AX29" s="1856">
        <v>1001</v>
      </c>
      <c r="AY29" s="1856">
        <v>500</v>
      </c>
      <c r="AZ29" s="1846">
        <f t="shared" si="16"/>
        <v>1501</v>
      </c>
      <c r="BA29" s="1841">
        <v>995</v>
      </c>
      <c r="BB29" s="1841">
        <v>496</v>
      </c>
      <c r="BC29" s="1841">
        <f t="shared" si="17"/>
        <v>1491</v>
      </c>
      <c r="BD29" s="1847">
        <v>1036</v>
      </c>
      <c r="BE29" s="1848">
        <v>529</v>
      </c>
      <c r="BF29" s="1848">
        <f t="shared" si="18"/>
        <v>1565</v>
      </c>
      <c r="BG29" s="1841">
        <v>1038</v>
      </c>
      <c r="BH29" s="1841">
        <v>556</v>
      </c>
      <c r="BI29" s="1841">
        <f t="shared" si="19"/>
        <v>1594</v>
      </c>
      <c r="BJ29" s="1849">
        <v>924</v>
      </c>
      <c r="BK29" s="1850">
        <v>465</v>
      </c>
      <c r="BL29" s="1850">
        <f t="shared" si="20"/>
        <v>1389</v>
      </c>
      <c r="BM29" s="1850">
        <v>938</v>
      </c>
      <c r="BN29" s="1850">
        <v>497</v>
      </c>
      <c r="BO29" s="1850">
        <f t="shared" si="21"/>
        <v>1435</v>
      </c>
      <c r="BP29" s="1850">
        <v>908</v>
      </c>
      <c r="BQ29" s="1850">
        <v>484</v>
      </c>
      <c r="BR29" s="1850">
        <f t="shared" si="22"/>
        <v>1392</v>
      </c>
      <c r="BS29" s="1850">
        <v>1687</v>
      </c>
      <c r="BT29" s="1850">
        <v>533</v>
      </c>
      <c r="BU29" s="1850">
        <f t="shared" si="23"/>
        <v>2220</v>
      </c>
      <c r="BV29" s="1841">
        <v>1013</v>
      </c>
      <c r="BW29" s="1841">
        <v>528</v>
      </c>
      <c r="BX29" s="1841">
        <f t="shared" si="24"/>
        <v>1541</v>
      </c>
      <c r="BY29" s="1841">
        <v>1700</v>
      </c>
      <c r="BZ29" s="1841">
        <v>540</v>
      </c>
      <c r="CA29" s="1841">
        <v>1793</v>
      </c>
      <c r="CB29" s="1841">
        <v>508</v>
      </c>
      <c r="CC29" s="1841">
        <f t="shared" si="25"/>
        <v>2301</v>
      </c>
      <c r="CD29" s="1841">
        <v>1218</v>
      </c>
      <c r="CE29" s="1841">
        <v>503</v>
      </c>
      <c r="CF29" s="1841">
        <f t="shared" si="26"/>
        <v>1721</v>
      </c>
      <c r="CG29" s="1849">
        <v>1214</v>
      </c>
      <c r="CH29" s="1850">
        <v>643</v>
      </c>
      <c r="CI29" s="1850">
        <f t="shared" si="27"/>
        <v>1857</v>
      </c>
      <c r="CJ29" s="1841">
        <v>1103</v>
      </c>
      <c r="CK29" s="1841">
        <v>500</v>
      </c>
      <c r="CL29" s="1856">
        <v>884</v>
      </c>
      <c r="CM29" s="1856">
        <v>513</v>
      </c>
      <c r="CN29" s="1846">
        <f t="shared" si="28"/>
        <v>1397</v>
      </c>
      <c r="CO29" s="1841">
        <v>1411</v>
      </c>
      <c r="CP29" s="1841">
        <v>543</v>
      </c>
      <c r="CQ29" s="1841">
        <f t="shared" si="29"/>
        <v>1954</v>
      </c>
      <c r="CR29" s="1847">
        <v>1005</v>
      </c>
      <c r="CS29" s="1848">
        <v>499</v>
      </c>
      <c r="CT29" s="1848">
        <f t="shared" si="30"/>
        <v>1504</v>
      </c>
      <c r="CU29" s="1841">
        <v>1173</v>
      </c>
      <c r="CV29" s="1841">
        <v>538</v>
      </c>
      <c r="CW29" s="1841">
        <f t="shared" si="31"/>
        <v>1711</v>
      </c>
      <c r="CX29" s="1849">
        <v>1316</v>
      </c>
      <c r="CY29" s="1850">
        <v>531</v>
      </c>
      <c r="CZ29" s="1850">
        <f t="shared" si="32"/>
        <v>1847</v>
      </c>
      <c r="DA29" s="1850">
        <v>1103</v>
      </c>
      <c r="DB29" s="1850">
        <v>509</v>
      </c>
      <c r="DC29" s="1850">
        <f t="shared" si="33"/>
        <v>1612</v>
      </c>
      <c r="DD29" s="1850">
        <v>1100</v>
      </c>
      <c r="DE29" s="1850">
        <v>533</v>
      </c>
      <c r="DF29" s="1850">
        <f t="shared" si="34"/>
        <v>1633</v>
      </c>
      <c r="DG29" s="1850">
        <v>1083</v>
      </c>
      <c r="DH29" s="1850">
        <v>513</v>
      </c>
      <c r="DI29" s="1850">
        <f t="shared" si="35"/>
        <v>1596</v>
      </c>
      <c r="DJ29" s="1841">
        <v>1034</v>
      </c>
      <c r="DK29" s="1841">
        <v>488</v>
      </c>
      <c r="DL29" s="1841">
        <f t="shared" si="36"/>
        <v>1522</v>
      </c>
      <c r="DM29" s="1841">
        <v>1015</v>
      </c>
      <c r="DN29" s="1841">
        <v>472</v>
      </c>
      <c r="DO29" s="1841">
        <f t="shared" si="37"/>
        <v>1487</v>
      </c>
      <c r="DP29" s="1841">
        <v>983</v>
      </c>
      <c r="DQ29" s="1841">
        <v>452</v>
      </c>
      <c r="DR29" s="1841">
        <f t="shared" si="38"/>
        <v>1435</v>
      </c>
      <c r="DS29" s="1849"/>
      <c r="DT29" s="1850"/>
      <c r="DU29" s="1850">
        <f t="shared" si="39"/>
        <v>0</v>
      </c>
      <c r="DV29" s="1856"/>
      <c r="DW29" s="1856"/>
      <c r="DX29" s="1846">
        <f t="shared" si="40"/>
        <v>0</v>
      </c>
      <c r="DY29" s="1841"/>
      <c r="DZ29" s="1841"/>
      <c r="EA29" s="1841">
        <f t="shared" si="41"/>
        <v>0</v>
      </c>
      <c r="EB29" s="1847"/>
      <c r="EC29" s="1848"/>
      <c r="ED29" s="1848">
        <f t="shared" si="42"/>
        <v>0</v>
      </c>
      <c r="EE29" s="1841"/>
      <c r="EF29" s="1841"/>
      <c r="EG29" s="1841">
        <f t="shared" si="43"/>
        <v>0</v>
      </c>
      <c r="EH29" s="1849"/>
      <c r="EI29" s="1850"/>
      <c r="EJ29" s="1850">
        <f t="shared" si="44"/>
        <v>0</v>
      </c>
      <c r="EK29" s="1850"/>
      <c r="EL29" s="1850"/>
      <c r="EM29" s="1850">
        <f t="shared" si="45"/>
        <v>0</v>
      </c>
      <c r="EN29" s="1850"/>
      <c r="EO29" s="1850"/>
      <c r="EP29" s="1850">
        <f t="shared" si="46"/>
        <v>0</v>
      </c>
      <c r="EQ29" s="1850"/>
      <c r="ER29" s="1850"/>
      <c r="ES29" s="1850">
        <f t="shared" si="47"/>
        <v>0</v>
      </c>
      <c r="ET29" s="1841"/>
      <c r="EU29" s="1841"/>
      <c r="EV29" s="1841">
        <f t="shared" si="48"/>
        <v>0</v>
      </c>
      <c r="EW29" s="1841"/>
      <c r="EX29" s="1841"/>
      <c r="EY29" s="1841">
        <f t="shared" si="49"/>
        <v>0</v>
      </c>
      <c r="EZ29" s="1841"/>
      <c r="FA29" s="1841"/>
      <c r="FB29" s="1841">
        <f t="shared" si="50"/>
        <v>0</v>
      </c>
      <c r="FC29" s="1849"/>
      <c r="FD29" s="1850"/>
      <c r="FE29" s="1850">
        <f t="shared" si="51"/>
        <v>0</v>
      </c>
      <c r="FF29" s="1856"/>
      <c r="FG29" s="1856"/>
      <c r="FH29" s="1846">
        <f t="shared" si="52"/>
        <v>0</v>
      </c>
      <c r="FI29" s="1841"/>
      <c r="FJ29" s="1841"/>
      <c r="FK29" s="1841">
        <f t="shared" si="53"/>
        <v>0</v>
      </c>
      <c r="FL29" s="1847"/>
      <c r="FM29" s="1848"/>
      <c r="FN29" s="1848">
        <f t="shared" si="54"/>
        <v>0</v>
      </c>
      <c r="FO29" s="1841"/>
      <c r="FP29" s="1841"/>
      <c r="FQ29" s="1841">
        <f t="shared" si="55"/>
        <v>0</v>
      </c>
      <c r="FR29" s="1851"/>
      <c r="FS29" s="1850"/>
      <c r="FT29" s="1850">
        <f t="shared" si="56"/>
        <v>0</v>
      </c>
      <c r="FU29" s="1850"/>
      <c r="FV29" s="1850"/>
      <c r="FW29" s="1850">
        <f t="shared" si="57"/>
        <v>0</v>
      </c>
      <c r="FX29" s="1850"/>
      <c r="FY29" s="1850"/>
      <c r="FZ29" s="1850">
        <f t="shared" si="58"/>
        <v>0</v>
      </c>
      <c r="GA29" s="1850"/>
      <c r="GB29" s="1850"/>
      <c r="GC29" s="1850">
        <f t="shared" si="59"/>
        <v>0</v>
      </c>
      <c r="GD29" s="1841"/>
      <c r="GE29" s="1841"/>
      <c r="GF29" s="1841">
        <f t="shared" si="60"/>
        <v>0</v>
      </c>
      <c r="GG29" s="1841"/>
      <c r="GH29" s="1841"/>
      <c r="GI29" s="1841">
        <f t="shared" si="61"/>
        <v>0</v>
      </c>
      <c r="GJ29" s="1841"/>
      <c r="GK29" s="1841"/>
      <c r="GL29" s="1841">
        <f t="shared" si="62"/>
        <v>0</v>
      </c>
      <c r="GM29" s="1849"/>
      <c r="GN29" s="1850"/>
      <c r="GO29" s="1850">
        <f t="shared" si="63"/>
        <v>0</v>
      </c>
      <c r="GP29" s="1856"/>
      <c r="GQ29" s="1856"/>
      <c r="GR29" s="1846">
        <f t="shared" si="64"/>
        <v>0</v>
      </c>
      <c r="GS29" s="1841"/>
      <c r="GT29" s="1841"/>
      <c r="GU29" s="1841">
        <f t="shared" si="65"/>
        <v>0</v>
      </c>
      <c r="GV29" s="1847"/>
      <c r="GW29" s="1848"/>
      <c r="GX29" s="1848">
        <f t="shared" si="66"/>
        <v>0</v>
      </c>
      <c r="GY29" s="1841"/>
      <c r="GZ29" s="1841"/>
      <c r="HA29" s="1841">
        <f t="shared" si="67"/>
        <v>0</v>
      </c>
      <c r="HB29" s="1851"/>
      <c r="HC29" s="1850"/>
      <c r="HD29" s="1850">
        <f t="shared" si="68"/>
        <v>0</v>
      </c>
      <c r="HE29" s="1850"/>
      <c r="HF29" s="1850"/>
      <c r="HG29" s="1850">
        <f t="shared" si="69"/>
        <v>0</v>
      </c>
      <c r="HH29" s="1850"/>
      <c r="HI29" s="1850"/>
      <c r="HJ29" s="1850">
        <f t="shared" si="70"/>
        <v>0</v>
      </c>
      <c r="HK29" s="1850"/>
      <c r="HL29" s="1850"/>
      <c r="HM29" s="1850">
        <f t="shared" si="71"/>
        <v>0</v>
      </c>
      <c r="HN29" s="1841"/>
      <c r="HO29" s="1841"/>
      <c r="HP29" s="1841">
        <f t="shared" si="72"/>
        <v>0</v>
      </c>
      <c r="HQ29" s="1841"/>
      <c r="HR29" s="1841"/>
      <c r="HS29" s="1841">
        <f t="shared" si="73"/>
        <v>0</v>
      </c>
      <c r="HT29" s="1841"/>
      <c r="HU29" s="1841"/>
      <c r="HV29" s="1841">
        <f t="shared" si="74"/>
        <v>0</v>
      </c>
      <c r="HW29" s="1852"/>
      <c r="HX29" s="1853"/>
      <c r="HY29" s="1850">
        <f t="shared" si="75"/>
        <v>0</v>
      </c>
      <c r="HZ29" s="1856"/>
      <c r="IA29" s="1856"/>
      <c r="IB29" s="1846">
        <f t="shared" si="76"/>
        <v>0</v>
      </c>
      <c r="IC29" s="1841"/>
      <c r="ID29" s="1841"/>
      <c r="IE29" s="1841">
        <f t="shared" si="77"/>
        <v>0</v>
      </c>
      <c r="IF29" s="1847"/>
      <c r="IG29" s="1848"/>
      <c r="IH29" s="1848">
        <f t="shared" si="78"/>
        <v>0</v>
      </c>
      <c r="II29" s="1814"/>
      <c r="IJ29" s="1814"/>
      <c r="IK29" s="1814">
        <f t="shared" si="79"/>
        <v>0</v>
      </c>
      <c r="IL29" s="1814">
        <f t="shared" si="79"/>
        <v>0</v>
      </c>
    </row>
    <row r="30" spans="1:246" hidden="1">
      <c r="A30" s="1901" t="s">
        <v>1595</v>
      </c>
      <c r="B30" s="1814">
        <v>1934</v>
      </c>
      <c r="C30" s="1814">
        <v>381</v>
      </c>
      <c r="D30" s="1841">
        <f t="shared" si="0"/>
        <v>2315</v>
      </c>
      <c r="E30" s="1842">
        <v>3922</v>
      </c>
      <c r="F30" s="1842">
        <v>697</v>
      </c>
      <c r="G30" s="1842">
        <f t="shared" si="1"/>
        <v>4619</v>
      </c>
      <c r="H30" s="1842">
        <v>4113</v>
      </c>
      <c r="I30" s="1842">
        <v>1051</v>
      </c>
      <c r="J30" s="1842">
        <f t="shared" si="2"/>
        <v>5164</v>
      </c>
      <c r="K30" s="1843">
        <v>2392</v>
      </c>
      <c r="L30" s="1843">
        <v>902</v>
      </c>
      <c r="M30" s="1843">
        <f t="shared" si="3"/>
        <v>3294</v>
      </c>
      <c r="N30" s="1844">
        <v>6030</v>
      </c>
      <c r="O30" s="1844">
        <v>1603</v>
      </c>
      <c r="P30" s="1844">
        <f t="shared" si="4"/>
        <v>7633</v>
      </c>
      <c r="Q30" s="1841">
        <v>4111</v>
      </c>
      <c r="R30" s="1841">
        <v>1495</v>
      </c>
      <c r="S30" s="1841">
        <f t="shared" si="5"/>
        <v>5606</v>
      </c>
      <c r="T30" s="1841">
        <v>4302</v>
      </c>
      <c r="U30" s="1841">
        <v>1593</v>
      </c>
      <c r="V30" s="1841">
        <f t="shared" si="6"/>
        <v>5895</v>
      </c>
      <c r="W30" s="1843">
        <v>4274</v>
      </c>
      <c r="X30" s="1843">
        <v>1599</v>
      </c>
      <c r="Y30" s="1843">
        <f t="shared" si="7"/>
        <v>5873</v>
      </c>
      <c r="Z30" s="1843">
        <v>4666</v>
      </c>
      <c r="AA30" s="1843">
        <v>1986</v>
      </c>
      <c r="AB30" s="1843">
        <f t="shared" si="8"/>
        <v>6652</v>
      </c>
      <c r="AC30" s="1845"/>
      <c r="AD30" s="1845"/>
      <c r="AE30" s="1845">
        <f t="shared" si="9"/>
        <v>0</v>
      </c>
      <c r="AF30" s="1857"/>
      <c r="AG30" s="1857"/>
      <c r="AH30" s="1846">
        <f t="shared" si="10"/>
        <v>0</v>
      </c>
      <c r="AI30" s="1856"/>
      <c r="AJ30" s="1856"/>
      <c r="AK30" s="1846">
        <f t="shared" si="11"/>
        <v>0</v>
      </c>
      <c r="AL30" s="1841"/>
      <c r="AM30" s="1841"/>
      <c r="AN30" s="1841">
        <f t="shared" si="12"/>
        <v>0</v>
      </c>
      <c r="AO30" s="1856"/>
      <c r="AP30" s="1856"/>
      <c r="AQ30" s="1846">
        <f t="shared" si="13"/>
        <v>0</v>
      </c>
      <c r="AR30" s="1856"/>
      <c r="AS30" s="1856"/>
      <c r="AT30" s="1846">
        <f t="shared" si="14"/>
        <v>0</v>
      </c>
      <c r="AU30" s="1856"/>
      <c r="AV30" s="1856"/>
      <c r="AW30" s="1846">
        <f t="shared" si="15"/>
        <v>0</v>
      </c>
      <c r="AX30" s="1856"/>
      <c r="AY30" s="1856"/>
      <c r="AZ30" s="1846">
        <f t="shared" si="16"/>
        <v>0</v>
      </c>
      <c r="BA30" s="1841"/>
      <c r="BB30" s="1841"/>
      <c r="BC30" s="1841">
        <f t="shared" si="17"/>
        <v>0</v>
      </c>
      <c r="BD30" s="1858"/>
      <c r="BE30" s="1859"/>
      <c r="BF30" s="1848">
        <f t="shared" si="18"/>
        <v>0</v>
      </c>
      <c r="BG30" s="1841"/>
      <c r="BH30" s="1841"/>
      <c r="BI30" s="1841">
        <f t="shared" si="19"/>
        <v>0</v>
      </c>
      <c r="BJ30" s="1849"/>
      <c r="BK30" s="1850"/>
      <c r="BL30" s="1850">
        <f t="shared" si="20"/>
        <v>0</v>
      </c>
      <c r="BM30" s="1850"/>
      <c r="BN30" s="1850"/>
      <c r="BO30" s="1850">
        <f t="shared" si="21"/>
        <v>0</v>
      </c>
      <c r="BP30" s="1850"/>
      <c r="BQ30" s="1850"/>
      <c r="BR30" s="1850">
        <f t="shared" si="22"/>
        <v>0</v>
      </c>
      <c r="BS30" s="1850"/>
      <c r="BT30" s="1850"/>
      <c r="BU30" s="1850">
        <f t="shared" si="23"/>
        <v>0</v>
      </c>
      <c r="BV30" s="1841"/>
      <c r="BW30" s="1841"/>
      <c r="BX30" s="1841">
        <f t="shared" si="24"/>
        <v>0</v>
      </c>
      <c r="BY30" s="1841"/>
      <c r="BZ30" s="1841"/>
      <c r="CA30" s="1841"/>
      <c r="CB30" s="1841"/>
      <c r="CC30" s="1841">
        <f t="shared" si="25"/>
        <v>0</v>
      </c>
      <c r="CD30" s="1841"/>
      <c r="CE30" s="1841"/>
      <c r="CF30" s="1841">
        <f t="shared" si="26"/>
        <v>0</v>
      </c>
      <c r="CG30" s="1849"/>
      <c r="CH30" s="1850"/>
      <c r="CI30" s="1850">
        <f t="shared" si="27"/>
        <v>0</v>
      </c>
      <c r="CJ30" s="1841"/>
      <c r="CK30" s="1841"/>
      <c r="CL30" s="1856"/>
      <c r="CM30" s="1856"/>
      <c r="CN30" s="1846">
        <f t="shared" si="28"/>
        <v>0</v>
      </c>
      <c r="CO30" s="1841"/>
      <c r="CP30" s="1841"/>
      <c r="CQ30" s="1841">
        <f t="shared" si="29"/>
        <v>0</v>
      </c>
      <c r="CR30" s="1858"/>
      <c r="CS30" s="1859"/>
      <c r="CT30" s="1848">
        <f t="shared" si="30"/>
        <v>0</v>
      </c>
      <c r="CU30" s="1841"/>
      <c r="CV30" s="1841"/>
      <c r="CW30" s="1841">
        <f t="shared" si="31"/>
        <v>0</v>
      </c>
      <c r="CX30" s="1849"/>
      <c r="CY30" s="1850"/>
      <c r="CZ30" s="1850">
        <f t="shared" si="32"/>
        <v>0</v>
      </c>
      <c r="DA30" s="1850"/>
      <c r="DB30" s="1850"/>
      <c r="DC30" s="1850">
        <f t="shared" si="33"/>
        <v>0</v>
      </c>
      <c r="DD30" s="1850"/>
      <c r="DE30" s="1850"/>
      <c r="DF30" s="1850">
        <f t="shared" si="34"/>
        <v>0</v>
      </c>
      <c r="DG30" s="1850"/>
      <c r="DH30" s="1850"/>
      <c r="DI30" s="1850">
        <f t="shared" si="35"/>
        <v>0</v>
      </c>
      <c r="DJ30" s="1841"/>
      <c r="DK30" s="1841"/>
      <c r="DL30" s="1841">
        <f t="shared" si="36"/>
        <v>0</v>
      </c>
      <c r="DM30" s="1841"/>
      <c r="DN30" s="1841"/>
      <c r="DO30" s="1841">
        <f t="shared" si="37"/>
        <v>0</v>
      </c>
      <c r="DP30" s="1841"/>
      <c r="DQ30" s="1841"/>
      <c r="DR30" s="1841">
        <f t="shared" si="38"/>
        <v>0</v>
      </c>
      <c r="DS30" s="1849"/>
      <c r="DT30" s="1850"/>
      <c r="DU30" s="1850">
        <f t="shared" si="39"/>
        <v>0</v>
      </c>
      <c r="DV30" s="1856"/>
      <c r="DW30" s="1856"/>
      <c r="DX30" s="1846">
        <f t="shared" si="40"/>
        <v>0</v>
      </c>
      <c r="DY30" s="1841"/>
      <c r="DZ30" s="1841"/>
      <c r="EA30" s="1841">
        <f t="shared" si="41"/>
        <v>0</v>
      </c>
      <c r="EB30" s="1858"/>
      <c r="EC30" s="1859"/>
      <c r="ED30" s="1848">
        <f t="shared" si="42"/>
        <v>0</v>
      </c>
      <c r="EE30" s="1841"/>
      <c r="EF30" s="1841"/>
      <c r="EG30" s="1841">
        <f t="shared" si="43"/>
        <v>0</v>
      </c>
      <c r="EH30" s="1849"/>
      <c r="EI30" s="1850"/>
      <c r="EJ30" s="1850">
        <f t="shared" si="44"/>
        <v>0</v>
      </c>
      <c r="EK30" s="1850"/>
      <c r="EL30" s="1850"/>
      <c r="EM30" s="1850">
        <f t="shared" si="45"/>
        <v>0</v>
      </c>
      <c r="EN30" s="1850"/>
      <c r="EO30" s="1850"/>
      <c r="EP30" s="1850">
        <f t="shared" si="46"/>
        <v>0</v>
      </c>
      <c r="EQ30" s="1850"/>
      <c r="ER30" s="1850"/>
      <c r="ES30" s="1850">
        <f t="shared" si="47"/>
        <v>0</v>
      </c>
      <c r="ET30" s="1841"/>
      <c r="EU30" s="1841"/>
      <c r="EV30" s="1841">
        <f t="shared" si="48"/>
        <v>0</v>
      </c>
      <c r="EW30" s="1841"/>
      <c r="EX30" s="1841"/>
      <c r="EY30" s="1841">
        <f t="shared" si="49"/>
        <v>0</v>
      </c>
      <c r="EZ30" s="1841"/>
      <c r="FA30" s="1841"/>
      <c r="FB30" s="1841">
        <f t="shared" si="50"/>
        <v>0</v>
      </c>
      <c r="FC30" s="1849"/>
      <c r="FD30" s="1850"/>
      <c r="FE30" s="1850">
        <f t="shared" si="51"/>
        <v>0</v>
      </c>
      <c r="FF30" s="1856"/>
      <c r="FG30" s="1856"/>
      <c r="FH30" s="1846">
        <f t="shared" si="52"/>
        <v>0</v>
      </c>
      <c r="FI30" s="1841"/>
      <c r="FJ30" s="1841"/>
      <c r="FK30" s="1841">
        <f t="shared" si="53"/>
        <v>0</v>
      </c>
      <c r="FL30" s="1858"/>
      <c r="FM30" s="1859"/>
      <c r="FN30" s="1848">
        <f t="shared" si="54"/>
        <v>0</v>
      </c>
      <c r="FO30" s="1841"/>
      <c r="FP30" s="1841"/>
      <c r="FQ30" s="1841">
        <f t="shared" si="55"/>
        <v>0</v>
      </c>
      <c r="FR30" s="1851"/>
      <c r="FS30" s="1850"/>
      <c r="FT30" s="1850">
        <f t="shared" si="56"/>
        <v>0</v>
      </c>
      <c r="FU30" s="1850"/>
      <c r="FV30" s="1850"/>
      <c r="FW30" s="1850">
        <f t="shared" si="57"/>
        <v>0</v>
      </c>
      <c r="FX30" s="1850"/>
      <c r="FY30" s="1850"/>
      <c r="FZ30" s="1850">
        <f t="shared" si="58"/>
        <v>0</v>
      </c>
      <c r="GA30" s="1850"/>
      <c r="GB30" s="1850"/>
      <c r="GC30" s="1850">
        <f t="shared" si="59"/>
        <v>0</v>
      </c>
      <c r="GD30" s="1841"/>
      <c r="GE30" s="1841"/>
      <c r="GF30" s="1841">
        <f t="shared" si="60"/>
        <v>0</v>
      </c>
      <c r="GG30" s="1841"/>
      <c r="GH30" s="1841"/>
      <c r="GI30" s="1841">
        <f t="shared" si="61"/>
        <v>0</v>
      </c>
      <c r="GJ30" s="1841"/>
      <c r="GK30" s="1841"/>
      <c r="GL30" s="1841">
        <f t="shared" si="62"/>
        <v>0</v>
      </c>
      <c r="GM30" s="1849"/>
      <c r="GN30" s="1850"/>
      <c r="GO30" s="1850">
        <f t="shared" si="63"/>
        <v>0</v>
      </c>
      <c r="GP30" s="1856"/>
      <c r="GQ30" s="1856"/>
      <c r="GR30" s="1846">
        <f t="shared" si="64"/>
        <v>0</v>
      </c>
      <c r="GS30" s="1841"/>
      <c r="GT30" s="1841"/>
      <c r="GU30" s="1841">
        <f t="shared" si="65"/>
        <v>0</v>
      </c>
      <c r="GV30" s="1858"/>
      <c r="GW30" s="1859"/>
      <c r="GX30" s="1848">
        <f t="shared" si="66"/>
        <v>0</v>
      </c>
      <c r="GY30" s="1841"/>
      <c r="GZ30" s="1841"/>
      <c r="HA30" s="1841">
        <f t="shared" si="67"/>
        <v>0</v>
      </c>
      <c r="HB30" s="1851"/>
      <c r="HC30" s="1850"/>
      <c r="HD30" s="1850">
        <f t="shared" si="68"/>
        <v>0</v>
      </c>
      <c r="HE30" s="1850"/>
      <c r="HF30" s="1850"/>
      <c r="HG30" s="1850">
        <f t="shared" si="69"/>
        <v>0</v>
      </c>
      <c r="HH30" s="1850"/>
      <c r="HI30" s="1850"/>
      <c r="HJ30" s="1850">
        <f t="shared" si="70"/>
        <v>0</v>
      </c>
      <c r="HK30" s="1850"/>
      <c r="HL30" s="1850"/>
      <c r="HM30" s="1850">
        <f t="shared" si="71"/>
        <v>0</v>
      </c>
      <c r="HN30" s="1841"/>
      <c r="HO30" s="1841"/>
      <c r="HP30" s="1841">
        <f t="shared" si="72"/>
        <v>0</v>
      </c>
      <c r="HQ30" s="1841"/>
      <c r="HR30" s="1841"/>
      <c r="HS30" s="1841">
        <f t="shared" si="73"/>
        <v>0</v>
      </c>
      <c r="HT30" s="1841"/>
      <c r="HU30" s="1841"/>
      <c r="HV30" s="1841">
        <f t="shared" si="74"/>
        <v>0</v>
      </c>
      <c r="HW30" s="1852"/>
      <c r="HX30" s="1853"/>
      <c r="HY30" s="1850">
        <f t="shared" si="75"/>
        <v>0</v>
      </c>
      <c r="HZ30" s="1856"/>
      <c r="IA30" s="1856"/>
      <c r="IB30" s="1846">
        <f t="shared" si="76"/>
        <v>0</v>
      </c>
      <c r="IC30" s="1841"/>
      <c r="ID30" s="1841"/>
      <c r="IE30" s="1841">
        <f t="shared" si="77"/>
        <v>0</v>
      </c>
      <c r="IF30" s="1858"/>
      <c r="IG30" s="1859"/>
      <c r="IH30" s="1848">
        <f t="shared" si="78"/>
        <v>0</v>
      </c>
      <c r="II30" s="1814"/>
      <c r="IJ30" s="1814"/>
      <c r="IK30" s="1814">
        <f t="shared" si="79"/>
        <v>0</v>
      </c>
      <c r="IL30" s="1814">
        <f t="shared" si="79"/>
        <v>0</v>
      </c>
    </row>
    <row r="31" spans="1:246" ht="15.75" hidden="1" thickBot="1">
      <c r="A31" s="1901" t="s">
        <v>1597</v>
      </c>
      <c r="B31" s="1814">
        <v>601</v>
      </c>
      <c r="C31" s="1814">
        <v>327</v>
      </c>
      <c r="D31" s="1841">
        <f t="shared" si="0"/>
        <v>928</v>
      </c>
      <c r="E31" s="1842">
        <v>664</v>
      </c>
      <c r="F31" s="1842">
        <v>404</v>
      </c>
      <c r="G31" s="1842">
        <f t="shared" si="1"/>
        <v>1068</v>
      </c>
      <c r="H31" s="1854">
        <v>672</v>
      </c>
      <c r="I31" s="1854">
        <v>435</v>
      </c>
      <c r="J31" s="1842">
        <f t="shared" si="2"/>
        <v>1107</v>
      </c>
      <c r="K31" s="1843">
        <v>680</v>
      </c>
      <c r="L31" s="1843">
        <v>437</v>
      </c>
      <c r="M31" s="1843">
        <f t="shared" si="3"/>
        <v>1117</v>
      </c>
      <c r="N31" s="1855">
        <v>675</v>
      </c>
      <c r="O31" s="1855">
        <v>440</v>
      </c>
      <c r="P31" s="1844">
        <f t="shared" si="4"/>
        <v>1115</v>
      </c>
      <c r="Q31" s="1841">
        <v>725</v>
      </c>
      <c r="R31" s="1841">
        <v>481</v>
      </c>
      <c r="S31" s="1841">
        <f t="shared" si="5"/>
        <v>1206</v>
      </c>
      <c r="T31" s="1841">
        <v>769</v>
      </c>
      <c r="U31" s="1841">
        <v>505</v>
      </c>
      <c r="V31" s="1841">
        <f t="shared" si="6"/>
        <v>1274</v>
      </c>
      <c r="W31" s="1843">
        <v>779</v>
      </c>
      <c r="X31" s="1843">
        <v>519</v>
      </c>
      <c r="Y31" s="1843">
        <f t="shared" si="7"/>
        <v>1298</v>
      </c>
      <c r="Z31" s="1843">
        <v>740</v>
      </c>
      <c r="AA31" s="1843">
        <v>548</v>
      </c>
      <c r="AB31" s="1843">
        <f t="shared" si="8"/>
        <v>1288</v>
      </c>
      <c r="AC31" s="1845">
        <v>817</v>
      </c>
      <c r="AD31" s="1845">
        <v>559</v>
      </c>
      <c r="AE31" s="1845">
        <f t="shared" si="9"/>
        <v>1376</v>
      </c>
      <c r="AF31" s="1856">
        <v>777</v>
      </c>
      <c r="AG31" s="1856">
        <v>564</v>
      </c>
      <c r="AH31" s="1846">
        <f t="shared" si="10"/>
        <v>1341</v>
      </c>
      <c r="AI31" s="1856">
        <v>810</v>
      </c>
      <c r="AJ31" s="1856">
        <v>510</v>
      </c>
      <c r="AK31" s="1846">
        <f t="shared" si="11"/>
        <v>1320</v>
      </c>
      <c r="AL31" s="1841">
        <v>860</v>
      </c>
      <c r="AM31" s="1841">
        <v>526</v>
      </c>
      <c r="AN31" s="1841">
        <f t="shared" si="12"/>
        <v>1386</v>
      </c>
      <c r="AO31" s="1856">
        <v>821</v>
      </c>
      <c r="AP31" s="1856">
        <v>539</v>
      </c>
      <c r="AQ31" s="1846">
        <f t="shared" si="13"/>
        <v>1360</v>
      </c>
      <c r="AR31" s="1856">
        <v>872</v>
      </c>
      <c r="AS31" s="1856">
        <v>611</v>
      </c>
      <c r="AT31" s="1846">
        <f t="shared" si="14"/>
        <v>1483</v>
      </c>
      <c r="AU31" s="1856">
        <v>946</v>
      </c>
      <c r="AV31" s="1856">
        <v>618</v>
      </c>
      <c r="AW31" s="1846">
        <f t="shared" si="15"/>
        <v>1564</v>
      </c>
      <c r="AX31" s="1856">
        <v>833</v>
      </c>
      <c r="AY31" s="1856">
        <v>626</v>
      </c>
      <c r="AZ31" s="1846">
        <f t="shared" si="16"/>
        <v>1459</v>
      </c>
      <c r="BA31" s="1841">
        <v>860</v>
      </c>
      <c r="BB31" s="1841">
        <v>657</v>
      </c>
      <c r="BC31" s="1841">
        <f t="shared" si="17"/>
        <v>1517</v>
      </c>
      <c r="BD31" s="1847">
        <v>836</v>
      </c>
      <c r="BE31" s="1848">
        <v>662</v>
      </c>
      <c r="BF31" s="1848">
        <f t="shared" si="18"/>
        <v>1498</v>
      </c>
      <c r="BG31" s="1841">
        <v>904</v>
      </c>
      <c r="BH31" s="1841">
        <v>735</v>
      </c>
      <c r="BI31" s="1841">
        <f t="shared" si="19"/>
        <v>1639</v>
      </c>
      <c r="BJ31" s="1849">
        <v>842</v>
      </c>
      <c r="BK31" s="1850">
        <v>681</v>
      </c>
      <c r="BL31" s="1850">
        <f t="shared" si="20"/>
        <v>1523</v>
      </c>
      <c r="BM31" s="1850">
        <v>843</v>
      </c>
      <c r="BN31" s="1850">
        <v>746</v>
      </c>
      <c r="BO31" s="1850">
        <f t="shared" si="21"/>
        <v>1589</v>
      </c>
      <c r="BP31" s="1850">
        <v>814</v>
      </c>
      <c r="BQ31" s="1850">
        <v>737</v>
      </c>
      <c r="BR31" s="1850">
        <f t="shared" si="22"/>
        <v>1551</v>
      </c>
      <c r="BS31" s="1850">
        <v>853</v>
      </c>
      <c r="BT31" s="1850">
        <v>769</v>
      </c>
      <c r="BU31" s="1850">
        <f t="shared" si="23"/>
        <v>1622</v>
      </c>
      <c r="BV31" s="1841">
        <v>820</v>
      </c>
      <c r="BW31" s="1841">
        <v>752</v>
      </c>
      <c r="BX31" s="1841">
        <f t="shared" si="24"/>
        <v>1572</v>
      </c>
      <c r="BY31" s="1841">
        <v>843</v>
      </c>
      <c r="BZ31" s="1841">
        <v>758</v>
      </c>
      <c r="CA31" s="1841">
        <v>840</v>
      </c>
      <c r="CB31" s="1841">
        <v>762</v>
      </c>
      <c r="CC31" s="1841">
        <f t="shared" si="25"/>
        <v>1602</v>
      </c>
      <c r="CD31" s="1841">
        <v>812</v>
      </c>
      <c r="CE31" s="1841">
        <v>767</v>
      </c>
      <c r="CF31" s="1841">
        <f t="shared" si="26"/>
        <v>1579</v>
      </c>
      <c r="CG31" s="1849">
        <v>771</v>
      </c>
      <c r="CH31" s="1850">
        <v>732</v>
      </c>
      <c r="CI31" s="1850">
        <f t="shared" si="27"/>
        <v>1503</v>
      </c>
      <c r="CJ31" s="1841">
        <v>767</v>
      </c>
      <c r="CK31" s="1841">
        <v>732</v>
      </c>
      <c r="CL31" s="1856">
        <v>761</v>
      </c>
      <c r="CM31" s="1856">
        <v>723</v>
      </c>
      <c r="CN31" s="1846">
        <f t="shared" si="28"/>
        <v>1484</v>
      </c>
      <c r="CO31" s="1841">
        <v>841</v>
      </c>
      <c r="CP31" s="1841">
        <v>733</v>
      </c>
      <c r="CQ31" s="1841">
        <f t="shared" si="29"/>
        <v>1574</v>
      </c>
      <c r="CR31" s="1847">
        <v>809</v>
      </c>
      <c r="CS31" s="1848">
        <v>743</v>
      </c>
      <c r="CT31" s="1848">
        <f t="shared" si="30"/>
        <v>1552</v>
      </c>
      <c r="CU31" s="1841">
        <v>811</v>
      </c>
      <c r="CV31" s="1841">
        <v>699</v>
      </c>
      <c r="CW31" s="1841">
        <f t="shared" si="31"/>
        <v>1510</v>
      </c>
      <c r="CX31" s="1849">
        <v>760</v>
      </c>
      <c r="CY31" s="1850">
        <v>677</v>
      </c>
      <c r="CZ31" s="1850">
        <f t="shared" si="32"/>
        <v>1437</v>
      </c>
      <c r="DA31" s="1850">
        <v>749</v>
      </c>
      <c r="DB31" s="1850">
        <v>692</v>
      </c>
      <c r="DC31" s="1850">
        <f t="shared" si="33"/>
        <v>1441</v>
      </c>
      <c r="DD31" s="1850">
        <v>770</v>
      </c>
      <c r="DE31" s="1850">
        <v>677</v>
      </c>
      <c r="DF31" s="1850">
        <f t="shared" si="34"/>
        <v>1447</v>
      </c>
      <c r="DG31" s="1850">
        <v>753</v>
      </c>
      <c r="DH31" s="1850">
        <v>675</v>
      </c>
      <c r="DI31" s="1850">
        <f t="shared" si="35"/>
        <v>1428</v>
      </c>
      <c r="DJ31" s="1841">
        <v>722</v>
      </c>
      <c r="DK31" s="1841">
        <v>676</v>
      </c>
      <c r="DL31" s="1841">
        <f t="shared" si="36"/>
        <v>1398</v>
      </c>
      <c r="DM31" s="1841">
        <v>728</v>
      </c>
      <c r="DN31" s="1841">
        <v>659</v>
      </c>
      <c r="DO31" s="1841">
        <f t="shared" si="37"/>
        <v>1387</v>
      </c>
      <c r="DP31" s="1841">
        <v>741</v>
      </c>
      <c r="DQ31" s="1841">
        <v>644</v>
      </c>
      <c r="DR31" s="1841">
        <f t="shared" si="38"/>
        <v>1385</v>
      </c>
      <c r="DS31" s="1849">
        <v>750</v>
      </c>
      <c r="DT31" s="1850">
        <v>638</v>
      </c>
      <c r="DU31" s="1850">
        <f t="shared" si="39"/>
        <v>1388</v>
      </c>
      <c r="DV31" s="1856">
        <v>697</v>
      </c>
      <c r="DW31" s="1856">
        <v>608</v>
      </c>
      <c r="DX31" s="1846">
        <f t="shared" si="40"/>
        <v>1305</v>
      </c>
      <c r="DY31" s="1841">
        <v>685</v>
      </c>
      <c r="DZ31" s="1841">
        <v>600</v>
      </c>
      <c r="EA31" s="1841">
        <f t="shared" si="41"/>
        <v>1285</v>
      </c>
      <c r="EB31" s="1847">
        <v>765</v>
      </c>
      <c r="EC31" s="1848">
        <v>613</v>
      </c>
      <c r="ED31" s="1848">
        <f t="shared" si="42"/>
        <v>1378</v>
      </c>
      <c r="EE31" s="1841">
        <v>692</v>
      </c>
      <c r="EF31" s="1841">
        <v>594</v>
      </c>
      <c r="EG31" s="1841">
        <f t="shared" si="43"/>
        <v>1286</v>
      </c>
      <c r="EH31" s="1849">
        <v>656</v>
      </c>
      <c r="EI31" s="1850">
        <v>602</v>
      </c>
      <c r="EJ31" s="1850">
        <f t="shared" si="44"/>
        <v>1258</v>
      </c>
      <c r="EK31" s="1850">
        <v>674</v>
      </c>
      <c r="EL31" s="1850">
        <v>617</v>
      </c>
      <c r="EM31" s="1850">
        <f t="shared" si="45"/>
        <v>1291</v>
      </c>
      <c r="EN31" s="1850">
        <v>642</v>
      </c>
      <c r="EO31" s="1850">
        <v>588</v>
      </c>
      <c r="EP31" s="1850">
        <f t="shared" si="46"/>
        <v>1230</v>
      </c>
      <c r="EQ31" s="1850">
        <v>644</v>
      </c>
      <c r="ER31" s="1850">
        <v>591</v>
      </c>
      <c r="ES31" s="1850">
        <f t="shared" si="47"/>
        <v>1235</v>
      </c>
      <c r="ET31" s="1841">
        <v>654</v>
      </c>
      <c r="EU31" s="1841">
        <v>614</v>
      </c>
      <c r="EV31" s="1841">
        <f t="shared" si="48"/>
        <v>1268</v>
      </c>
      <c r="EW31" s="1841">
        <v>638</v>
      </c>
      <c r="EX31" s="1841">
        <v>598</v>
      </c>
      <c r="EY31" s="1841">
        <f t="shared" si="49"/>
        <v>1236</v>
      </c>
      <c r="EZ31" s="1841">
        <v>595</v>
      </c>
      <c r="FA31" s="1841">
        <v>569</v>
      </c>
      <c r="FB31" s="1841">
        <f t="shared" si="50"/>
        <v>1164</v>
      </c>
      <c r="FC31" s="1849">
        <v>612</v>
      </c>
      <c r="FD31" s="1850">
        <v>594</v>
      </c>
      <c r="FE31" s="1850">
        <f t="shared" si="51"/>
        <v>1206</v>
      </c>
      <c r="FF31" s="1856">
        <v>594</v>
      </c>
      <c r="FG31" s="1856">
        <v>563</v>
      </c>
      <c r="FH31" s="1846">
        <f t="shared" si="52"/>
        <v>1157</v>
      </c>
      <c r="FI31" s="1841">
        <v>580</v>
      </c>
      <c r="FJ31" s="1841">
        <v>571</v>
      </c>
      <c r="FK31" s="1841">
        <f t="shared" si="53"/>
        <v>1151</v>
      </c>
      <c r="FL31" s="1847">
        <v>596</v>
      </c>
      <c r="FM31" s="1848">
        <v>573</v>
      </c>
      <c r="FN31" s="1848">
        <f t="shared" si="54"/>
        <v>1169</v>
      </c>
      <c r="FO31" s="1841">
        <v>591</v>
      </c>
      <c r="FP31" s="1841">
        <v>564</v>
      </c>
      <c r="FQ31" s="1841">
        <f t="shared" si="55"/>
        <v>1155</v>
      </c>
      <c r="FR31" s="1851">
        <v>602</v>
      </c>
      <c r="FS31" s="1850">
        <v>580</v>
      </c>
      <c r="FT31" s="1850">
        <f t="shared" si="56"/>
        <v>1182</v>
      </c>
      <c r="FU31" s="1850">
        <v>619</v>
      </c>
      <c r="FV31" s="1850">
        <v>591</v>
      </c>
      <c r="FW31" s="1850">
        <f t="shared" si="57"/>
        <v>1210</v>
      </c>
      <c r="FX31" s="1850">
        <v>603</v>
      </c>
      <c r="FY31" s="1850">
        <v>607</v>
      </c>
      <c r="FZ31" s="1850">
        <f t="shared" si="58"/>
        <v>1210</v>
      </c>
      <c r="GA31" s="1850">
        <v>585</v>
      </c>
      <c r="GB31" s="1850">
        <v>588</v>
      </c>
      <c r="GC31" s="1850">
        <f t="shared" si="59"/>
        <v>1173</v>
      </c>
      <c r="GD31" s="1841">
        <v>599</v>
      </c>
      <c r="GE31" s="1841">
        <v>611</v>
      </c>
      <c r="GF31" s="1841">
        <f t="shared" si="60"/>
        <v>1210</v>
      </c>
      <c r="GG31" s="1841">
        <v>608</v>
      </c>
      <c r="GH31" s="1841">
        <v>615</v>
      </c>
      <c r="GI31" s="1841">
        <f t="shared" si="61"/>
        <v>1223</v>
      </c>
      <c r="GJ31" s="1841">
        <v>576</v>
      </c>
      <c r="GK31" s="1841">
        <v>595</v>
      </c>
      <c r="GL31" s="1841">
        <f t="shared" si="62"/>
        <v>1171</v>
      </c>
      <c r="GM31" s="1849">
        <v>578</v>
      </c>
      <c r="GN31" s="1850">
        <v>547</v>
      </c>
      <c r="GO31" s="1850">
        <f t="shared" si="63"/>
        <v>1125</v>
      </c>
      <c r="GP31" s="1856">
        <v>543</v>
      </c>
      <c r="GQ31" s="1856">
        <v>534</v>
      </c>
      <c r="GR31" s="1846">
        <f t="shared" si="64"/>
        <v>1077</v>
      </c>
      <c r="GS31" s="1841">
        <v>585</v>
      </c>
      <c r="GT31" s="1841">
        <v>543</v>
      </c>
      <c r="GU31" s="1841">
        <f t="shared" si="65"/>
        <v>1128</v>
      </c>
      <c r="GV31" s="1847">
        <v>567</v>
      </c>
      <c r="GW31" s="1848">
        <v>538</v>
      </c>
      <c r="GX31" s="1848">
        <f t="shared" si="66"/>
        <v>1105</v>
      </c>
      <c r="GY31" s="1841">
        <v>554</v>
      </c>
      <c r="GZ31" s="1841">
        <v>512</v>
      </c>
      <c r="HA31" s="1841">
        <f t="shared" si="67"/>
        <v>1066</v>
      </c>
      <c r="HB31" s="1851">
        <v>555</v>
      </c>
      <c r="HC31" s="1850">
        <v>528</v>
      </c>
      <c r="HD31" s="1850">
        <f t="shared" si="68"/>
        <v>1083</v>
      </c>
      <c r="HE31" s="1850">
        <v>551</v>
      </c>
      <c r="HF31" s="1850">
        <v>514</v>
      </c>
      <c r="HG31" s="1850">
        <f t="shared" si="69"/>
        <v>1065</v>
      </c>
      <c r="HH31" s="1850">
        <v>554</v>
      </c>
      <c r="HI31" s="1850">
        <v>509</v>
      </c>
      <c r="HJ31" s="1850">
        <f t="shared" si="70"/>
        <v>1063</v>
      </c>
      <c r="HK31" s="1850">
        <v>555</v>
      </c>
      <c r="HL31" s="1850">
        <v>542</v>
      </c>
      <c r="HM31" s="1850">
        <f t="shared" si="71"/>
        <v>1097</v>
      </c>
      <c r="HN31" s="1841">
        <v>551</v>
      </c>
      <c r="HO31" s="1841">
        <v>527</v>
      </c>
      <c r="HP31" s="1841">
        <f t="shared" si="72"/>
        <v>1078</v>
      </c>
      <c r="HQ31" s="1841">
        <v>522</v>
      </c>
      <c r="HR31" s="1841">
        <v>494</v>
      </c>
      <c r="HS31" s="1841">
        <f t="shared" si="73"/>
        <v>1016</v>
      </c>
      <c r="HT31" s="1841"/>
      <c r="HU31" s="1841"/>
      <c r="HV31" s="1841">
        <f t="shared" si="74"/>
        <v>0</v>
      </c>
      <c r="HW31" s="1860"/>
      <c r="HX31" s="1861"/>
      <c r="HY31" s="1850">
        <f t="shared" si="75"/>
        <v>0</v>
      </c>
      <c r="HZ31" s="1856"/>
      <c r="IA31" s="1856"/>
      <c r="IB31" s="1846">
        <f t="shared" si="76"/>
        <v>0</v>
      </c>
      <c r="IC31" s="1841"/>
      <c r="ID31" s="1841"/>
      <c r="IE31" s="1841">
        <f t="shared" si="77"/>
        <v>0</v>
      </c>
      <c r="IF31" s="1847"/>
      <c r="IG31" s="1848"/>
      <c r="IH31" s="1848">
        <f t="shared" si="78"/>
        <v>0</v>
      </c>
      <c r="II31" s="1814"/>
      <c r="IJ31" s="1814"/>
      <c r="IK31" s="1814">
        <f t="shared" si="79"/>
        <v>0</v>
      </c>
      <c r="IL31" s="1814">
        <f t="shared" si="79"/>
        <v>0</v>
      </c>
    </row>
    <row r="32" spans="1:246" ht="15.75" hidden="1" thickBot="1">
      <c r="A32" s="1901" t="s">
        <v>1751</v>
      </c>
      <c r="B32" s="1814">
        <v>28982</v>
      </c>
      <c r="C32" s="1814">
        <v>32153</v>
      </c>
      <c r="D32" s="1841">
        <f t="shared" si="0"/>
        <v>61135</v>
      </c>
      <c r="E32" s="1842">
        <v>29765</v>
      </c>
      <c r="F32" s="1842">
        <v>33221</v>
      </c>
      <c r="G32" s="1842">
        <f t="shared" si="1"/>
        <v>62986</v>
      </c>
      <c r="H32" s="1842">
        <v>29956</v>
      </c>
      <c r="I32" s="1842">
        <v>33875</v>
      </c>
      <c r="J32" s="1842">
        <f t="shared" si="2"/>
        <v>63831</v>
      </c>
      <c r="K32" s="1843">
        <v>30984</v>
      </c>
      <c r="L32" s="1843">
        <v>34858</v>
      </c>
      <c r="M32" s="1843">
        <f t="shared" si="3"/>
        <v>65842</v>
      </c>
      <c r="N32" s="1855">
        <v>30799</v>
      </c>
      <c r="O32" s="1855">
        <v>34544</v>
      </c>
      <c r="P32" s="1844">
        <f t="shared" si="4"/>
        <v>65343</v>
      </c>
      <c r="Q32" s="1841">
        <v>31019</v>
      </c>
      <c r="R32" s="1841">
        <v>37413</v>
      </c>
      <c r="S32" s="1841">
        <f t="shared" si="5"/>
        <v>68432</v>
      </c>
      <c r="T32" s="1841">
        <v>31795</v>
      </c>
      <c r="U32" s="1841">
        <v>38369</v>
      </c>
      <c r="V32" s="1841">
        <f t="shared" si="6"/>
        <v>70164</v>
      </c>
      <c r="W32" s="1843">
        <v>32753</v>
      </c>
      <c r="X32" s="1843">
        <v>39147</v>
      </c>
      <c r="Y32" s="1843">
        <f t="shared" si="7"/>
        <v>71900</v>
      </c>
      <c r="Z32" s="1843">
        <v>32831</v>
      </c>
      <c r="AA32" s="1843">
        <v>40039</v>
      </c>
      <c r="AB32" s="1843">
        <f t="shared" si="8"/>
        <v>72870</v>
      </c>
      <c r="AC32" s="1845">
        <v>32874</v>
      </c>
      <c r="AD32" s="1845">
        <v>40158</v>
      </c>
      <c r="AE32" s="1845">
        <f t="shared" si="9"/>
        <v>73032</v>
      </c>
      <c r="AF32" s="1846">
        <v>32449</v>
      </c>
      <c r="AG32" s="1846">
        <v>39786</v>
      </c>
      <c r="AH32" s="1846">
        <f t="shared" si="10"/>
        <v>72235</v>
      </c>
      <c r="AI32" s="1846">
        <v>33146</v>
      </c>
      <c r="AJ32" s="1846">
        <v>39142</v>
      </c>
      <c r="AK32" s="1846">
        <f t="shared" si="11"/>
        <v>72288</v>
      </c>
      <c r="AL32" s="1841">
        <v>33293</v>
      </c>
      <c r="AM32" s="1841">
        <v>39371</v>
      </c>
      <c r="AN32" s="1841">
        <f t="shared" si="12"/>
        <v>72664</v>
      </c>
      <c r="AO32" s="1846">
        <v>33226</v>
      </c>
      <c r="AP32" s="1846">
        <v>39318</v>
      </c>
      <c r="AQ32" s="1846">
        <f t="shared" si="13"/>
        <v>72544</v>
      </c>
      <c r="AR32" s="1846">
        <v>31412</v>
      </c>
      <c r="AS32" s="1846">
        <v>36435</v>
      </c>
      <c r="AT32" s="1846">
        <f t="shared" si="14"/>
        <v>67847</v>
      </c>
      <c r="AU32" s="1846">
        <v>30183</v>
      </c>
      <c r="AV32" s="1846">
        <v>35348</v>
      </c>
      <c r="AW32" s="1846">
        <f t="shared" si="15"/>
        <v>65531</v>
      </c>
      <c r="AX32" s="1846">
        <v>30344</v>
      </c>
      <c r="AY32" s="1846">
        <v>35680</v>
      </c>
      <c r="AZ32" s="1846">
        <f t="shared" si="16"/>
        <v>66024</v>
      </c>
      <c r="BA32" s="1841">
        <v>30503</v>
      </c>
      <c r="BB32" s="1841">
        <v>35420</v>
      </c>
      <c r="BC32" s="1841">
        <f t="shared" si="17"/>
        <v>65923</v>
      </c>
      <c r="BD32" s="1847">
        <v>30257</v>
      </c>
      <c r="BE32" s="1848">
        <v>35509</v>
      </c>
      <c r="BF32" s="1848">
        <f t="shared" si="18"/>
        <v>65766</v>
      </c>
      <c r="BG32" s="1841">
        <v>30594</v>
      </c>
      <c r="BH32" s="1841">
        <v>35829</v>
      </c>
      <c r="BI32" s="1841">
        <f t="shared" si="19"/>
        <v>66423</v>
      </c>
      <c r="BJ32" s="1849">
        <v>30128</v>
      </c>
      <c r="BK32" s="1850">
        <v>35779</v>
      </c>
      <c r="BL32" s="1850">
        <f t="shared" si="20"/>
        <v>65907</v>
      </c>
      <c r="BM32" s="1850">
        <v>30584</v>
      </c>
      <c r="BN32" s="1850">
        <v>36294</v>
      </c>
      <c r="BO32" s="1850">
        <f t="shared" si="21"/>
        <v>66878</v>
      </c>
      <c r="BP32" s="1850">
        <v>30598</v>
      </c>
      <c r="BQ32" s="1850">
        <v>36413</v>
      </c>
      <c r="BR32" s="1850">
        <f t="shared" si="22"/>
        <v>67011</v>
      </c>
      <c r="BS32" s="1850">
        <v>31037</v>
      </c>
      <c r="BT32" s="1850">
        <v>37090</v>
      </c>
      <c r="BU32" s="1850">
        <f t="shared" si="23"/>
        <v>68127</v>
      </c>
      <c r="BV32" s="1841">
        <v>30931</v>
      </c>
      <c r="BW32" s="1841">
        <v>37276</v>
      </c>
      <c r="BX32" s="1841">
        <f t="shared" si="24"/>
        <v>68207</v>
      </c>
      <c r="BY32" s="1841">
        <v>31077</v>
      </c>
      <c r="BZ32" s="1841">
        <v>37169</v>
      </c>
      <c r="CA32" s="1841">
        <v>30872</v>
      </c>
      <c r="CB32" s="1841">
        <v>37464</v>
      </c>
      <c r="CC32" s="1841">
        <f t="shared" si="25"/>
        <v>68336</v>
      </c>
      <c r="CD32" s="1841">
        <v>31300</v>
      </c>
      <c r="CE32" s="1841">
        <v>37837</v>
      </c>
      <c r="CF32" s="1841">
        <f t="shared" si="26"/>
        <v>69137</v>
      </c>
      <c r="CG32" s="1849">
        <v>31386</v>
      </c>
      <c r="CH32" s="1850">
        <v>38301</v>
      </c>
      <c r="CI32" s="1850">
        <f t="shared" si="27"/>
        <v>69687</v>
      </c>
      <c r="CJ32" s="1841">
        <v>31256</v>
      </c>
      <c r="CK32" s="1841">
        <v>38167</v>
      </c>
      <c r="CL32" s="1846">
        <v>31508</v>
      </c>
      <c r="CM32" s="1846">
        <v>38534</v>
      </c>
      <c r="CN32" s="1846">
        <f t="shared" si="28"/>
        <v>70042</v>
      </c>
      <c r="CO32" s="1841">
        <v>33181</v>
      </c>
      <c r="CP32" s="1841">
        <v>40482</v>
      </c>
      <c r="CQ32" s="1841">
        <f t="shared" si="29"/>
        <v>73663</v>
      </c>
      <c r="CR32" s="1847">
        <v>32351</v>
      </c>
      <c r="CS32" s="1848">
        <v>39989</v>
      </c>
      <c r="CT32" s="1848">
        <f t="shared" si="30"/>
        <v>72340</v>
      </c>
      <c r="CU32" s="1841">
        <v>32615</v>
      </c>
      <c r="CV32" s="1841">
        <v>40151</v>
      </c>
      <c r="CW32" s="1841">
        <f t="shared" si="31"/>
        <v>72766</v>
      </c>
      <c r="CX32" s="1849">
        <v>32641</v>
      </c>
      <c r="CY32" s="1850">
        <v>40176</v>
      </c>
      <c r="CZ32" s="1850">
        <f t="shared" si="32"/>
        <v>72817</v>
      </c>
      <c r="DA32" s="1850">
        <v>32488</v>
      </c>
      <c r="DB32" s="1850">
        <v>40230</v>
      </c>
      <c r="DC32" s="1850">
        <f t="shared" si="33"/>
        <v>72718</v>
      </c>
      <c r="DD32" s="1850">
        <v>33339</v>
      </c>
      <c r="DE32" s="1850">
        <v>40934</v>
      </c>
      <c r="DF32" s="1850">
        <f t="shared" si="34"/>
        <v>74273</v>
      </c>
      <c r="DG32" s="1850">
        <v>32837</v>
      </c>
      <c r="DH32" s="1850">
        <v>40522</v>
      </c>
      <c r="DI32" s="1850">
        <f t="shared" si="35"/>
        <v>73359</v>
      </c>
      <c r="DJ32" s="1841">
        <v>33152</v>
      </c>
      <c r="DK32" s="1841">
        <v>40940</v>
      </c>
      <c r="DL32" s="1841">
        <f t="shared" si="36"/>
        <v>74092</v>
      </c>
      <c r="DM32" s="1841">
        <v>33909</v>
      </c>
      <c r="DN32" s="1841">
        <v>40809</v>
      </c>
      <c r="DO32" s="1841">
        <f t="shared" si="37"/>
        <v>74718</v>
      </c>
      <c r="DP32" s="1841">
        <v>34550</v>
      </c>
      <c r="DQ32" s="1841">
        <v>41492</v>
      </c>
      <c r="DR32" s="1841">
        <f t="shared" si="38"/>
        <v>76042</v>
      </c>
      <c r="DS32" s="1849">
        <v>34483</v>
      </c>
      <c r="DT32" s="1850">
        <v>41496</v>
      </c>
      <c r="DU32" s="1850">
        <f t="shared" si="39"/>
        <v>75979</v>
      </c>
      <c r="DV32" s="1846">
        <v>34609</v>
      </c>
      <c r="DW32" s="1846">
        <v>41205</v>
      </c>
      <c r="DX32" s="1846">
        <f t="shared" si="40"/>
        <v>75814</v>
      </c>
      <c r="DY32" s="1841">
        <v>35015</v>
      </c>
      <c r="DZ32" s="1841">
        <v>41724</v>
      </c>
      <c r="EA32" s="1841">
        <f t="shared" si="41"/>
        <v>76739</v>
      </c>
      <c r="EB32" s="1847">
        <v>36306</v>
      </c>
      <c r="EC32" s="1848">
        <v>42839</v>
      </c>
      <c r="ED32" s="1848">
        <f t="shared" si="42"/>
        <v>79145</v>
      </c>
      <c r="EE32" s="1841">
        <v>35802</v>
      </c>
      <c r="EF32" s="1841">
        <v>41905</v>
      </c>
      <c r="EG32" s="1841">
        <f t="shared" si="43"/>
        <v>77707</v>
      </c>
      <c r="EH32" s="1849">
        <v>35086</v>
      </c>
      <c r="EI32" s="1850">
        <v>49496</v>
      </c>
      <c r="EJ32" s="1850">
        <f t="shared" si="44"/>
        <v>84582</v>
      </c>
      <c r="EK32" s="1850">
        <v>35968</v>
      </c>
      <c r="EL32" s="1850">
        <v>41575</v>
      </c>
      <c r="EM32" s="1850">
        <f t="shared" si="45"/>
        <v>77543</v>
      </c>
      <c r="EN32" s="1850">
        <v>35975</v>
      </c>
      <c r="EO32" s="1850">
        <v>41677</v>
      </c>
      <c r="EP32" s="1850">
        <f t="shared" si="46"/>
        <v>77652</v>
      </c>
      <c r="EQ32" s="1850">
        <v>36213</v>
      </c>
      <c r="ER32" s="1850">
        <v>42001</v>
      </c>
      <c r="ES32" s="1850">
        <f t="shared" si="47"/>
        <v>78214</v>
      </c>
      <c r="ET32" s="1841">
        <v>35674</v>
      </c>
      <c r="EU32" s="1841">
        <v>41311</v>
      </c>
      <c r="EV32" s="1841">
        <f t="shared" si="48"/>
        <v>76985</v>
      </c>
      <c r="EW32" s="1841">
        <v>35245</v>
      </c>
      <c r="EX32" s="1841">
        <v>40824</v>
      </c>
      <c r="EY32" s="1841">
        <f t="shared" si="49"/>
        <v>76069</v>
      </c>
      <c r="EZ32" s="1841">
        <v>34697</v>
      </c>
      <c r="FA32" s="1841">
        <v>40803</v>
      </c>
      <c r="FB32" s="1841">
        <f t="shared" si="50"/>
        <v>75500</v>
      </c>
      <c r="FC32" s="1849">
        <v>34540</v>
      </c>
      <c r="FD32" s="1850">
        <v>40274</v>
      </c>
      <c r="FE32" s="1850">
        <f t="shared" si="51"/>
        <v>74814</v>
      </c>
      <c r="FF32" s="1846">
        <v>34401</v>
      </c>
      <c r="FG32" s="1846">
        <v>40505</v>
      </c>
      <c r="FH32" s="1846">
        <f t="shared" si="52"/>
        <v>74906</v>
      </c>
      <c r="FI32" s="1841">
        <v>34119</v>
      </c>
      <c r="FJ32" s="1841">
        <v>40061</v>
      </c>
      <c r="FK32" s="1841">
        <f t="shared" si="53"/>
        <v>74180</v>
      </c>
      <c r="FL32" s="1847">
        <v>34324</v>
      </c>
      <c r="FM32" s="1848">
        <v>40317</v>
      </c>
      <c r="FN32" s="1848">
        <f t="shared" si="54"/>
        <v>74641</v>
      </c>
      <c r="FO32" s="1841">
        <v>33600</v>
      </c>
      <c r="FP32" s="1841">
        <v>39720</v>
      </c>
      <c r="FQ32" s="1841">
        <f t="shared" si="55"/>
        <v>73320</v>
      </c>
      <c r="FR32" s="1851">
        <v>33610</v>
      </c>
      <c r="FS32" s="1850">
        <v>39547</v>
      </c>
      <c r="FT32" s="1850">
        <f t="shared" si="56"/>
        <v>73157</v>
      </c>
      <c r="FU32" s="1850">
        <v>33313</v>
      </c>
      <c r="FV32" s="1850">
        <v>39168</v>
      </c>
      <c r="FW32" s="1850">
        <f t="shared" si="57"/>
        <v>72481</v>
      </c>
      <c r="FX32" s="1850">
        <v>32366</v>
      </c>
      <c r="FY32" s="1850">
        <v>38343</v>
      </c>
      <c r="FZ32" s="1850">
        <f t="shared" si="58"/>
        <v>70709</v>
      </c>
      <c r="GA32" s="1850">
        <v>32644</v>
      </c>
      <c r="GB32" s="1850">
        <v>38521</v>
      </c>
      <c r="GC32" s="1850">
        <f t="shared" si="59"/>
        <v>71165</v>
      </c>
      <c r="GD32" s="1841">
        <v>32371</v>
      </c>
      <c r="GE32" s="1841">
        <v>38095</v>
      </c>
      <c r="GF32" s="1841">
        <f t="shared" si="60"/>
        <v>70466</v>
      </c>
      <c r="GG32" s="1841"/>
      <c r="GH32" s="1841"/>
      <c r="GI32" s="1841">
        <f t="shared" si="61"/>
        <v>0</v>
      </c>
      <c r="GJ32" s="1841"/>
      <c r="GK32" s="1841"/>
      <c r="GL32" s="1841">
        <f t="shared" si="62"/>
        <v>0</v>
      </c>
      <c r="GM32" s="1849"/>
      <c r="GN32" s="1850"/>
      <c r="GO32" s="1850">
        <f t="shared" si="63"/>
        <v>0</v>
      </c>
      <c r="GP32" s="1846"/>
      <c r="GQ32" s="1846"/>
      <c r="GR32" s="1846">
        <f t="shared" si="64"/>
        <v>0</v>
      </c>
      <c r="GS32" s="1841"/>
      <c r="GT32" s="1841"/>
      <c r="GU32" s="1841">
        <f t="shared" si="65"/>
        <v>0</v>
      </c>
      <c r="GV32" s="1847"/>
      <c r="GW32" s="1848"/>
      <c r="GX32" s="1848">
        <f t="shared" si="66"/>
        <v>0</v>
      </c>
      <c r="GY32" s="1841"/>
      <c r="GZ32" s="1841"/>
      <c r="HA32" s="1841">
        <f t="shared" si="67"/>
        <v>0</v>
      </c>
      <c r="HB32" s="1851"/>
      <c r="HC32" s="1850"/>
      <c r="HD32" s="1850">
        <f t="shared" si="68"/>
        <v>0</v>
      </c>
      <c r="HE32" s="1850"/>
      <c r="HF32" s="1850"/>
      <c r="HG32" s="1850">
        <f t="shared" si="69"/>
        <v>0</v>
      </c>
      <c r="HH32" s="1850"/>
      <c r="HI32" s="1850"/>
      <c r="HJ32" s="1850">
        <f t="shared" si="70"/>
        <v>0</v>
      </c>
      <c r="HK32" s="1850"/>
      <c r="HL32" s="1850"/>
      <c r="HM32" s="1850">
        <f t="shared" si="71"/>
        <v>0</v>
      </c>
      <c r="HN32" s="1841"/>
      <c r="HO32" s="1841"/>
      <c r="HP32" s="1841">
        <f t="shared" si="72"/>
        <v>0</v>
      </c>
      <c r="HQ32" s="1841"/>
      <c r="HR32" s="1841"/>
      <c r="HS32" s="1841">
        <f t="shared" si="73"/>
        <v>0</v>
      </c>
      <c r="HT32" s="1841"/>
      <c r="HU32" s="1841"/>
      <c r="HV32" s="1841">
        <f t="shared" si="74"/>
        <v>0</v>
      </c>
      <c r="HW32" s="1862"/>
      <c r="HX32" s="1861"/>
      <c r="HY32" s="1850">
        <f t="shared" si="75"/>
        <v>0</v>
      </c>
      <c r="HZ32" s="1846"/>
      <c r="IA32" s="1846"/>
      <c r="IB32" s="1846">
        <f t="shared" si="76"/>
        <v>0</v>
      </c>
      <c r="IC32" s="1841"/>
      <c r="ID32" s="1841"/>
      <c r="IE32" s="1841">
        <f t="shared" si="77"/>
        <v>0</v>
      </c>
      <c r="IF32" s="1847"/>
      <c r="IG32" s="1848"/>
      <c r="IH32" s="1848">
        <f t="shared" si="78"/>
        <v>0</v>
      </c>
      <c r="II32" s="1814"/>
      <c r="IJ32" s="1814"/>
      <c r="IK32" s="1814">
        <f t="shared" si="79"/>
        <v>0</v>
      </c>
      <c r="IL32" s="1814">
        <f t="shared" si="79"/>
        <v>0</v>
      </c>
    </row>
    <row r="33" spans="1:246">
      <c r="A33" s="1902" t="s">
        <v>1607</v>
      </c>
      <c r="B33" s="1897">
        <f t="shared" ref="B33:AG33" si="80">SUM(B5:B32)</f>
        <v>786177</v>
      </c>
      <c r="C33" s="1897">
        <f t="shared" si="80"/>
        <v>419106</v>
      </c>
      <c r="D33" s="1898">
        <f t="shared" si="80"/>
        <v>1205283</v>
      </c>
      <c r="E33" s="1898">
        <f t="shared" si="80"/>
        <v>955298</v>
      </c>
      <c r="F33" s="1898">
        <f t="shared" si="80"/>
        <v>576022</v>
      </c>
      <c r="G33" s="1898">
        <f t="shared" si="80"/>
        <v>1531320</v>
      </c>
      <c r="H33" s="1898">
        <f t="shared" si="80"/>
        <v>909364</v>
      </c>
      <c r="I33" s="1898">
        <f t="shared" si="80"/>
        <v>530307</v>
      </c>
      <c r="J33" s="1898">
        <f t="shared" si="80"/>
        <v>1439671</v>
      </c>
      <c r="K33" s="1898">
        <f t="shared" si="80"/>
        <v>948286</v>
      </c>
      <c r="L33" s="1898">
        <f t="shared" si="80"/>
        <v>563921</v>
      </c>
      <c r="M33" s="1898">
        <f t="shared" si="80"/>
        <v>1512207</v>
      </c>
      <c r="N33" s="1898">
        <f t="shared" si="80"/>
        <v>936466</v>
      </c>
      <c r="O33" s="1898">
        <f t="shared" si="80"/>
        <v>569690</v>
      </c>
      <c r="P33" s="1898">
        <f t="shared" si="80"/>
        <v>1506156</v>
      </c>
      <c r="Q33" s="1898">
        <f t="shared" si="80"/>
        <v>920816</v>
      </c>
      <c r="R33" s="1898">
        <f t="shared" si="80"/>
        <v>589969</v>
      </c>
      <c r="S33" s="1898">
        <f t="shared" si="80"/>
        <v>1510785</v>
      </c>
      <c r="T33" s="1898">
        <f t="shared" si="80"/>
        <v>955680</v>
      </c>
      <c r="U33" s="1898">
        <f t="shared" si="80"/>
        <v>602490</v>
      </c>
      <c r="V33" s="1898">
        <f t="shared" si="80"/>
        <v>1558170</v>
      </c>
      <c r="W33" s="1898">
        <f t="shared" si="80"/>
        <v>969352</v>
      </c>
      <c r="X33" s="1898">
        <f t="shared" si="80"/>
        <v>613989</v>
      </c>
      <c r="Y33" s="1898">
        <f t="shared" si="80"/>
        <v>1583341</v>
      </c>
      <c r="Z33" s="1898">
        <f t="shared" si="80"/>
        <v>969126</v>
      </c>
      <c r="AA33" s="1898">
        <f t="shared" si="80"/>
        <v>646841</v>
      </c>
      <c r="AB33" s="1898">
        <f t="shared" si="80"/>
        <v>1615967</v>
      </c>
      <c r="AC33" s="1898">
        <f t="shared" si="80"/>
        <v>1014517</v>
      </c>
      <c r="AD33" s="1898">
        <f t="shared" si="80"/>
        <v>678865</v>
      </c>
      <c r="AE33" s="1898">
        <f t="shared" si="80"/>
        <v>1693382</v>
      </c>
      <c r="AF33" s="1898">
        <f t="shared" si="80"/>
        <v>978980</v>
      </c>
      <c r="AG33" s="1898">
        <f t="shared" si="80"/>
        <v>679161</v>
      </c>
      <c r="AH33" s="1898">
        <f t="shared" ref="AH33:BM33" si="81">SUM(AH5:AH32)</f>
        <v>1658141</v>
      </c>
      <c r="AI33" s="1898">
        <f t="shared" si="81"/>
        <v>993417</v>
      </c>
      <c r="AJ33" s="1898">
        <f t="shared" si="81"/>
        <v>673239</v>
      </c>
      <c r="AK33" s="1898">
        <f t="shared" si="81"/>
        <v>1666656</v>
      </c>
      <c r="AL33" s="1898">
        <f t="shared" si="81"/>
        <v>1014211</v>
      </c>
      <c r="AM33" s="1898">
        <f t="shared" si="81"/>
        <v>691614</v>
      </c>
      <c r="AN33" s="1898">
        <f t="shared" si="81"/>
        <v>1705825</v>
      </c>
      <c r="AO33" s="1898">
        <f t="shared" si="81"/>
        <v>1017556</v>
      </c>
      <c r="AP33" s="1898">
        <f t="shared" si="81"/>
        <v>703171</v>
      </c>
      <c r="AQ33" s="1898">
        <f t="shared" si="81"/>
        <v>1720727</v>
      </c>
      <c r="AR33" s="1898">
        <f t="shared" si="81"/>
        <v>1001549</v>
      </c>
      <c r="AS33" s="1898">
        <f t="shared" si="81"/>
        <v>706208</v>
      </c>
      <c r="AT33" s="1898">
        <f t="shared" si="81"/>
        <v>1707757</v>
      </c>
      <c r="AU33" s="1898">
        <f t="shared" si="81"/>
        <v>992746</v>
      </c>
      <c r="AV33" s="1898">
        <f t="shared" si="81"/>
        <v>718099</v>
      </c>
      <c r="AW33" s="1898">
        <f t="shared" si="81"/>
        <v>1710845</v>
      </c>
      <c r="AX33" s="1898">
        <f t="shared" si="81"/>
        <v>1011730</v>
      </c>
      <c r="AY33" s="1898">
        <f t="shared" si="81"/>
        <v>751724</v>
      </c>
      <c r="AZ33" s="1898">
        <f t="shared" si="81"/>
        <v>1763454</v>
      </c>
      <c r="BA33" s="1898">
        <f t="shared" si="81"/>
        <v>1015230</v>
      </c>
      <c r="BB33" s="1898">
        <f t="shared" si="81"/>
        <v>765020</v>
      </c>
      <c r="BC33" s="1898">
        <f t="shared" si="81"/>
        <v>1780250</v>
      </c>
      <c r="BD33" s="1898">
        <f t="shared" si="81"/>
        <v>1017050</v>
      </c>
      <c r="BE33" s="1898">
        <f t="shared" si="81"/>
        <v>779543</v>
      </c>
      <c r="BF33" s="1898">
        <f t="shared" si="81"/>
        <v>1796593</v>
      </c>
      <c r="BG33" s="1898">
        <f t="shared" si="81"/>
        <v>1022611</v>
      </c>
      <c r="BH33" s="1898">
        <f t="shared" si="81"/>
        <v>800333</v>
      </c>
      <c r="BI33" s="1898">
        <f t="shared" si="81"/>
        <v>1822944</v>
      </c>
      <c r="BJ33" s="1898">
        <f t="shared" si="81"/>
        <v>1007151</v>
      </c>
      <c r="BK33" s="1898">
        <f t="shared" si="81"/>
        <v>804976</v>
      </c>
      <c r="BL33" s="1898">
        <f t="shared" si="81"/>
        <v>1812127</v>
      </c>
      <c r="BM33" s="1898">
        <f t="shared" si="81"/>
        <v>1030308</v>
      </c>
      <c r="BN33" s="1898">
        <f t="shared" ref="BN33:CS33" si="82">SUM(BN5:BN32)</f>
        <v>840098</v>
      </c>
      <c r="BO33" s="1898">
        <f t="shared" si="82"/>
        <v>1870406</v>
      </c>
      <c r="BP33" s="1898">
        <f t="shared" si="82"/>
        <v>1022632</v>
      </c>
      <c r="BQ33" s="1898">
        <f t="shared" si="82"/>
        <v>853746</v>
      </c>
      <c r="BR33" s="1898">
        <f t="shared" si="82"/>
        <v>1876378</v>
      </c>
      <c r="BS33" s="1898">
        <f t="shared" si="82"/>
        <v>1075857</v>
      </c>
      <c r="BT33" s="1898">
        <f t="shared" si="82"/>
        <v>898084</v>
      </c>
      <c r="BU33" s="1898">
        <f t="shared" si="82"/>
        <v>1973941</v>
      </c>
      <c r="BV33" s="1898">
        <f t="shared" si="82"/>
        <v>1086793</v>
      </c>
      <c r="BW33" s="1898">
        <f t="shared" si="82"/>
        <v>917446</v>
      </c>
      <c r="BX33" s="1898">
        <f t="shared" si="82"/>
        <v>2004239</v>
      </c>
      <c r="BY33" s="1898">
        <f t="shared" si="82"/>
        <v>1079322</v>
      </c>
      <c r="BZ33" s="1898">
        <f t="shared" si="82"/>
        <v>900773</v>
      </c>
      <c r="CA33" s="1898">
        <f t="shared" si="82"/>
        <v>1081904</v>
      </c>
      <c r="CB33" s="1898">
        <f t="shared" si="82"/>
        <v>933330</v>
      </c>
      <c r="CC33" s="1898">
        <f t="shared" si="82"/>
        <v>2015234</v>
      </c>
      <c r="CD33" s="1898">
        <f t="shared" si="82"/>
        <v>1086559</v>
      </c>
      <c r="CE33" s="1898">
        <f t="shared" si="82"/>
        <v>950528</v>
      </c>
      <c r="CF33" s="1898">
        <f t="shared" si="82"/>
        <v>2037087</v>
      </c>
      <c r="CG33" s="1898">
        <f t="shared" si="82"/>
        <v>1084705</v>
      </c>
      <c r="CH33" s="1898">
        <f t="shared" si="82"/>
        <v>965195</v>
      </c>
      <c r="CI33" s="1898">
        <f t="shared" si="82"/>
        <v>2049900</v>
      </c>
      <c r="CJ33" s="1898">
        <f t="shared" si="82"/>
        <v>1079602</v>
      </c>
      <c r="CK33" s="1898">
        <f t="shared" si="82"/>
        <v>962409</v>
      </c>
      <c r="CL33" s="1898">
        <f t="shared" si="82"/>
        <v>1091399</v>
      </c>
      <c r="CM33" s="1898">
        <f t="shared" si="82"/>
        <v>989212</v>
      </c>
      <c r="CN33" s="1898">
        <f t="shared" si="82"/>
        <v>2080611</v>
      </c>
      <c r="CO33" s="1898">
        <f t="shared" si="82"/>
        <v>1169719</v>
      </c>
      <c r="CP33" s="1898">
        <f t="shared" si="82"/>
        <v>1034961</v>
      </c>
      <c r="CQ33" s="1898">
        <f t="shared" si="82"/>
        <v>2204680</v>
      </c>
      <c r="CR33" s="1898">
        <f t="shared" si="82"/>
        <v>1140333</v>
      </c>
      <c r="CS33" s="1898">
        <f t="shared" si="82"/>
        <v>1038712</v>
      </c>
      <c r="CT33" s="1898">
        <f t="shared" ref="CT33:DY33" si="83">SUM(CT5:CT32)</f>
        <v>2179045</v>
      </c>
      <c r="CU33" s="1898">
        <f t="shared" si="83"/>
        <v>1152318</v>
      </c>
      <c r="CV33" s="1898">
        <f t="shared" si="83"/>
        <v>1055026</v>
      </c>
      <c r="CW33" s="1898">
        <f t="shared" si="83"/>
        <v>2207344</v>
      </c>
      <c r="CX33" s="1898">
        <f t="shared" si="83"/>
        <v>1139624</v>
      </c>
      <c r="CY33" s="1898">
        <f t="shared" si="83"/>
        <v>1058523</v>
      </c>
      <c r="CZ33" s="1898">
        <f t="shared" si="83"/>
        <v>2198147</v>
      </c>
      <c r="DA33" s="1898">
        <f t="shared" si="83"/>
        <v>1125195</v>
      </c>
      <c r="DB33" s="1898">
        <f t="shared" si="83"/>
        <v>1061831</v>
      </c>
      <c r="DC33" s="1898">
        <f t="shared" si="83"/>
        <v>2187026</v>
      </c>
      <c r="DD33" s="1898">
        <f t="shared" si="83"/>
        <v>1163017</v>
      </c>
      <c r="DE33" s="1898">
        <f t="shared" si="83"/>
        <v>1085998</v>
      </c>
      <c r="DF33" s="1898">
        <f t="shared" si="83"/>
        <v>2249015</v>
      </c>
      <c r="DG33" s="1898">
        <f t="shared" si="83"/>
        <v>1152778</v>
      </c>
      <c r="DH33" s="1898">
        <f t="shared" si="83"/>
        <v>1098796</v>
      </c>
      <c r="DI33" s="1898">
        <f t="shared" si="83"/>
        <v>2251574</v>
      </c>
      <c r="DJ33" s="1898">
        <f t="shared" si="83"/>
        <v>1159843</v>
      </c>
      <c r="DK33" s="1898">
        <f t="shared" si="83"/>
        <v>1116937</v>
      </c>
      <c r="DL33" s="1898">
        <f t="shared" si="83"/>
        <v>2276780</v>
      </c>
      <c r="DM33" s="1898">
        <f t="shared" si="83"/>
        <v>1162431</v>
      </c>
      <c r="DN33" s="1898">
        <f t="shared" si="83"/>
        <v>1125219</v>
      </c>
      <c r="DO33" s="1898">
        <f t="shared" si="83"/>
        <v>2287650</v>
      </c>
      <c r="DP33" s="1898">
        <f t="shared" si="83"/>
        <v>1175497</v>
      </c>
      <c r="DQ33" s="1898">
        <f t="shared" si="83"/>
        <v>1149921</v>
      </c>
      <c r="DR33" s="1898">
        <f t="shared" si="83"/>
        <v>2325418</v>
      </c>
      <c r="DS33" s="1898">
        <f t="shared" si="83"/>
        <v>1183463</v>
      </c>
      <c r="DT33" s="1898">
        <f t="shared" si="83"/>
        <v>1163938</v>
      </c>
      <c r="DU33" s="1898">
        <f t="shared" si="83"/>
        <v>2347401</v>
      </c>
      <c r="DV33" s="1898">
        <f t="shared" si="83"/>
        <v>1176052</v>
      </c>
      <c r="DW33" s="1898">
        <f t="shared" si="83"/>
        <v>1160056</v>
      </c>
      <c r="DX33" s="1898">
        <f t="shared" si="83"/>
        <v>2336108</v>
      </c>
      <c r="DY33" s="1898">
        <f t="shared" si="83"/>
        <v>1181437</v>
      </c>
      <c r="DZ33" s="1898">
        <f t="shared" ref="DZ33:FE33" si="84">SUM(DZ5:DZ32)</f>
        <v>1231420</v>
      </c>
      <c r="EA33" s="1898">
        <f t="shared" si="84"/>
        <v>2412857</v>
      </c>
      <c r="EB33" s="1898">
        <f t="shared" si="84"/>
        <v>1220437</v>
      </c>
      <c r="EC33" s="1898">
        <f t="shared" si="84"/>
        <v>1211874</v>
      </c>
      <c r="ED33" s="1898">
        <f t="shared" si="84"/>
        <v>2432311</v>
      </c>
      <c r="EE33" s="1898">
        <f t="shared" si="84"/>
        <v>1205441</v>
      </c>
      <c r="EF33" s="1898">
        <f t="shared" si="84"/>
        <v>1215557</v>
      </c>
      <c r="EG33" s="1898">
        <f t="shared" si="84"/>
        <v>2420998</v>
      </c>
      <c r="EH33" s="1898">
        <f t="shared" si="84"/>
        <v>1177103</v>
      </c>
      <c r="EI33" s="1898">
        <f t="shared" si="84"/>
        <v>1204911</v>
      </c>
      <c r="EJ33" s="1898">
        <f t="shared" si="84"/>
        <v>2382014</v>
      </c>
      <c r="EK33" s="1898">
        <f t="shared" si="84"/>
        <v>1211490</v>
      </c>
      <c r="EL33" s="1898">
        <f t="shared" si="84"/>
        <v>1232836</v>
      </c>
      <c r="EM33" s="1898">
        <f t="shared" si="84"/>
        <v>2444326</v>
      </c>
      <c r="EN33" s="1898">
        <f t="shared" si="84"/>
        <v>1217991</v>
      </c>
      <c r="EO33" s="1898">
        <f t="shared" si="84"/>
        <v>1241664</v>
      </c>
      <c r="EP33" s="1898">
        <f t="shared" si="84"/>
        <v>2459655</v>
      </c>
      <c r="EQ33" s="1898">
        <f t="shared" si="84"/>
        <v>1224669</v>
      </c>
      <c r="ER33" s="1898">
        <f t="shared" si="84"/>
        <v>1255620</v>
      </c>
      <c r="ES33" s="1898">
        <f t="shared" si="84"/>
        <v>2480289</v>
      </c>
      <c r="ET33" s="1898">
        <f t="shared" si="84"/>
        <v>1218713</v>
      </c>
      <c r="EU33" s="1898">
        <f t="shared" si="84"/>
        <v>1268183</v>
      </c>
      <c r="EV33" s="1898">
        <f t="shared" si="84"/>
        <v>2486896</v>
      </c>
      <c r="EW33" s="1898">
        <f t="shared" si="84"/>
        <v>1226201</v>
      </c>
      <c r="EX33" s="1898">
        <f t="shared" si="84"/>
        <v>1260298</v>
      </c>
      <c r="EY33" s="1898">
        <f t="shared" si="84"/>
        <v>2486499</v>
      </c>
      <c r="EZ33" s="1898">
        <f t="shared" si="84"/>
        <v>1218882</v>
      </c>
      <c r="FA33" s="1898">
        <f t="shared" si="84"/>
        <v>1269929</v>
      </c>
      <c r="FB33" s="1898">
        <f t="shared" si="84"/>
        <v>2488811</v>
      </c>
      <c r="FC33" s="1898">
        <f t="shared" si="84"/>
        <v>1224959</v>
      </c>
      <c r="FD33" s="1898">
        <f t="shared" si="84"/>
        <v>1266038</v>
      </c>
      <c r="FE33" s="1898">
        <f t="shared" si="84"/>
        <v>2490997</v>
      </c>
      <c r="FF33" s="1898">
        <f t="shared" ref="FF33:GC33" si="85">SUM(FF5:FF32)</f>
        <v>1223372</v>
      </c>
      <c r="FG33" s="1898">
        <f t="shared" si="85"/>
        <v>1271097</v>
      </c>
      <c r="FH33" s="1898">
        <f t="shared" si="85"/>
        <v>2494469</v>
      </c>
      <c r="FI33" s="1898">
        <f t="shared" si="85"/>
        <v>1231300</v>
      </c>
      <c r="FJ33" s="1898">
        <f t="shared" si="85"/>
        <v>1284740</v>
      </c>
      <c r="FK33" s="1898">
        <f t="shared" si="85"/>
        <v>2516040</v>
      </c>
      <c r="FL33" s="1898">
        <f t="shared" si="85"/>
        <v>1245484</v>
      </c>
      <c r="FM33" s="1898">
        <f t="shared" si="85"/>
        <v>1302922</v>
      </c>
      <c r="FN33" s="1898">
        <f t="shared" si="85"/>
        <v>2548406</v>
      </c>
      <c r="FO33" s="1898">
        <f t="shared" si="85"/>
        <v>1241072</v>
      </c>
      <c r="FP33" s="1898">
        <f t="shared" si="85"/>
        <v>1302081</v>
      </c>
      <c r="FQ33" s="1898">
        <f t="shared" si="85"/>
        <v>2543153</v>
      </c>
      <c r="FR33" s="1898">
        <f t="shared" si="85"/>
        <v>1247594</v>
      </c>
      <c r="FS33" s="1898">
        <f t="shared" si="85"/>
        <v>1316035</v>
      </c>
      <c r="FT33" s="1898">
        <f t="shared" si="85"/>
        <v>2563629</v>
      </c>
      <c r="FU33" s="1898">
        <f t="shared" si="85"/>
        <v>1254835</v>
      </c>
      <c r="FV33" s="1898">
        <f t="shared" si="85"/>
        <v>1328834</v>
      </c>
      <c r="FW33" s="1898">
        <f t="shared" si="85"/>
        <v>2583669</v>
      </c>
      <c r="FX33" s="1898">
        <f t="shared" si="85"/>
        <v>1239778</v>
      </c>
      <c r="FY33" s="1898">
        <f t="shared" si="85"/>
        <v>1327099</v>
      </c>
      <c r="FZ33" s="1898">
        <f t="shared" si="85"/>
        <v>2566877</v>
      </c>
      <c r="GA33" s="1898">
        <f t="shared" si="85"/>
        <v>1268293</v>
      </c>
      <c r="GB33" s="1898">
        <f t="shared" si="85"/>
        <v>1347701</v>
      </c>
      <c r="GC33" s="1898">
        <f t="shared" si="85"/>
        <v>2615994</v>
      </c>
      <c r="GD33" s="1898">
        <f t="shared" ref="GD33:IK33" si="86">SUM(GD5:GD32)</f>
        <v>1271489</v>
      </c>
      <c r="GE33" s="1898">
        <f t="shared" si="86"/>
        <v>1355257</v>
      </c>
      <c r="GF33" s="1898">
        <f t="shared" si="86"/>
        <v>2626746</v>
      </c>
      <c r="GG33" s="1898">
        <f t="shared" si="86"/>
        <v>1252244</v>
      </c>
      <c r="GH33" s="1898">
        <f t="shared" si="86"/>
        <v>1341255</v>
      </c>
      <c r="GI33" s="1898">
        <f t="shared" si="86"/>
        <v>2593499</v>
      </c>
      <c r="GJ33" s="1898">
        <f t="shared" si="86"/>
        <v>1262782</v>
      </c>
      <c r="GK33" s="1898">
        <f t="shared" si="86"/>
        <v>1349205</v>
      </c>
      <c r="GL33" s="1898">
        <f t="shared" si="86"/>
        <v>2611987</v>
      </c>
      <c r="GM33" s="1898">
        <f t="shared" si="86"/>
        <v>1270865</v>
      </c>
      <c r="GN33" s="1898">
        <f t="shared" si="86"/>
        <v>1362366</v>
      </c>
      <c r="GO33" s="1898">
        <f t="shared" si="86"/>
        <v>2633231</v>
      </c>
      <c r="GP33" s="1898">
        <f t="shared" si="86"/>
        <v>1275175</v>
      </c>
      <c r="GQ33" s="1898">
        <f t="shared" si="86"/>
        <v>1375547</v>
      </c>
      <c r="GR33" s="1898">
        <f t="shared" si="86"/>
        <v>2650722</v>
      </c>
      <c r="GS33" s="1898">
        <f t="shared" si="86"/>
        <v>1285398</v>
      </c>
      <c r="GT33" s="1898">
        <f t="shared" si="86"/>
        <v>1374230</v>
      </c>
      <c r="GU33" s="1898">
        <f t="shared" si="86"/>
        <v>2659628</v>
      </c>
      <c r="GV33" s="1898">
        <f t="shared" si="86"/>
        <v>1294708</v>
      </c>
      <c r="GW33" s="1898">
        <f t="shared" si="86"/>
        <v>1388481</v>
      </c>
      <c r="GX33" s="1898">
        <f t="shared" si="86"/>
        <v>2683189</v>
      </c>
      <c r="GY33" s="1898">
        <f t="shared" si="86"/>
        <v>1304722</v>
      </c>
      <c r="GZ33" s="1898">
        <f t="shared" si="86"/>
        <v>1404642</v>
      </c>
      <c r="HA33" s="1898">
        <f t="shared" si="86"/>
        <v>2709364</v>
      </c>
      <c r="HB33" s="1898">
        <f t="shared" si="86"/>
        <v>1314375</v>
      </c>
      <c r="HC33" s="1898">
        <f t="shared" si="86"/>
        <v>1430604</v>
      </c>
      <c r="HD33" s="1898">
        <f t="shared" si="86"/>
        <v>2744979</v>
      </c>
      <c r="HE33" s="1898">
        <f t="shared" si="86"/>
        <v>1322957</v>
      </c>
      <c r="HF33" s="1898">
        <f t="shared" si="86"/>
        <v>1427923</v>
      </c>
      <c r="HG33" s="1898">
        <f t="shared" si="86"/>
        <v>2750880</v>
      </c>
      <c r="HH33" s="1898">
        <f t="shared" si="86"/>
        <v>1321168</v>
      </c>
      <c r="HI33" s="1898">
        <f t="shared" si="86"/>
        <v>1448786</v>
      </c>
      <c r="HJ33" s="1898">
        <f t="shared" si="86"/>
        <v>2769954</v>
      </c>
      <c r="HK33" s="1898">
        <f t="shared" si="86"/>
        <v>1335783</v>
      </c>
      <c r="HL33" s="1898">
        <f t="shared" si="86"/>
        <v>1453649</v>
      </c>
      <c r="HM33" s="1898">
        <f t="shared" si="86"/>
        <v>2789432</v>
      </c>
      <c r="HN33" s="1898">
        <f t="shared" si="86"/>
        <v>1332551</v>
      </c>
      <c r="HO33" s="1898">
        <f t="shared" si="86"/>
        <v>1452377</v>
      </c>
      <c r="HP33" s="1898">
        <f t="shared" si="86"/>
        <v>2784928</v>
      </c>
      <c r="HQ33" s="1898">
        <f t="shared" si="86"/>
        <v>1331542</v>
      </c>
      <c r="HR33" s="1898">
        <f t="shared" si="86"/>
        <v>1458095</v>
      </c>
      <c r="HS33" s="1898">
        <f t="shared" si="86"/>
        <v>2789637</v>
      </c>
      <c r="HT33" s="1898">
        <f t="shared" si="86"/>
        <v>1355575</v>
      </c>
      <c r="HU33" s="1898">
        <f t="shared" si="86"/>
        <v>1491285</v>
      </c>
      <c r="HV33" s="1898">
        <f t="shared" si="86"/>
        <v>2846860</v>
      </c>
      <c r="HW33" s="1898">
        <f t="shared" si="86"/>
        <v>1353110</v>
      </c>
      <c r="HX33" s="1898">
        <f t="shared" si="86"/>
        <v>1478209</v>
      </c>
      <c r="HY33" s="1898">
        <f t="shared" si="86"/>
        <v>2831319</v>
      </c>
      <c r="HZ33" s="1898">
        <f t="shared" si="86"/>
        <v>1346787</v>
      </c>
      <c r="IA33" s="1898">
        <f t="shared" si="86"/>
        <v>1492651</v>
      </c>
      <c r="IB33" s="1898">
        <f t="shared" si="86"/>
        <v>2839438</v>
      </c>
      <c r="IC33" s="1898">
        <f t="shared" si="86"/>
        <v>1359650</v>
      </c>
      <c r="ID33" s="1898">
        <f t="shared" si="86"/>
        <v>1528301</v>
      </c>
      <c r="IE33" s="1898">
        <f t="shared" si="86"/>
        <v>2887951</v>
      </c>
      <c r="IF33" s="1898">
        <f t="shared" si="86"/>
        <v>1372937</v>
      </c>
      <c r="IG33" s="1898">
        <f t="shared" si="86"/>
        <v>1505359</v>
      </c>
      <c r="IH33" s="1898">
        <f t="shared" si="86"/>
        <v>2878296</v>
      </c>
      <c r="II33" s="1898">
        <f t="shared" si="86"/>
        <v>1401048</v>
      </c>
      <c r="IJ33" s="1898">
        <f t="shared" si="86"/>
        <v>1542106</v>
      </c>
      <c r="IK33" s="1898">
        <f t="shared" si="86"/>
        <v>2943154</v>
      </c>
      <c r="IL33" s="1898">
        <f>SUM(IL5:IL32)</f>
        <v>4354535</v>
      </c>
    </row>
    <row r="34" spans="1:246" ht="15" customHeight="1"/>
    <row r="39" spans="1:246" ht="21.75" customHeight="1"/>
  </sheetData>
  <mergeCells count="84">
    <mergeCell ref="AF3:AH3"/>
    <mergeCell ref="AI3:AK3"/>
    <mergeCell ref="AL3:AN3"/>
    <mergeCell ref="AO3:AP3"/>
    <mergeCell ref="N3:P3"/>
    <mergeCell ref="Q3:S3"/>
    <mergeCell ref="T3:V3"/>
    <mergeCell ref="W3:Y3"/>
    <mergeCell ref="Z3:AB3"/>
    <mergeCell ref="AC3:AE3"/>
    <mergeCell ref="A2:D2"/>
    <mergeCell ref="B3:D3"/>
    <mergeCell ref="E3:G3"/>
    <mergeCell ref="H3:J3"/>
    <mergeCell ref="K3:M3"/>
    <mergeCell ref="AR3:AS3"/>
    <mergeCell ref="AU3:AV3"/>
    <mergeCell ref="CG3:CI3"/>
    <mergeCell ref="BA3:BB3"/>
    <mergeCell ref="BD3:BF3"/>
    <mergeCell ref="BG3:BI3"/>
    <mergeCell ref="BJ3:BL3"/>
    <mergeCell ref="BM3:BO3"/>
    <mergeCell ref="BP3:BR3"/>
    <mergeCell ref="BS3:BU3"/>
    <mergeCell ref="AX3:AY3"/>
    <mergeCell ref="BV3:BX3"/>
    <mergeCell ref="BY3:BZ3"/>
    <mergeCell ref="CA3:CC3"/>
    <mergeCell ref="CD3:CF3"/>
    <mergeCell ref="CJ3:CK3"/>
    <mergeCell ref="CL3:CN3"/>
    <mergeCell ref="CO3:CQ3"/>
    <mergeCell ref="CR3:CT3"/>
    <mergeCell ref="CU3:CW3"/>
    <mergeCell ref="EH3:EJ3"/>
    <mergeCell ref="EK3:EM3"/>
    <mergeCell ref="EN3:EP3"/>
    <mergeCell ref="EQ3:ES3"/>
    <mergeCell ref="CX3:CY3"/>
    <mergeCell ref="DA3:DC3"/>
    <mergeCell ref="DD3:DF3"/>
    <mergeCell ref="DG3:DI3"/>
    <mergeCell ref="DJ3:DL3"/>
    <mergeCell ref="DM3:DO3"/>
    <mergeCell ref="DS3:DU3"/>
    <mergeCell ref="DV3:DX3"/>
    <mergeCell ref="DY3:DZ3"/>
    <mergeCell ref="EB3:ED3"/>
    <mergeCell ref="EE3:EG3"/>
    <mergeCell ref="DP3:DR3"/>
    <mergeCell ref="GY3:HA3"/>
    <mergeCell ref="ET3:EV3"/>
    <mergeCell ref="EW3:EY3"/>
    <mergeCell ref="GJ3:GL3"/>
    <mergeCell ref="FC3:FE3"/>
    <mergeCell ref="FF3:FG3"/>
    <mergeCell ref="FI3:FK3"/>
    <mergeCell ref="FL3:FN3"/>
    <mergeCell ref="FO3:FQ3"/>
    <mergeCell ref="FR3:FT3"/>
    <mergeCell ref="FU3:FW3"/>
    <mergeCell ref="EZ3:FB3"/>
    <mergeCell ref="A1:IL1"/>
    <mergeCell ref="HB3:HD3"/>
    <mergeCell ref="HE3:HG3"/>
    <mergeCell ref="HH3:HJ3"/>
    <mergeCell ref="HK3:HM3"/>
    <mergeCell ref="HN3:HP3"/>
    <mergeCell ref="HQ3:HS3"/>
    <mergeCell ref="FX3:FZ3"/>
    <mergeCell ref="GA3:GC3"/>
    <mergeCell ref="GD3:GF3"/>
    <mergeCell ref="GG3:GI3"/>
    <mergeCell ref="HT3:HU3"/>
    <mergeCell ref="GM3:GO3"/>
    <mergeCell ref="GP3:GR3"/>
    <mergeCell ref="GS3:GU3"/>
    <mergeCell ref="GV3:GX3"/>
    <mergeCell ref="HW3:HY3"/>
    <mergeCell ref="HZ3:IB3"/>
    <mergeCell ref="IC3:IE3"/>
    <mergeCell ref="IF3:IH3"/>
    <mergeCell ref="II3:IK3"/>
  </mergeCells>
  <pageMargins left="0.7" right="0.7" top="0.75" bottom="0.75" header="0.3" footer="0.3"/>
  <pageSetup scale="3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FF0000"/>
    <pageSetUpPr fitToPage="1"/>
  </sheetPr>
  <dimension ref="A1:Q78"/>
  <sheetViews>
    <sheetView showGridLines="0" view="pageBreakPreview" zoomScale="85" zoomScaleNormal="85" zoomScaleSheetLayoutView="85" workbookViewId="0">
      <selection activeCell="F5" sqref="F5"/>
    </sheetView>
  </sheetViews>
  <sheetFormatPr baseColWidth="10" defaultColWidth="11.42578125" defaultRowHeight="15"/>
  <cols>
    <col min="1" max="1" width="33.28515625" style="125" customWidth="1"/>
    <col min="2" max="2" width="25.42578125" style="125" customWidth="1"/>
    <col min="3" max="3" width="18.85546875" style="125" customWidth="1"/>
    <col min="4" max="5" width="12" style="125" customWidth="1"/>
    <col min="6" max="6" width="14" style="125" customWidth="1"/>
    <col min="7" max="7" width="8" style="125" customWidth="1"/>
    <col min="8" max="8" width="12.28515625" style="125" customWidth="1"/>
    <col min="9" max="9" width="10.85546875" style="125" customWidth="1"/>
    <col min="10" max="10" width="10.7109375" style="125" customWidth="1"/>
    <col min="11" max="11" width="12.7109375" style="125" customWidth="1"/>
    <col min="12" max="12" width="11.42578125" style="125"/>
    <col min="13" max="13" width="17.28515625" style="125" bestFit="1" customWidth="1"/>
    <col min="14" max="16384" width="11.42578125" style="125"/>
  </cols>
  <sheetData>
    <row r="1" spans="1:16" ht="81.75" customHeight="1">
      <c r="A1" s="2358" t="s">
        <v>1944</v>
      </c>
      <c r="B1" s="2358"/>
      <c r="C1" s="2358"/>
      <c r="D1" s="2358"/>
      <c r="E1" s="2358"/>
      <c r="F1" s="2358"/>
      <c r="G1" s="2358"/>
      <c r="H1" s="2358"/>
      <c r="I1" s="2358"/>
      <c r="J1" s="2358"/>
      <c r="K1" s="2358"/>
      <c r="L1"/>
      <c r="M1"/>
      <c r="N1"/>
      <c r="O1"/>
      <c r="P1"/>
    </row>
    <row r="2" spans="1:16" ht="3.75" customHeight="1">
      <c r="L2" s="128"/>
      <c r="M2" s="128"/>
      <c r="N2" s="128"/>
      <c r="O2" s="128"/>
      <c r="P2" s="128"/>
    </row>
    <row r="3" spans="1:16" ht="18.75">
      <c r="A3" s="2355" t="s">
        <v>398</v>
      </c>
      <c r="B3" s="2356"/>
      <c r="C3" s="2357"/>
      <c r="F3"/>
      <c r="G3"/>
      <c r="H3"/>
      <c r="I3"/>
      <c r="J3" s="242"/>
      <c r="K3" s="242"/>
    </row>
    <row r="4" spans="1:16" ht="18.75">
      <c r="A4" s="978" t="s">
        <v>253</v>
      </c>
      <c r="B4" s="978" t="s">
        <v>400</v>
      </c>
      <c r="C4" s="978" t="s">
        <v>48</v>
      </c>
      <c r="F4"/>
      <c r="G4"/>
      <c r="H4"/>
      <c r="I4"/>
      <c r="J4" s="242"/>
      <c r="K4" s="242"/>
    </row>
    <row r="5" spans="1:16" ht="18.75">
      <c r="A5" s="979" t="s">
        <v>49</v>
      </c>
      <c r="B5" s="1760">
        <v>5835947674.0699997</v>
      </c>
      <c r="C5" s="2039">
        <f>+B5/$B$14</f>
        <v>0.87450084078901225</v>
      </c>
      <c r="F5"/>
      <c r="G5"/>
      <c r="H5"/>
      <c r="I5"/>
      <c r="J5" s="242"/>
      <c r="K5" s="242"/>
    </row>
    <row r="6" spans="1:16" ht="17.25" hidden="1" customHeight="1">
      <c r="A6" s="980" t="s">
        <v>401</v>
      </c>
      <c r="B6" s="1760"/>
      <c r="C6" s="2039"/>
      <c r="F6" s="128"/>
      <c r="G6" s="128"/>
      <c r="H6" s="128"/>
      <c r="I6" s="128"/>
      <c r="J6" s="242"/>
      <c r="K6" s="242"/>
    </row>
    <row r="7" spans="1:16" ht="18.75" hidden="1">
      <c r="A7" s="980" t="s">
        <v>402</v>
      </c>
      <c r="B7" s="1760"/>
      <c r="C7" s="2039"/>
      <c r="F7" s="128"/>
      <c r="G7" s="128"/>
      <c r="H7" s="128"/>
      <c r="I7" s="128"/>
      <c r="J7" s="242"/>
      <c r="K7" s="242"/>
    </row>
    <row r="8" spans="1:16" ht="18.75" hidden="1">
      <c r="A8" s="980" t="s">
        <v>965</v>
      </c>
      <c r="B8" s="1760"/>
      <c r="C8" s="2039"/>
      <c r="F8" s="128"/>
      <c r="G8" s="128"/>
      <c r="H8" s="128"/>
      <c r="I8" s="128"/>
      <c r="J8" s="242"/>
      <c r="K8" s="242"/>
    </row>
    <row r="9" spans="1:16" ht="18.75" hidden="1">
      <c r="A9" s="980" t="s">
        <v>403</v>
      </c>
      <c r="B9" s="1760"/>
      <c r="C9" s="2039"/>
      <c r="F9" s="128"/>
      <c r="G9" s="128"/>
      <c r="H9" s="128"/>
      <c r="I9" s="128"/>
      <c r="J9" s="242"/>
      <c r="K9" s="242"/>
    </row>
    <row r="10" spans="1:16" ht="18.75" hidden="1">
      <c r="A10" s="980" t="s">
        <v>404</v>
      </c>
      <c r="B10" s="1760"/>
      <c r="C10" s="2039"/>
      <c r="F10" s="128"/>
      <c r="G10" s="128"/>
      <c r="H10" s="128"/>
      <c r="I10" s="128"/>
      <c r="J10" s="242"/>
      <c r="K10" s="242"/>
    </row>
    <row r="11" spans="1:16" ht="18.75" hidden="1">
      <c r="A11" s="980" t="s">
        <v>405</v>
      </c>
      <c r="B11" s="1760"/>
      <c r="C11" s="2039"/>
      <c r="F11" s="128"/>
      <c r="G11" s="128"/>
      <c r="H11" s="128"/>
      <c r="I11" s="128"/>
      <c r="J11" s="242"/>
      <c r="K11" s="242"/>
    </row>
    <row r="12" spans="1:16" ht="18.75">
      <c r="A12" s="979" t="s">
        <v>119</v>
      </c>
      <c r="B12" s="1760">
        <v>730884168.79999995</v>
      </c>
      <c r="C12" s="2039">
        <f>+B12/$B$14</f>
        <v>0.10952099913007408</v>
      </c>
      <c r="F12"/>
      <c r="G12"/>
      <c r="H12"/>
      <c r="I12"/>
      <c r="J12" s="242"/>
      <c r="K12" s="242"/>
    </row>
    <row r="13" spans="1:16" ht="18.75">
      <c r="A13" s="979" t="s">
        <v>1025</v>
      </c>
      <c r="B13" s="1760">
        <v>106629635.8</v>
      </c>
      <c r="C13" s="2039">
        <f>+B13/$B$14</f>
        <v>1.5978160080913652E-2</v>
      </c>
      <c r="F13" s="128"/>
      <c r="G13" s="128"/>
      <c r="H13" s="128"/>
      <c r="I13" s="128"/>
      <c r="J13" s="242"/>
      <c r="K13" s="242"/>
    </row>
    <row r="14" spans="1:16" ht="18.75">
      <c r="A14" s="981" t="s">
        <v>23</v>
      </c>
      <c r="B14" s="982">
        <f>SUM(B5:B13)</f>
        <v>6673461478.6700001</v>
      </c>
      <c r="C14" s="983">
        <f>SUM(C5:C13)</f>
        <v>1</v>
      </c>
      <c r="F14"/>
      <c r="G14"/>
      <c r="H14"/>
      <c r="I14"/>
      <c r="J14" s="242"/>
      <c r="K14" s="244"/>
      <c r="M14" s="245"/>
    </row>
    <row r="15" spans="1:16">
      <c r="A15" s="242"/>
      <c r="B15" s="242"/>
      <c r="C15" s="242"/>
      <c r="D15" s="242"/>
      <c r="F15"/>
      <c r="G15"/>
      <c r="H15"/>
      <c r="I15"/>
      <c r="J15" s="242"/>
      <c r="K15" s="242"/>
    </row>
    <row r="16" spans="1:16">
      <c r="A16" s="242"/>
      <c r="B16" s="242"/>
      <c r="C16" s="242"/>
      <c r="D16" s="242"/>
      <c r="E16" s="242"/>
      <c r="F16"/>
      <c r="G16"/>
      <c r="H16"/>
      <c r="I16"/>
      <c r="J16" s="242"/>
      <c r="K16" s="242"/>
    </row>
    <row r="17" spans="2:13">
      <c r="B17" s="242"/>
      <c r="C17" s="242"/>
      <c r="D17" s="242"/>
      <c r="E17" s="242"/>
      <c r="F17"/>
      <c r="G17"/>
      <c r="H17"/>
      <c r="I17"/>
      <c r="J17" s="242"/>
      <c r="K17" s="242"/>
    </row>
    <row r="18" spans="2:13">
      <c r="B18" s="242"/>
      <c r="C18" s="242"/>
      <c r="D18" s="242"/>
      <c r="E18" s="242"/>
      <c r="F18"/>
      <c r="G18"/>
      <c r="H18"/>
      <c r="I18"/>
      <c r="J18" s="242"/>
      <c r="K18" s="242"/>
    </row>
    <row r="19" spans="2:13">
      <c r="B19" s="242"/>
      <c r="C19" s="242"/>
      <c r="D19" s="242"/>
      <c r="E19" s="242"/>
      <c r="F19"/>
      <c r="G19"/>
      <c r="H19"/>
      <c r="I19"/>
      <c r="J19" s="242"/>
      <c r="K19" s="242"/>
    </row>
    <row r="20" spans="2:13">
      <c r="B20" s="242"/>
      <c r="C20" s="242"/>
      <c r="D20" s="242"/>
      <c r="E20" s="242"/>
      <c r="F20"/>
      <c r="G20"/>
      <c r="H20"/>
      <c r="I20"/>
      <c r="J20" s="242"/>
      <c r="K20" s="242"/>
    </row>
    <row r="21" spans="2:13">
      <c r="B21" s="242"/>
      <c r="C21" s="242"/>
      <c r="D21" s="242"/>
      <c r="E21" s="242"/>
      <c r="F21"/>
      <c r="G21"/>
      <c r="H21"/>
      <c r="I21"/>
      <c r="J21" s="242"/>
      <c r="K21" s="242"/>
    </row>
    <row r="22" spans="2:13">
      <c r="B22" s="242"/>
      <c r="C22" s="242"/>
      <c r="D22" s="242"/>
      <c r="E22" s="242"/>
      <c r="F22" s="242"/>
      <c r="G22" s="242"/>
      <c r="H22" s="242"/>
      <c r="I22" s="242"/>
      <c r="J22" s="242"/>
      <c r="K22" s="242"/>
    </row>
    <row r="23" spans="2:13">
      <c r="B23" s="242"/>
      <c r="C23" s="242"/>
      <c r="D23" s="242"/>
      <c r="E23" s="242"/>
      <c r="F23" s="242"/>
      <c r="G23" s="242"/>
      <c r="H23" s="242"/>
      <c r="I23" s="242"/>
      <c r="J23" s="242"/>
      <c r="K23" s="242"/>
    </row>
    <row r="24" spans="2:13">
      <c r="B24" s="242"/>
      <c r="C24" s="242"/>
      <c r="D24" s="242"/>
      <c r="E24" s="242"/>
      <c r="F24" s="242"/>
      <c r="G24" s="242"/>
      <c r="H24" s="242"/>
      <c r="I24" s="242"/>
      <c r="J24" s="242"/>
      <c r="K24" s="242"/>
      <c r="M24" s="1520"/>
    </row>
    <row r="25" spans="2:13">
      <c r="B25" s="242"/>
      <c r="C25" s="242"/>
      <c r="D25" s="242"/>
      <c r="E25" s="242"/>
      <c r="F25" s="242"/>
      <c r="G25" s="242"/>
      <c r="H25" s="242"/>
      <c r="I25" s="242"/>
      <c r="J25" s="242"/>
      <c r="K25" s="242"/>
    </row>
    <row r="26" spans="2:13">
      <c r="B26" s="242"/>
      <c r="C26" s="242"/>
      <c r="D26" s="242"/>
      <c r="E26" s="242"/>
      <c r="F26" s="242"/>
      <c r="G26" s="242"/>
      <c r="H26" s="242"/>
      <c r="I26" s="242"/>
      <c r="J26" s="242"/>
      <c r="K26" s="242"/>
    </row>
    <row r="27" spans="2:13">
      <c r="B27" s="242"/>
      <c r="C27" s="242"/>
      <c r="D27" s="242"/>
      <c r="E27" s="242"/>
      <c r="F27" s="242"/>
      <c r="G27" s="242"/>
      <c r="H27" s="242"/>
      <c r="I27" s="242"/>
      <c r="J27" s="242"/>
      <c r="K27" s="242"/>
    </row>
    <row r="28" spans="2:13">
      <c r="B28" s="242"/>
      <c r="C28" s="242"/>
      <c r="D28" s="242"/>
      <c r="E28" s="242"/>
      <c r="F28" s="242"/>
      <c r="G28" s="242"/>
      <c r="H28" s="242"/>
      <c r="I28" s="242"/>
      <c r="J28" s="242"/>
      <c r="K28" s="242"/>
    </row>
    <row r="29" spans="2:13">
      <c r="B29" s="242"/>
      <c r="C29" s="242"/>
      <c r="D29" s="242"/>
      <c r="E29" s="242"/>
      <c r="F29" s="242"/>
      <c r="G29" s="242"/>
      <c r="H29" s="242"/>
      <c r="I29" s="242"/>
      <c r="J29" s="242"/>
      <c r="K29" s="242"/>
    </row>
    <row r="30" spans="2:13">
      <c r="B30" s="242"/>
      <c r="C30" s="242"/>
      <c r="D30" s="242"/>
      <c r="E30" s="242"/>
      <c r="F30" s="242"/>
      <c r="G30" s="242"/>
      <c r="H30" s="242"/>
      <c r="I30" s="242"/>
      <c r="J30" s="242"/>
      <c r="K30" s="242"/>
    </row>
    <row r="31" spans="2:13">
      <c r="B31" s="242"/>
      <c r="C31" s="242"/>
      <c r="D31" s="242"/>
      <c r="E31" s="242"/>
      <c r="F31" s="242"/>
      <c r="G31" s="242"/>
      <c r="H31" s="242"/>
      <c r="I31" s="242"/>
      <c r="J31" s="242"/>
      <c r="K31" s="242"/>
    </row>
    <row r="32" spans="2:13">
      <c r="B32" s="242"/>
      <c r="C32" s="242"/>
      <c r="D32" s="242"/>
      <c r="E32" s="242"/>
      <c r="F32" s="242"/>
      <c r="G32" s="242"/>
      <c r="H32" s="242"/>
      <c r="I32" s="242"/>
      <c r="J32" s="242"/>
      <c r="K32" s="242"/>
    </row>
    <row r="33" spans="2:17">
      <c r="B33" s="242"/>
      <c r="C33" s="242"/>
      <c r="D33" s="242"/>
      <c r="E33" s="242"/>
      <c r="F33" s="242"/>
      <c r="G33" s="242"/>
      <c r="H33" s="242"/>
      <c r="I33" s="242"/>
      <c r="J33" s="242"/>
      <c r="K33" s="242"/>
    </row>
    <row r="34" spans="2:17">
      <c r="E34" s="242"/>
      <c r="F34" s="242"/>
      <c r="G34" s="242"/>
      <c r="H34" s="242"/>
      <c r="I34" s="242"/>
      <c r="J34" s="242"/>
      <c r="K34" s="242"/>
      <c r="N34" s="242"/>
      <c r="O34" s="242"/>
      <c r="P34" s="242"/>
      <c r="Q34" s="242"/>
    </row>
    <row r="35" spans="2:17">
      <c r="E35" s="242"/>
      <c r="F35" s="242"/>
      <c r="G35" s="242"/>
      <c r="H35" s="242"/>
      <c r="I35" s="242"/>
      <c r="J35" s="242"/>
      <c r="K35" s="242"/>
      <c r="N35" s="242"/>
      <c r="O35" s="242"/>
      <c r="P35" s="242"/>
      <c r="Q35" s="242"/>
    </row>
    <row r="36" spans="2:17">
      <c r="E36" s="242"/>
      <c r="F36" s="242"/>
      <c r="G36" s="242"/>
      <c r="H36" s="242"/>
      <c r="I36" s="242"/>
      <c r="J36" s="242"/>
      <c r="K36" s="242"/>
      <c r="N36" s="242"/>
      <c r="O36" s="242"/>
      <c r="P36" s="242"/>
      <c r="Q36" s="242"/>
    </row>
    <row r="37" spans="2:17">
      <c r="E37" s="242"/>
      <c r="F37" s="242"/>
      <c r="G37" s="242"/>
      <c r="H37" s="242"/>
      <c r="I37" s="242"/>
      <c r="J37" s="242"/>
      <c r="K37" s="242"/>
      <c r="N37" s="242"/>
      <c r="O37" s="242"/>
      <c r="P37" s="242"/>
      <c r="Q37" s="242"/>
    </row>
    <row r="38" spans="2:17">
      <c r="E38" s="242"/>
      <c r="F38" s="242"/>
      <c r="G38" s="242"/>
      <c r="H38" s="242"/>
      <c r="I38" s="242"/>
      <c r="J38" s="242"/>
      <c r="K38" s="242"/>
      <c r="N38" s="242"/>
      <c r="O38" s="242"/>
      <c r="P38" s="242"/>
      <c r="Q38" s="242"/>
    </row>
    <row r="39" spans="2:17">
      <c r="E39" s="242"/>
      <c r="F39" s="242"/>
      <c r="G39" s="242"/>
      <c r="H39" s="242"/>
      <c r="I39" s="242"/>
      <c r="J39" s="242"/>
      <c r="K39" s="242"/>
      <c r="N39" s="242"/>
      <c r="O39" s="242"/>
      <c r="P39" s="242"/>
      <c r="Q39" s="242"/>
    </row>
    <row r="40" spans="2:17">
      <c r="B40" s="242"/>
      <c r="C40" s="242"/>
      <c r="D40" s="242"/>
      <c r="E40" s="242"/>
      <c r="F40" s="242"/>
      <c r="G40" s="242"/>
      <c r="H40" s="242"/>
      <c r="I40" s="242"/>
      <c r="J40" s="242"/>
      <c r="K40" s="242"/>
      <c r="N40" s="242"/>
    </row>
    <row r="41" spans="2:17" ht="28.5">
      <c r="B41" s="242"/>
      <c r="C41" s="242"/>
      <c r="D41" s="243"/>
      <c r="E41" s="242"/>
      <c r="F41" s="242"/>
      <c r="G41" s="242"/>
      <c r="H41" s="242"/>
      <c r="I41" s="242"/>
      <c r="J41" s="242"/>
      <c r="K41" s="242"/>
      <c r="N41" s="242"/>
    </row>
    <row r="42" spans="2:17">
      <c r="B42" s="242"/>
      <c r="C42" s="242"/>
      <c r="D42" s="242"/>
      <c r="E42" s="242"/>
      <c r="F42" s="242"/>
      <c r="G42" s="242"/>
      <c r="H42" s="242"/>
      <c r="I42" s="242"/>
      <c r="J42" s="242"/>
      <c r="K42" s="242"/>
      <c r="N42" s="242"/>
    </row>
    <row r="43" spans="2:17">
      <c r="B43" s="242"/>
      <c r="F43" s="242"/>
      <c r="G43" s="242"/>
      <c r="H43" s="242"/>
      <c r="I43" s="242"/>
      <c r="J43" s="242"/>
      <c r="K43" s="242"/>
      <c r="N43" s="242"/>
    </row>
    <row r="44" spans="2:17">
      <c r="B44" s="242"/>
      <c r="F44" s="242"/>
      <c r="G44" s="242"/>
      <c r="H44" s="242"/>
      <c r="I44" s="242"/>
      <c r="J44" s="242"/>
      <c r="K44" s="242"/>
      <c r="N44" s="242"/>
    </row>
    <row r="45" spans="2:17">
      <c r="B45" s="242"/>
      <c r="F45" s="242"/>
      <c r="G45" s="242"/>
      <c r="H45" s="242"/>
      <c r="I45" s="242"/>
      <c r="J45" s="242"/>
      <c r="K45" s="242"/>
    </row>
    <row r="46" spans="2:17">
      <c r="B46" s="242"/>
      <c r="F46" s="242"/>
      <c r="G46" s="242"/>
      <c r="H46" s="242"/>
      <c r="I46" s="242"/>
      <c r="J46" s="242"/>
      <c r="K46" s="242"/>
    </row>
    <row r="47" spans="2:17">
      <c r="B47" s="242"/>
      <c r="F47" s="242"/>
      <c r="G47" s="242"/>
      <c r="H47" s="242"/>
      <c r="I47" s="242"/>
      <c r="J47" s="242"/>
      <c r="K47" s="242"/>
    </row>
    <row r="48" spans="2:17">
      <c r="B48" s="242"/>
      <c r="C48" s="242"/>
      <c r="D48" s="242"/>
      <c r="E48" s="242"/>
    </row>
    <row r="49" spans="2:5">
      <c r="B49" s="242"/>
      <c r="C49" s="242"/>
      <c r="D49" s="242"/>
      <c r="E49" s="242"/>
    </row>
    <row r="50" spans="2:5">
      <c r="B50" s="242"/>
      <c r="C50" s="242"/>
      <c r="D50" s="242"/>
      <c r="E50" s="242"/>
    </row>
    <row r="51" spans="2:5">
      <c r="B51" s="242"/>
      <c r="C51" s="242"/>
      <c r="D51" s="242"/>
      <c r="E51" s="242"/>
    </row>
    <row r="52" spans="2:5">
      <c r="B52" s="242"/>
      <c r="C52" s="242"/>
      <c r="D52" s="242"/>
      <c r="E52" s="242"/>
    </row>
    <row r="53" spans="2:5">
      <c r="B53" s="242"/>
      <c r="C53" s="242"/>
      <c r="D53" s="242"/>
      <c r="E53" s="242"/>
    </row>
    <row r="54" spans="2:5">
      <c r="B54" s="242"/>
      <c r="C54" s="242"/>
      <c r="D54" s="242"/>
      <c r="E54" s="242"/>
    </row>
    <row r="55" spans="2:5">
      <c r="B55" s="242"/>
      <c r="C55" s="242"/>
      <c r="D55" s="242"/>
      <c r="E55" s="242"/>
    </row>
    <row r="56" spans="2:5">
      <c r="B56" s="242"/>
      <c r="C56" s="242"/>
      <c r="D56" s="242"/>
      <c r="E56" s="242"/>
    </row>
    <row r="57" spans="2:5">
      <c r="B57" s="242"/>
      <c r="C57" s="242"/>
      <c r="D57" s="242"/>
      <c r="E57" s="242"/>
    </row>
    <row r="58" spans="2:5">
      <c r="B58" s="242"/>
      <c r="C58" s="242"/>
      <c r="D58" s="242"/>
      <c r="E58" s="242"/>
    </row>
    <row r="59" spans="2:5">
      <c r="B59" s="242"/>
      <c r="C59" s="242"/>
      <c r="D59" s="242"/>
      <c r="E59" s="242"/>
    </row>
    <row r="60" spans="2:5">
      <c r="B60" s="242"/>
      <c r="C60" s="242"/>
      <c r="D60" s="242"/>
      <c r="E60" s="242"/>
    </row>
    <row r="61" spans="2:5">
      <c r="B61" s="242"/>
      <c r="C61" s="242"/>
      <c r="D61" s="242"/>
      <c r="E61" s="242"/>
    </row>
    <row r="62" spans="2:5">
      <c r="B62" s="242"/>
      <c r="C62" s="242"/>
      <c r="D62" s="242"/>
      <c r="E62" s="242"/>
    </row>
    <row r="63" spans="2:5">
      <c r="B63" s="242"/>
      <c r="C63" s="242"/>
      <c r="D63" s="242"/>
      <c r="E63" s="242"/>
    </row>
    <row r="64" spans="2:5">
      <c r="B64" s="242"/>
      <c r="C64" s="242"/>
      <c r="D64" s="242"/>
      <c r="E64" s="242"/>
    </row>
    <row r="65" spans="2:5">
      <c r="B65" s="242"/>
      <c r="C65" s="242"/>
      <c r="D65" s="242"/>
      <c r="E65" s="242"/>
    </row>
    <row r="66" spans="2:5">
      <c r="B66" s="242"/>
      <c r="C66" s="242"/>
      <c r="D66" s="242"/>
      <c r="E66" s="242"/>
    </row>
    <row r="67" spans="2:5">
      <c r="B67" s="242"/>
      <c r="C67" s="242"/>
      <c r="D67" s="242"/>
      <c r="E67" s="242"/>
    </row>
    <row r="68" spans="2:5">
      <c r="B68" s="242"/>
      <c r="C68" s="242"/>
      <c r="D68" s="242"/>
      <c r="E68" s="242"/>
    </row>
    <row r="69" spans="2:5">
      <c r="B69" s="242"/>
      <c r="C69" s="242"/>
      <c r="D69" s="242"/>
      <c r="E69" s="242"/>
    </row>
    <row r="70" spans="2:5">
      <c r="B70" s="242"/>
      <c r="C70" s="242"/>
      <c r="D70" s="242"/>
      <c r="E70" s="242"/>
    </row>
    <row r="71" spans="2:5">
      <c r="B71" s="242"/>
      <c r="C71" s="242"/>
      <c r="D71" s="242"/>
      <c r="E71" s="242"/>
    </row>
    <row r="72" spans="2:5">
      <c r="B72" s="242"/>
      <c r="C72" s="242"/>
      <c r="D72" s="242"/>
      <c r="E72" s="242"/>
    </row>
    <row r="73" spans="2:5">
      <c r="B73" s="242"/>
      <c r="C73" s="242"/>
      <c r="D73" s="242"/>
      <c r="E73" s="242"/>
    </row>
    <row r="74" spans="2:5">
      <c r="B74" s="242"/>
      <c r="C74" s="242"/>
      <c r="D74" s="242"/>
      <c r="E74" s="242"/>
    </row>
    <row r="75" spans="2:5">
      <c r="B75" s="242"/>
      <c r="C75" s="242"/>
      <c r="D75" s="242"/>
      <c r="E75" s="242"/>
    </row>
    <row r="76" spans="2:5">
      <c r="B76" s="242"/>
      <c r="C76" s="242"/>
      <c r="D76" s="242"/>
      <c r="E76" s="242"/>
    </row>
    <row r="77" spans="2:5">
      <c r="B77" s="242"/>
      <c r="C77" s="242"/>
      <c r="D77" s="242"/>
      <c r="E77" s="242"/>
    </row>
    <row r="78" spans="2:5">
      <c r="B78" s="242"/>
      <c r="C78" s="242"/>
      <c r="D78" s="242"/>
      <c r="E78" s="242"/>
    </row>
  </sheetData>
  <mergeCells count="2">
    <mergeCell ref="A3:C3"/>
    <mergeCell ref="A1:K1"/>
  </mergeCells>
  <pageMargins left="0.70866141732283472" right="0.70866141732283472" top="0.74803149606299213" bottom="0.74803149606299213" header="0.31496062992125984" footer="0.31496062992125984"/>
  <pageSetup scale="7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FF0000"/>
  </sheetPr>
  <dimension ref="A1:Q62"/>
  <sheetViews>
    <sheetView showGridLines="0" view="pageBreakPreview" zoomScale="70" zoomScaleNormal="85" zoomScaleSheetLayoutView="70" workbookViewId="0">
      <selection activeCell="D5" sqref="D5"/>
    </sheetView>
  </sheetViews>
  <sheetFormatPr baseColWidth="10" defaultColWidth="11.42578125" defaultRowHeight="15"/>
  <cols>
    <col min="1" max="1" width="63.7109375" style="125" customWidth="1"/>
    <col min="2" max="2" width="32.85546875" style="125" customWidth="1"/>
    <col min="3" max="3" width="15.42578125" style="125" customWidth="1"/>
    <col min="4" max="4" width="28.7109375" style="125" customWidth="1"/>
    <col min="5" max="5" width="12" style="125" customWidth="1"/>
    <col min="6" max="6" width="17.140625" style="125" bestFit="1" customWidth="1"/>
    <col min="7" max="7" width="12.28515625" style="125" customWidth="1"/>
    <col min="8" max="8" width="3.85546875" style="125" customWidth="1"/>
    <col min="9" max="9" width="6" style="125" customWidth="1"/>
    <col min="10" max="10" width="2.140625" style="125" customWidth="1"/>
    <col min="11" max="11" width="6" style="125" customWidth="1"/>
    <col min="12" max="12" width="2.7109375" style="125" customWidth="1"/>
    <col min="13" max="13" width="1" style="125" customWidth="1"/>
    <col min="14" max="16384" width="11.42578125" style="125"/>
  </cols>
  <sheetData>
    <row r="1" spans="1:16" ht="81" customHeight="1">
      <c r="A1" s="2362" t="s">
        <v>1945</v>
      </c>
      <c r="B1" s="2362"/>
      <c r="C1" s="2362"/>
      <c r="D1" s="2362"/>
      <c r="E1" s="2362"/>
      <c r="F1" s="2362"/>
      <c r="G1" s="2362"/>
      <c r="H1" s="2362"/>
      <c r="I1" s="2362"/>
      <c r="J1" s="2362"/>
      <c r="K1" s="2362"/>
      <c r="L1" s="2362"/>
      <c r="M1" s="2362"/>
      <c r="N1" s="128"/>
      <c r="O1" s="128"/>
      <c r="P1" s="128"/>
    </row>
    <row r="2" spans="1:16" ht="3.75" customHeight="1">
      <c r="L2" s="128"/>
      <c r="M2" s="128"/>
      <c r="N2" s="128"/>
      <c r="O2" s="128"/>
      <c r="P2" s="128"/>
    </row>
    <row r="3" spans="1:16" ht="43.5" customHeight="1">
      <c r="A3" s="2359" t="s">
        <v>1437</v>
      </c>
      <c r="B3" s="2360"/>
      <c r="C3" s="2361"/>
      <c r="I3" s="128"/>
      <c r="J3" s="242"/>
      <c r="K3" s="242"/>
    </row>
    <row r="4" spans="1:16" ht="18.75">
      <c r="A4" s="984" t="s">
        <v>399</v>
      </c>
      <c r="B4" s="984" t="s">
        <v>400</v>
      </c>
      <c r="C4" s="984" t="s">
        <v>48</v>
      </c>
      <c r="I4" s="128"/>
      <c r="J4" s="242"/>
      <c r="K4" s="242"/>
    </row>
    <row r="5" spans="1:16" ht="18.75">
      <c r="A5" s="981" t="s">
        <v>1430</v>
      </c>
      <c r="B5" s="2100">
        <v>3432033300</v>
      </c>
      <c r="C5" s="1336">
        <f>+B5/$B$9</f>
        <v>0.58808500207242165</v>
      </c>
      <c r="I5" s="128"/>
      <c r="J5" s="242"/>
      <c r="K5" s="244"/>
      <c r="M5" s="245"/>
    </row>
    <row r="6" spans="1:16" ht="18.75">
      <c r="A6" s="981" t="s">
        <v>1432</v>
      </c>
      <c r="B6" s="2100">
        <v>2003760000</v>
      </c>
      <c r="C6" s="1336">
        <f>+B6/$B$9</f>
        <v>0.3433478351601762</v>
      </c>
      <c r="D6" s="242"/>
      <c r="E6" s="242"/>
      <c r="I6" s="242"/>
      <c r="J6" s="242"/>
      <c r="K6" s="242"/>
    </row>
    <row r="7" spans="1:16" ht="17.25" customHeight="1">
      <c r="A7" s="979" t="s">
        <v>1431</v>
      </c>
      <c r="B7" s="2100">
        <v>400154374.06999999</v>
      </c>
      <c r="C7" s="1336">
        <f>+B7/$B$9</f>
        <v>6.8567162767402212E-2</v>
      </c>
      <c r="D7" s="242"/>
      <c r="E7" s="242"/>
      <c r="I7" s="242"/>
      <c r="J7" s="242"/>
      <c r="K7" s="242"/>
    </row>
    <row r="8" spans="1:16" ht="18.75" hidden="1">
      <c r="A8" s="981" t="s">
        <v>1429</v>
      </c>
      <c r="B8" s="2040"/>
      <c r="C8" s="1336">
        <f>+B8/$B$9</f>
        <v>0</v>
      </c>
      <c r="D8" s="242"/>
      <c r="E8" s="242"/>
      <c r="I8" s="242"/>
      <c r="J8" s="242"/>
      <c r="K8" s="242"/>
    </row>
    <row r="9" spans="1:16" ht="18.75">
      <c r="A9" s="981" t="s">
        <v>23</v>
      </c>
      <c r="B9" s="2152">
        <f>SUM(B5:B8)</f>
        <v>5835947674.0699997</v>
      </c>
      <c r="C9" s="985">
        <f>SUM(C5:C8)</f>
        <v>1</v>
      </c>
      <c r="D9" s="242"/>
      <c r="E9" s="242"/>
      <c r="I9" s="242"/>
      <c r="J9" s="242"/>
      <c r="K9" s="242"/>
    </row>
    <row r="10" spans="1:16">
      <c r="B10" s="242"/>
      <c r="C10" s="242"/>
      <c r="D10" s="242"/>
      <c r="E10" s="242"/>
      <c r="F10" s="242"/>
      <c r="G10" s="242"/>
      <c r="H10" s="242"/>
      <c r="I10" s="242"/>
      <c r="J10" s="242"/>
      <c r="K10" s="242"/>
    </row>
    <row r="11" spans="1:16">
      <c r="B11" s="242"/>
      <c r="C11" s="242"/>
      <c r="D11" s="242"/>
      <c r="E11" s="242"/>
      <c r="F11" s="242"/>
      <c r="G11" s="242"/>
      <c r="H11" s="242"/>
      <c r="I11" s="242"/>
      <c r="J11" s="242"/>
      <c r="K11" s="242"/>
    </row>
    <row r="12" spans="1:16">
      <c r="B12" s="242"/>
      <c r="C12" s="242"/>
      <c r="D12" s="242"/>
      <c r="E12" s="242"/>
      <c r="F12" s="242"/>
      <c r="G12" s="242"/>
      <c r="H12" s="242"/>
      <c r="I12" s="242"/>
      <c r="J12" s="242"/>
      <c r="K12" s="242"/>
    </row>
    <row r="13" spans="1:16">
      <c r="B13" s="242"/>
      <c r="C13" s="242"/>
      <c r="D13" s="242"/>
      <c r="E13" s="242"/>
      <c r="F13" s="242"/>
      <c r="G13" s="242"/>
      <c r="H13" s="242"/>
      <c r="I13" s="242"/>
      <c r="J13" s="242"/>
      <c r="K13" s="242"/>
    </row>
    <row r="14" spans="1:16">
      <c r="B14" s="242"/>
      <c r="C14" s="242"/>
      <c r="D14" s="242"/>
      <c r="E14" s="242"/>
      <c r="F14" s="242"/>
      <c r="G14" s="242"/>
      <c r="H14" s="242"/>
      <c r="I14" s="242"/>
      <c r="J14" s="242"/>
      <c r="K14" s="242"/>
    </row>
    <row r="15" spans="1:16">
      <c r="B15" s="242"/>
      <c r="C15" s="242"/>
      <c r="D15" s="242"/>
      <c r="E15" s="242"/>
      <c r="F15" s="242"/>
      <c r="G15" s="242"/>
      <c r="H15" s="242"/>
      <c r="I15" s="242"/>
      <c r="J15" s="242"/>
      <c r="K15" s="242"/>
    </row>
    <row r="16" spans="1:16">
      <c r="B16" s="242"/>
      <c r="C16" s="242"/>
      <c r="D16" s="242"/>
      <c r="E16" s="242"/>
      <c r="F16" s="242"/>
      <c r="G16" s="242"/>
      <c r="H16" s="242"/>
      <c r="I16" s="242"/>
      <c r="J16" s="242"/>
      <c r="K16" s="242"/>
    </row>
    <row r="17" spans="2:17">
      <c r="B17" s="242"/>
      <c r="C17" s="242"/>
      <c r="D17" s="242"/>
      <c r="E17" s="242"/>
      <c r="F17" s="242"/>
      <c r="G17" s="242"/>
      <c r="H17" s="242"/>
      <c r="I17" s="242"/>
      <c r="J17" s="242"/>
      <c r="K17" s="242"/>
    </row>
    <row r="18" spans="2:17">
      <c r="B18" s="242"/>
      <c r="C18" s="242"/>
      <c r="D18" s="242"/>
      <c r="E18" s="242"/>
      <c r="F18" s="242"/>
      <c r="G18" s="242"/>
      <c r="H18" s="242"/>
      <c r="I18" s="242"/>
      <c r="J18" s="242"/>
      <c r="K18" s="242"/>
    </row>
    <row r="19" spans="2:17">
      <c r="B19" s="242"/>
      <c r="C19" s="242"/>
      <c r="D19" s="242"/>
      <c r="E19" s="242"/>
      <c r="F19" s="242"/>
      <c r="G19" s="242"/>
      <c r="H19" s="242"/>
      <c r="I19" s="242"/>
      <c r="J19" s="242"/>
      <c r="K19" s="242"/>
      <c r="M19" s="242"/>
    </row>
    <row r="20" spans="2:17">
      <c r="B20" s="242"/>
      <c r="C20" s="242"/>
      <c r="D20" s="242"/>
      <c r="E20" s="242"/>
      <c r="F20" s="242"/>
      <c r="G20" s="242"/>
      <c r="H20" s="242"/>
      <c r="I20" s="242"/>
      <c r="J20" s="242"/>
      <c r="K20" s="242"/>
      <c r="M20" s="242"/>
    </row>
    <row r="21" spans="2:17">
      <c r="B21" s="242"/>
      <c r="C21" s="242"/>
      <c r="D21" s="242"/>
      <c r="E21" s="242"/>
      <c r="F21" s="242"/>
      <c r="G21" s="242"/>
      <c r="H21" s="242"/>
      <c r="I21" s="242"/>
      <c r="J21" s="242"/>
      <c r="K21" s="242"/>
      <c r="M21" s="242"/>
    </row>
    <row r="22" spans="2:17">
      <c r="B22" s="242"/>
      <c r="C22" s="242"/>
      <c r="D22" s="242"/>
      <c r="E22" s="242"/>
      <c r="F22" s="242"/>
      <c r="G22" s="242"/>
      <c r="H22" s="242"/>
      <c r="I22" s="242"/>
      <c r="J22" s="242"/>
      <c r="K22" s="242"/>
      <c r="M22" s="242"/>
    </row>
    <row r="23" spans="2:17">
      <c r="B23" s="242"/>
      <c r="C23" s="242"/>
      <c r="D23" s="242"/>
      <c r="E23" s="242"/>
      <c r="F23" s="242"/>
      <c r="G23" s="242"/>
      <c r="H23" s="242"/>
      <c r="I23" s="242"/>
      <c r="J23" s="242"/>
      <c r="K23" s="242"/>
      <c r="M23" s="242"/>
    </row>
    <row r="24" spans="2:17">
      <c r="E24" s="242"/>
      <c r="F24" s="242"/>
      <c r="G24" s="242"/>
      <c r="H24" s="242"/>
      <c r="I24" s="242"/>
      <c r="J24" s="242"/>
      <c r="K24" s="242"/>
      <c r="M24" s="242"/>
      <c r="N24" s="242"/>
      <c r="O24" s="242"/>
      <c r="P24" s="242"/>
      <c r="Q24" s="242"/>
    </row>
    <row r="25" spans="2:17">
      <c r="E25" s="242"/>
      <c r="F25" s="242"/>
      <c r="G25" s="242"/>
      <c r="H25" s="242"/>
      <c r="I25" s="242"/>
      <c r="J25" s="242"/>
      <c r="K25" s="242"/>
      <c r="M25" s="242"/>
      <c r="N25" s="242"/>
      <c r="O25" s="242"/>
      <c r="P25" s="242"/>
      <c r="Q25" s="242"/>
    </row>
    <row r="26" spans="2:17">
      <c r="E26" s="242"/>
      <c r="F26" s="242"/>
      <c r="G26" s="242"/>
      <c r="H26" s="242"/>
      <c r="I26" s="242"/>
      <c r="J26" s="242"/>
      <c r="K26" s="242"/>
      <c r="M26" s="242"/>
      <c r="N26" s="242"/>
      <c r="O26" s="242"/>
      <c r="P26" s="242"/>
      <c r="Q26" s="242"/>
    </row>
    <row r="27" spans="2:17">
      <c r="E27" s="242"/>
      <c r="F27" s="242"/>
      <c r="G27" s="242"/>
      <c r="H27" s="242"/>
      <c r="I27" s="242"/>
      <c r="J27" s="242"/>
      <c r="K27" s="242"/>
      <c r="M27" s="242"/>
      <c r="N27" s="242"/>
      <c r="O27" s="242"/>
      <c r="P27" s="242"/>
      <c r="Q27" s="242"/>
    </row>
    <row r="28" spans="2:17">
      <c r="E28" s="242"/>
      <c r="F28" s="242"/>
      <c r="G28" s="242"/>
      <c r="H28" s="242"/>
      <c r="I28" s="242"/>
      <c r="J28" s="242"/>
      <c r="K28" s="242"/>
      <c r="M28" s="242"/>
      <c r="N28" s="242"/>
      <c r="O28" s="242"/>
      <c r="P28" s="242"/>
      <c r="Q28" s="242"/>
    </row>
    <row r="29" spans="2:17">
      <c r="E29" s="242"/>
      <c r="F29" s="242"/>
      <c r="G29" s="242"/>
      <c r="H29" s="242"/>
      <c r="I29" s="242"/>
      <c r="J29" s="242"/>
      <c r="K29" s="242"/>
      <c r="M29" s="242"/>
      <c r="N29" s="242"/>
      <c r="O29" s="242"/>
      <c r="P29" s="242"/>
      <c r="Q29" s="242"/>
    </row>
    <row r="30" spans="2:17">
      <c r="B30" s="242"/>
      <c r="C30" s="242"/>
      <c r="D30" s="242"/>
      <c r="E30" s="242"/>
      <c r="F30" s="242"/>
      <c r="G30" s="242"/>
      <c r="H30" s="242"/>
      <c r="I30" s="242"/>
      <c r="J30" s="242"/>
      <c r="K30" s="242"/>
    </row>
    <row r="31" spans="2:17" ht="28.5">
      <c r="B31" s="242"/>
      <c r="C31" s="242"/>
      <c r="D31" s="243"/>
      <c r="E31" s="242"/>
      <c r="F31" s="242"/>
      <c r="G31" s="242"/>
      <c r="H31" s="242"/>
      <c r="I31" s="242"/>
      <c r="J31" s="242"/>
      <c r="K31" s="242"/>
    </row>
    <row r="32" spans="2:17">
      <c r="B32" s="242"/>
      <c r="C32" s="242"/>
      <c r="D32" s="242"/>
      <c r="E32" s="242"/>
      <c r="F32" s="242"/>
      <c r="G32" s="242"/>
      <c r="H32" s="242"/>
      <c r="I32" s="242"/>
      <c r="J32" s="242"/>
      <c r="K32" s="242"/>
    </row>
    <row r="33" spans="2:11">
      <c r="B33" s="242"/>
      <c r="F33" s="242"/>
      <c r="G33" s="242"/>
      <c r="H33" s="242"/>
      <c r="I33" s="242"/>
      <c r="J33" s="242"/>
      <c r="K33" s="242"/>
    </row>
    <row r="34" spans="2:11">
      <c r="B34" s="242"/>
      <c r="F34" s="242"/>
      <c r="G34" s="242"/>
      <c r="H34" s="242"/>
      <c r="I34" s="242"/>
      <c r="J34" s="242"/>
      <c r="K34" s="242"/>
    </row>
    <row r="35" spans="2:11">
      <c r="B35" s="242"/>
      <c r="F35" s="242"/>
      <c r="G35" s="242"/>
      <c r="H35" s="242"/>
      <c r="I35" s="242"/>
      <c r="J35" s="242"/>
      <c r="K35" s="242"/>
    </row>
    <row r="36" spans="2:11">
      <c r="B36" s="242"/>
      <c r="F36" s="242"/>
      <c r="G36" s="242"/>
      <c r="H36" s="242"/>
      <c r="I36" s="242"/>
      <c r="J36" s="242"/>
      <c r="K36" s="242"/>
    </row>
    <row r="37" spans="2:11">
      <c r="B37" s="242"/>
      <c r="F37" s="242"/>
      <c r="G37" s="242"/>
      <c r="H37" s="242"/>
      <c r="I37" s="242"/>
      <c r="J37" s="242"/>
      <c r="K37" s="242"/>
    </row>
    <row r="38" spans="2:11">
      <c r="B38" s="242"/>
      <c r="F38" s="242"/>
      <c r="G38" s="242"/>
      <c r="H38" s="242"/>
      <c r="I38" s="242"/>
      <c r="J38" s="242"/>
      <c r="K38" s="242"/>
    </row>
    <row r="39" spans="2:11">
      <c r="B39" s="242"/>
      <c r="F39" s="242"/>
      <c r="G39" s="242"/>
      <c r="H39" s="242"/>
      <c r="I39" s="242"/>
      <c r="J39" s="242"/>
      <c r="K39" s="242"/>
    </row>
    <row r="40" spans="2:11">
      <c r="B40" s="242"/>
      <c r="C40" s="242"/>
      <c r="D40" s="242"/>
      <c r="E40" s="242"/>
    </row>
    <row r="41" spans="2:11">
      <c r="B41" s="242"/>
      <c r="C41" s="242"/>
      <c r="D41" s="242"/>
      <c r="E41" s="242"/>
    </row>
    <row r="42" spans="2:11">
      <c r="B42" s="242"/>
      <c r="C42" s="242"/>
      <c r="D42" s="242"/>
      <c r="E42" s="242"/>
    </row>
    <row r="43" spans="2:11">
      <c r="B43" s="242"/>
      <c r="C43" s="242"/>
      <c r="D43" s="242"/>
      <c r="E43" s="242"/>
    </row>
    <row r="44" spans="2:11">
      <c r="B44" s="242"/>
      <c r="C44" s="242"/>
      <c r="D44" s="242"/>
      <c r="E44" s="242"/>
    </row>
    <row r="45" spans="2:11">
      <c r="B45" s="242"/>
      <c r="C45" s="242"/>
      <c r="D45" s="242"/>
      <c r="E45" s="242"/>
    </row>
    <row r="46" spans="2:11">
      <c r="B46" s="242"/>
      <c r="C46" s="242"/>
      <c r="D46" s="242"/>
      <c r="E46" s="242"/>
    </row>
    <row r="47" spans="2:11">
      <c r="B47" s="242"/>
      <c r="C47" s="242"/>
      <c r="D47" s="242"/>
      <c r="E47" s="242"/>
    </row>
    <row r="48" spans="2:11">
      <c r="B48" s="242"/>
      <c r="C48" s="242"/>
      <c r="D48" s="242"/>
      <c r="E48" s="242"/>
    </row>
    <row r="49" spans="2:5">
      <c r="B49" s="242"/>
      <c r="C49" s="242"/>
      <c r="D49" s="242"/>
      <c r="E49" s="242"/>
    </row>
    <row r="50" spans="2:5">
      <c r="B50" s="242"/>
      <c r="C50" s="242"/>
      <c r="D50" s="242"/>
      <c r="E50" s="242"/>
    </row>
    <row r="51" spans="2:5">
      <c r="B51" s="242"/>
      <c r="C51" s="242"/>
      <c r="D51" s="242"/>
      <c r="E51" s="242"/>
    </row>
    <row r="52" spans="2:5">
      <c r="B52" s="242"/>
      <c r="C52" s="242"/>
      <c r="D52" s="242"/>
      <c r="E52" s="242"/>
    </row>
    <row r="53" spans="2:5">
      <c r="B53" s="242"/>
      <c r="C53" s="242"/>
      <c r="D53" s="242"/>
      <c r="E53" s="242"/>
    </row>
    <row r="54" spans="2:5">
      <c r="B54" s="242"/>
      <c r="C54" s="242"/>
      <c r="D54" s="242"/>
      <c r="E54" s="242"/>
    </row>
    <row r="55" spans="2:5">
      <c r="B55" s="242"/>
      <c r="C55" s="242"/>
      <c r="D55" s="242"/>
      <c r="E55" s="242"/>
    </row>
    <row r="56" spans="2:5">
      <c r="B56" s="242"/>
      <c r="C56" s="242"/>
      <c r="D56" s="242"/>
      <c r="E56" s="242"/>
    </row>
    <row r="57" spans="2:5">
      <c r="B57" s="242"/>
      <c r="C57" s="242"/>
      <c r="D57" s="242"/>
      <c r="E57" s="242"/>
    </row>
    <row r="58" spans="2:5">
      <c r="B58" s="242"/>
      <c r="C58" s="242"/>
      <c r="D58" s="242"/>
      <c r="E58" s="242"/>
    </row>
    <row r="59" spans="2:5">
      <c r="B59" s="242"/>
      <c r="C59" s="242"/>
      <c r="D59" s="242"/>
      <c r="E59" s="242"/>
    </row>
    <row r="60" spans="2:5">
      <c r="B60" s="242"/>
      <c r="C60" s="242"/>
      <c r="D60" s="242"/>
      <c r="E60" s="242"/>
    </row>
    <row r="61" spans="2:5">
      <c r="B61" s="242"/>
      <c r="C61" s="242"/>
      <c r="D61" s="242"/>
      <c r="E61" s="242"/>
    </row>
    <row r="62" spans="2:5">
      <c r="B62" s="242"/>
      <c r="C62" s="242"/>
      <c r="D62" s="242"/>
      <c r="E62" s="242"/>
    </row>
  </sheetData>
  <mergeCells count="2">
    <mergeCell ref="A3:C3"/>
    <mergeCell ref="A1:M1"/>
  </mergeCells>
  <pageMargins left="0.70866141732283472" right="0.70866141732283472" top="0.74803149606299213" bottom="0.74803149606299213" header="0.31496062992125984" footer="0.31496062992125984"/>
  <pageSetup scale="5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FF99"/>
    <pageSetUpPr fitToPage="1"/>
  </sheetPr>
  <dimension ref="A1:L15"/>
  <sheetViews>
    <sheetView showGridLines="0" view="pageBreakPreview" zoomScale="85" zoomScaleNormal="100" zoomScaleSheetLayoutView="85" workbookViewId="0">
      <selection activeCell="J11" sqref="J11"/>
    </sheetView>
  </sheetViews>
  <sheetFormatPr baseColWidth="10" defaultColWidth="11.42578125" defaultRowHeight="15"/>
  <cols>
    <col min="1" max="1" width="11.5703125" style="128" bestFit="1" customWidth="1"/>
    <col min="2" max="2" width="13.42578125" style="128" bestFit="1" customWidth="1"/>
    <col min="3" max="3" width="14.85546875" style="128" customWidth="1"/>
    <col min="4" max="4" width="15.5703125" style="128" customWidth="1"/>
    <col min="5" max="5" width="14.85546875" style="128" customWidth="1"/>
    <col min="6" max="6" width="13.140625" style="128" customWidth="1"/>
    <col min="7" max="7" width="13.85546875" style="128" customWidth="1"/>
    <col min="8" max="8" width="9.85546875" style="128" customWidth="1"/>
    <col min="9" max="9" width="9" style="128" customWidth="1"/>
    <col min="10" max="10" width="9.42578125" style="128" customWidth="1"/>
    <col min="11" max="11" width="9.5703125" style="128" customWidth="1"/>
    <col min="12" max="12" width="8.5703125" style="128" customWidth="1"/>
    <col min="13" max="13" width="14.5703125" style="128" bestFit="1" customWidth="1"/>
    <col min="14" max="14" width="12.5703125" style="128" bestFit="1" customWidth="1"/>
    <col min="15" max="16384" width="11.42578125" style="128"/>
  </cols>
  <sheetData>
    <row r="1" spans="1:12" ht="50.25" customHeight="1" thickBot="1">
      <c r="A1" s="2363" t="s">
        <v>455</v>
      </c>
      <c r="B1" s="2364"/>
      <c r="C1" s="2364"/>
      <c r="D1" s="2364"/>
      <c r="E1" s="2364"/>
      <c r="F1" s="2364"/>
      <c r="G1" s="2364"/>
      <c r="H1" s="2364"/>
      <c r="I1" s="2364"/>
      <c r="J1" s="2364"/>
      <c r="K1" s="2364"/>
      <c r="L1" s="2365"/>
    </row>
    <row r="2" spans="1:12" ht="10.5" customHeight="1">
      <c r="A2" s="2218"/>
      <c r="B2" s="2366"/>
      <c r="C2" s="2366"/>
      <c r="D2" s="2366"/>
      <c r="E2" s="2366"/>
      <c r="F2" s="2366"/>
      <c r="G2" s="2366"/>
      <c r="H2" s="2366"/>
      <c r="I2" s="2366"/>
      <c r="J2" s="2366"/>
      <c r="K2" s="2366"/>
      <c r="L2" s="2366"/>
    </row>
    <row r="3" spans="1:12" ht="11.25" customHeight="1">
      <c r="A3" s="2366"/>
      <c r="B3" s="2366"/>
      <c r="C3" s="2366"/>
      <c r="D3" s="2366"/>
      <c r="E3" s="2366"/>
      <c r="F3" s="2366"/>
      <c r="G3" s="2366"/>
      <c r="H3" s="2366"/>
      <c r="I3" s="2366"/>
      <c r="J3" s="2366"/>
      <c r="K3" s="2366"/>
      <c r="L3" s="2366"/>
    </row>
    <row r="4" spans="1:12" ht="35.25" customHeight="1">
      <c r="A4" s="313" t="s">
        <v>25</v>
      </c>
      <c r="B4" s="312" t="s">
        <v>190</v>
      </c>
      <c r="C4" s="312" t="s">
        <v>199</v>
      </c>
      <c r="D4" s="312" t="s">
        <v>192</v>
      </c>
      <c r="E4" s="312" t="s">
        <v>201</v>
      </c>
      <c r="F4" s="312" t="s">
        <v>191</v>
      </c>
      <c r="G4" s="312" t="s">
        <v>200</v>
      </c>
      <c r="H4" s="148"/>
      <c r="I4" s="271"/>
      <c r="J4" s="272"/>
      <c r="K4" s="272"/>
      <c r="L4" s="273"/>
    </row>
    <row r="5" spans="1:12" ht="17.25" customHeight="1">
      <c r="A5" s="327">
        <v>2003</v>
      </c>
      <c r="B5" s="249">
        <v>44000</v>
      </c>
      <c r="C5" s="250" t="s">
        <v>209</v>
      </c>
      <c r="D5" s="250" t="s">
        <v>209</v>
      </c>
      <c r="E5" s="250" t="s">
        <v>209</v>
      </c>
      <c r="F5" s="249">
        <f>B5</f>
        <v>44000</v>
      </c>
      <c r="G5" s="251"/>
      <c r="H5" s="148"/>
      <c r="I5" s="271"/>
      <c r="J5" s="272"/>
      <c r="K5" s="272"/>
      <c r="L5" s="273"/>
    </row>
    <row r="6" spans="1:12" ht="15.75">
      <c r="A6" s="327">
        <v>2004</v>
      </c>
      <c r="B6" s="249">
        <v>65017</v>
      </c>
      <c r="C6" s="250" t="s">
        <v>209</v>
      </c>
      <c r="D6" s="250" t="s">
        <v>209</v>
      </c>
      <c r="E6" s="250" t="s">
        <v>209</v>
      </c>
      <c r="F6" s="249">
        <v>65017</v>
      </c>
      <c r="G6" s="251">
        <v>0</v>
      </c>
      <c r="H6" s="148"/>
      <c r="I6" s="271"/>
      <c r="J6" s="272"/>
      <c r="K6" s="272"/>
      <c r="L6" s="273"/>
    </row>
    <row r="7" spans="1:12" ht="15.75">
      <c r="A7" s="327">
        <v>2005</v>
      </c>
      <c r="B7" s="249">
        <v>266531</v>
      </c>
      <c r="C7" s="250" t="s">
        <v>209</v>
      </c>
      <c r="D7" s="250" t="s">
        <v>209</v>
      </c>
      <c r="E7" s="250" t="s">
        <v>209</v>
      </c>
      <c r="F7" s="249">
        <v>266531</v>
      </c>
      <c r="G7" s="251">
        <v>0</v>
      </c>
      <c r="H7" s="148"/>
      <c r="I7" s="274"/>
      <c r="J7" s="274"/>
      <c r="K7" s="274"/>
      <c r="L7" s="274"/>
    </row>
    <row r="8" spans="1:12" ht="15.75">
      <c r="A8" s="327">
        <v>2006</v>
      </c>
      <c r="B8" s="249">
        <v>254831</v>
      </c>
      <c r="C8" s="252">
        <f t="shared" ref="C8:C13" si="0">+B8/F8</f>
        <v>0.49634409523661127</v>
      </c>
      <c r="D8" s="253">
        <v>258585</v>
      </c>
      <c r="E8" s="254">
        <f t="shared" ref="E8:E13" si="1">+D8/F8</f>
        <v>0.50365590476338873</v>
      </c>
      <c r="F8" s="249">
        <v>513416</v>
      </c>
      <c r="G8" s="255">
        <f t="shared" ref="G8:G13" si="2">D8/B8</f>
        <v>1.0147313317453528</v>
      </c>
      <c r="H8" s="148"/>
      <c r="I8" s="274"/>
      <c r="J8" s="274"/>
      <c r="K8" s="274"/>
      <c r="L8" s="274"/>
    </row>
    <row r="9" spans="1:12" ht="15.75">
      <c r="A9" s="327">
        <v>2007</v>
      </c>
      <c r="B9" s="249">
        <v>473647</v>
      </c>
      <c r="C9" s="252">
        <f t="shared" si="0"/>
        <v>0.43777728072640154</v>
      </c>
      <c r="D9" s="253">
        <v>608289</v>
      </c>
      <c r="E9" s="254">
        <f t="shared" si="1"/>
        <v>0.56222271927359846</v>
      </c>
      <c r="F9" s="249">
        <v>1081936</v>
      </c>
      <c r="G9" s="255">
        <f t="shared" si="2"/>
        <v>1.2842665529392143</v>
      </c>
      <c r="H9" s="148"/>
      <c r="I9" s="274"/>
      <c r="J9" s="274"/>
      <c r="K9" s="274"/>
      <c r="L9" s="274"/>
    </row>
    <row r="10" spans="1:12" ht="15.75">
      <c r="A10" s="327">
        <v>2008</v>
      </c>
      <c r="B10" s="249">
        <v>489949</v>
      </c>
      <c r="C10" s="252">
        <f t="shared" si="0"/>
        <v>0.40007496062117692</v>
      </c>
      <c r="D10" s="253">
        <v>734694</v>
      </c>
      <c r="E10" s="254">
        <f t="shared" si="1"/>
        <v>0.59992503937882302</v>
      </c>
      <c r="F10" s="249">
        <v>1224643</v>
      </c>
      <c r="G10" s="255">
        <f t="shared" si="2"/>
        <v>1.4995315838995487</v>
      </c>
      <c r="H10" s="100"/>
      <c r="I10" s="274"/>
      <c r="J10" s="274"/>
      <c r="K10" s="274"/>
      <c r="L10" s="274"/>
    </row>
    <row r="11" spans="1:12" ht="15.75">
      <c r="A11" s="327">
        <v>2009</v>
      </c>
      <c r="B11" s="249">
        <v>575190</v>
      </c>
      <c r="C11" s="252">
        <f t="shared" si="0"/>
        <v>0.42728014227071548</v>
      </c>
      <c r="D11" s="253">
        <v>770976</v>
      </c>
      <c r="E11" s="254">
        <f t="shared" si="1"/>
        <v>0.57271985772928447</v>
      </c>
      <c r="F11" s="249">
        <f>+B11+D11</f>
        <v>1346166</v>
      </c>
      <c r="G11" s="255">
        <f t="shared" si="2"/>
        <v>1.3403849162885308</v>
      </c>
      <c r="H11" s="24"/>
      <c r="I11" s="148"/>
      <c r="J11" s="148"/>
      <c r="K11" s="148"/>
      <c r="L11" s="148"/>
    </row>
    <row r="12" spans="1:12" ht="15" customHeight="1">
      <c r="A12" s="327">
        <v>2010</v>
      </c>
      <c r="B12" s="249">
        <v>880620</v>
      </c>
      <c r="C12" s="252">
        <f t="shared" si="0"/>
        <v>0.47656904060053046</v>
      </c>
      <c r="D12" s="253">
        <v>967213</v>
      </c>
      <c r="E12" s="254">
        <f t="shared" si="1"/>
        <v>0.52343095939946949</v>
      </c>
      <c r="F12" s="249">
        <f>+B12+D12</f>
        <v>1847833</v>
      </c>
      <c r="G12" s="255">
        <f t="shared" si="2"/>
        <v>1.098331857100679</v>
      </c>
      <c r="H12" s="19"/>
      <c r="I12" s="28"/>
    </row>
    <row r="13" spans="1:12" ht="15.75">
      <c r="A13" s="327" t="s">
        <v>454</v>
      </c>
      <c r="B13" s="249">
        <f>+'[3]TSS Subsidiado.'!$Q$117</f>
        <v>889908</v>
      </c>
      <c r="C13" s="252">
        <f t="shared" si="0"/>
        <v>0.44389464542868445</v>
      </c>
      <c r="D13" s="253">
        <f>+'[3]TSS Subsidiado.'!$R$117</f>
        <v>1114865</v>
      </c>
      <c r="E13" s="254">
        <f t="shared" si="1"/>
        <v>0.5561053545713156</v>
      </c>
      <c r="F13" s="249">
        <f>+B13+D13</f>
        <v>2004773</v>
      </c>
      <c r="G13" s="255">
        <f t="shared" si="2"/>
        <v>1.2527868049281499</v>
      </c>
      <c r="H13" s="28"/>
      <c r="I13" s="28"/>
    </row>
    <row r="14" spans="1:12">
      <c r="B14" s="28"/>
      <c r="C14" s="28"/>
      <c r="D14" s="28"/>
      <c r="E14" s="28"/>
      <c r="F14" s="28"/>
      <c r="G14" s="28"/>
      <c r="H14" s="28"/>
      <c r="I14" s="28"/>
    </row>
    <row r="15" spans="1:12">
      <c r="B15" s="28"/>
      <c r="C15" s="28"/>
      <c r="D15" s="28"/>
      <c r="E15" s="28"/>
      <c r="F15" s="28"/>
      <c r="G15" s="28"/>
      <c r="H15" s="28"/>
      <c r="I15" s="28"/>
    </row>
  </sheetData>
  <mergeCells count="2">
    <mergeCell ref="A1:L1"/>
    <mergeCell ref="A2:L3"/>
  </mergeCells>
  <pageMargins left="0.70866141732283472" right="0.70866141732283472" top="0.74803149606299213" bottom="0.74803149606299213" header="0.31496062992125984" footer="0.31496062992125984"/>
  <pageSetup scale="84" orientation="landscape" horizontalDpi="1200"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view="pageBreakPreview" zoomScaleNormal="100" zoomScaleSheetLayoutView="100" workbookViewId="0">
      <selection activeCell="H4" sqref="H4"/>
    </sheetView>
  </sheetViews>
  <sheetFormatPr baseColWidth="10" defaultColWidth="11.42578125" defaultRowHeight="15"/>
  <cols>
    <col min="1" max="1" width="15.28515625" style="1360" bestFit="1" customWidth="1"/>
    <col min="2" max="2" width="12" style="1360" customWidth="1"/>
    <col min="3" max="4" width="14" style="1360" customWidth="1"/>
    <col min="5" max="5" width="14.5703125" style="1360" customWidth="1"/>
    <col min="6" max="16384" width="11.42578125" style="1360"/>
  </cols>
  <sheetData>
    <row r="1" spans="1:12" ht="79.5" customHeight="1">
      <c r="A1" s="2367" t="s">
        <v>1609</v>
      </c>
      <c r="B1" s="2368"/>
      <c r="C1" s="2368"/>
      <c r="D1" s="2368"/>
      <c r="E1" s="2368"/>
      <c r="F1" s="2368"/>
      <c r="G1" s="2368"/>
      <c r="H1" s="2368"/>
      <c r="I1" s="2368"/>
      <c r="J1" s="2368"/>
      <c r="K1" s="2368"/>
      <c r="L1" s="2368"/>
    </row>
    <row r="2" spans="1:12" ht="4.5" customHeight="1"/>
    <row r="3" spans="1:12" ht="30">
      <c r="A3" s="1361" t="s">
        <v>1024</v>
      </c>
      <c r="B3" s="1361" t="s">
        <v>1448</v>
      </c>
      <c r="C3" s="1361" t="s">
        <v>1449</v>
      </c>
      <c r="D3" s="1361" t="s">
        <v>167</v>
      </c>
      <c r="E3" s="1362" t="s">
        <v>1450</v>
      </c>
    </row>
    <row r="4" spans="1:12">
      <c r="A4" s="1363" t="s">
        <v>1451</v>
      </c>
      <c r="B4" s="1364">
        <v>111786</v>
      </c>
      <c r="C4" s="1364">
        <v>131167</v>
      </c>
      <c r="D4" s="1364">
        <f>+C4+B4</f>
        <v>242953</v>
      </c>
      <c r="E4" s="1365">
        <f>+C4/B4</f>
        <v>1.1733759146941478</v>
      </c>
    </row>
    <row r="5" spans="1:12">
      <c r="A5" s="1363" t="s">
        <v>1452</v>
      </c>
      <c r="B5" s="1364">
        <v>11107</v>
      </c>
      <c r="C5" s="1364">
        <v>14615</v>
      </c>
      <c r="D5" s="1364">
        <f t="shared" ref="D5:D12" si="0">+C5+B5</f>
        <v>25722</v>
      </c>
      <c r="E5" s="1365">
        <f t="shared" ref="E5:E12" si="1">+C5/B5</f>
        <v>1.3158368596380661</v>
      </c>
    </row>
    <row r="6" spans="1:12">
      <c r="A6" s="1363" t="s">
        <v>1453</v>
      </c>
      <c r="B6" s="1364">
        <v>16189</v>
      </c>
      <c r="C6" s="1364">
        <v>18058</v>
      </c>
      <c r="D6" s="1364">
        <f t="shared" si="0"/>
        <v>34247</v>
      </c>
      <c r="E6" s="1365">
        <f t="shared" si="1"/>
        <v>1.1154487615047255</v>
      </c>
    </row>
    <row r="7" spans="1:12">
      <c r="A7" s="1363" t="s">
        <v>1454</v>
      </c>
      <c r="B7" s="1364">
        <v>14924</v>
      </c>
      <c r="C7" s="1364">
        <v>20436</v>
      </c>
      <c r="D7" s="1364">
        <f t="shared" si="0"/>
        <v>35360</v>
      </c>
      <c r="E7" s="1365">
        <f t="shared" si="1"/>
        <v>1.3693379790940767</v>
      </c>
    </row>
    <row r="8" spans="1:12">
      <c r="A8" s="1363" t="s">
        <v>1455</v>
      </c>
      <c r="B8" s="1364">
        <v>11923</v>
      </c>
      <c r="C8" s="1364">
        <v>14762</v>
      </c>
      <c r="D8" s="1364">
        <f t="shared" si="0"/>
        <v>26685</v>
      </c>
      <c r="E8" s="1365">
        <f t="shared" si="1"/>
        <v>1.2381112136207331</v>
      </c>
    </row>
    <row r="9" spans="1:12">
      <c r="A9" s="1363" t="s">
        <v>1456</v>
      </c>
      <c r="B9" s="1364">
        <v>9767</v>
      </c>
      <c r="C9" s="1364">
        <v>10179</v>
      </c>
      <c r="D9" s="1364">
        <f t="shared" si="0"/>
        <v>19946</v>
      </c>
      <c r="E9" s="1365">
        <f t="shared" si="1"/>
        <v>1.04218286065322</v>
      </c>
    </row>
    <row r="10" spans="1:12">
      <c r="A10" s="1363" t="s">
        <v>1457</v>
      </c>
      <c r="B10" s="1364">
        <v>12826</v>
      </c>
      <c r="C10" s="1364">
        <v>16746</v>
      </c>
      <c r="D10" s="1364">
        <f t="shared" si="0"/>
        <v>29572</v>
      </c>
      <c r="E10" s="1365">
        <f t="shared" si="1"/>
        <v>1.3056291907063777</v>
      </c>
    </row>
    <row r="11" spans="1:12">
      <c r="A11" s="1363" t="s">
        <v>1458</v>
      </c>
      <c r="B11" s="1364">
        <v>10244</v>
      </c>
      <c r="C11" s="1364">
        <v>12226</v>
      </c>
      <c r="D11" s="1364">
        <f t="shared" si="0"/>
        <v>22470</v>
      </c>
      <c r="E11" s="1365">
        <f t="shared" si="1"/>
        <v>1.1934791097227646</v>
      </c>
    </row>
    <row r="12" spans="1:12">
      <c r="A12" s="1363" t="s">
        <v>1459</v>
      </c>
      <c r="B12" s="1364">
        <v>12818</v>
      </c>
      <c r="C12" s="1364">
        <v>17366</v>
      </c>
      <c r="D12" s="1364">
        <f t="shared" si="0"/>
        <v>30184</v>
      </c>
      <c r="E12" s="1365">
        <f t="shared" si="1"/>
        <v>1.354813543454517</v>
      </c>
    </row>
    <row r="13" spans="1:12">
      <c r="A13" s="1366" t="s">
        <v>23</v>
      </c>
      <c r="B13" s="1367">
        <f>SUM(B4:B12)</f>
        <v>211584</v>
      </c>
      <c r="C13" s="1367">
        <f>SUM(C4:C12)</f>
        <v>255555</v>
      </c>
      <c r="D13" s="1367">
        <f>SUM(D4:D12)</f>
        <v>467139</v>
      </c>
      <c r="E13" s="1368"/>
    </row>
  </sheetData>
  <mergeCells count="1">
    <mergeCell ref="A1:L1"/>
  </mergeCells>
  <pageMargins left="0.7" right="0.7" top="0.75" bottom="0.75" header="0.3" footer="0.3"/>
  <pageSetup scale="8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view="pageBreakPreview" zoomScaleNormal="100" zoomScaleSheetLayoutView="100" workbookViewId="0">
      <selection activeCell="D38" sqref="D38"/>
    </sheetView>
  </sheetViews>
  <sheetFormatPr baseColWidth="10" defaultColWidth="11.42578125" defaultRowHeight="15"/>
  <cols>
    <col min="1" max="1" width="15.28515625" style="1297" bestFit="1" customWidth="1"/>
    <col min="2" max="2" width="12" style="1297" customWidth="1"/>
    <col min="3" max="4" width="14" style="1297" customWidth="1"/>
    <col min="5" max="5" width="14.5703125" style="1297" customWidth="1"/>
    <col min="6" max="16384" width="11.42578125" style="1297"/>
  </cols>
  <sheetData>
    <row r="1" spans="1:12" ht="68.25" customHeight="1">
      <c r="A1" s="2369" t="s">
        <v>1610</v>
      </c>
      <c r="B1" s="2370"/>
      <c r="C1" s="2370"/>
      <c r="D1" s="2370"/>
      <c r="E1" s="2370"/>
      <c r="F1" s="2370"/>
      <c r="G1" s="2370"/>
      <c r="H1" s="2370"/>
      <c r="I1" s="2370"/>
      <c r="J1" s="2370"/>
      <c r="K1" s="2370"/>
      <c r="L1" s="2370"/>
    </row>
    <row r="2" spans="1:12" ht="2.25" customHeight="1"/>
    <row r="3" spans="1:12" ht="30">
      <c r="A3" s="1369" t="s">
        <v>1024</v>
      </c>
      <c r="B3" s="1369" t="s">
        <v>1448</v>
      </c>
      <c r="C3" s="1369" t="s">
        <v>1449</v>
      </c>
      <c r="D3" s="1369" t="s">
        <v>167</v>
      </c>
      <c r="E3" s="1370" t="s">
        <v>1450</v>
      </c>
    </row>
    <row r="4" spans="1:12">
      <c r="A4" s="1371" t="s">
        <v>1451</v>
      </c>
      <c r="B4" s="1372">
        <v>111786</v>
      </c>
      <c r="C4" s="1372">
        <v>131167</v>
      </c>
      <c r="D4" s="1372">
        <f>+C4+B4</f>
        <v>242953</v>
      </c>
      <c r="E4" s="1373">
        <f>+C4/B4</f>
        <v>1.1733759146941478</v>
      </c>
    </row>
    <row r="5" spans="1:12">
      <c r="A5" s="1371" t="s">
        <v>1452</v>
      </c>
      <c r="B5" s="1372">
        <v>11107</v>
      </c>
      <c r="C5" s="1372">
        <v>14615</v>
      </c>
      <c r="D5" s="1372">
        <f t="shared" ref="D5:D12" si="0">+C5+B5</f>
        <v>25722</v>
      </c>
      <c r="E5" s="1373">
        <f t="shared" ref="E5:E12" si="1">+C5/B5</f>
        <v>1.3158368596380661</v>
      </c>
    </row>
    <row r="6" spans="1:12">
      <c r="A6" s="1371" t="s">
        <v>1453</v>
      </c>
      <c r="B6" s="1372">
        <v>16189</v>
      </c>
      <c r="C6" s="1372">
        <v>18058</v>
      </c>
      <c r="D6" s="1372">
        <f t="shared" si="0"/>
        <v>34247</v>
      </c>
      <c r="E6" s="1373">
        <f t="shared" si="1"/>
        <v>1.1154487615047255</v>
      </c>
    </row>
    <row r="7" spans="1:12">
      <c r="A7" s="1371" t="s">
        <v>1454</v>
      </c>
      <c r="B7" s="1372">
        <v>14924</v>
      </c>
      <c r="C7" s="1372">
        <v>20436</v>
      </c>
      <c r="D7" s="1372">
        <f t="shared" si="0"/>
        <v>35360</v>
      </c>
      <c r="E7" s="1373">
        <f t="shared" si="1"/>
        <v>1.3693379790940767</v>
      </c>
    </row>
    <row r="8" spans="1:12">
      <c r="A8" s="1371" t="s">
        <v>1455</v>
      </c>
      <c r="B8" s="1372">
        <v>11923</v>
      </c>
      <c r="C8" s="1372">
        <v>14762</v>
      </c>
      <c r="D8" s="1372">
        <f t="shared" si="0"/>
        <v>26685</v>
      </c>
      <c r="E8" s="1373">
        <f t="shared" si="1"/>
        <v>1.2381112136207331</v>
      </c>
    </row>
    <row r="9" spans="1:12">
      <c r="A9" s="1371" t="s">
        <v>1456</v>
      </c>
      <c r="B9" s="1372">
        <v>9767</v>
      </c>
      <c r="C9" s="1372">
        <v>10179</v>
      </c>
      <c r="D9" s="1372">
        <f t="shared" si="0"/>
        <v>19946</v>
      </c>
      <c r="E9" s="1373">
        <f t="shared" si="1"/>
        <v>1.04218286065322</v>
      </c>
    </row>
    <row r="10" spans="1:12">
      <c r="A10" s="1371" t="s">
        <v>1457</v>
      </c>
      <c r="B10" s="1372">
        <v>12826</v>
      </c>
      <c r="C10" s="1372">
        <v>16746</v>
      </c>
      <c r="D10" s="1372">
        <f t="shared" si="0"/>
        <v>29572</v>
      </c>
      <c r="E10" s="1373">
        <f t="shared" si="1"/>
        <v>1.3056291907063777</v>
      </c>
    </row>
    <row r="11" spans="1:12">
      <c r="A11" s="1371" t="s">
        <v>1458</v>
      </c>
      <c r="B11" s="1372">
        <v>10244</v>
      </c>
      <c r="C11" s="1372">
        <v>12226</v>
      </c>
      <c r="D11" s="1372">
        <f t="shared" si="0"/>
        <v>22470</v>
      </c>
      <c r="E11" s="1373">
        <f t="shared" si="1"/>
        <v>1.1934791097227646</v>
      </c>
    </row>
    <row r="12" spans="1:12">
      <c r="A12" s="1371" t="s">
        <v>1459</v>
      </c>
      <c r="B12" s="1372">
        <v>12818</v>
      </c>
      <c r="C12" s="1372">
        <v>17366</v>
      </c>
      <c r="D12" s="1372">
        <f t="shared" si="0"/>
        <v>30184</v>
      </c>
      <c r="E12" s="1373">
        <f t="shared" si="1"/>
        <v>1.354813543454517</v>
      </c>
    </row>
    <row r="13" spans="1:12">
      <c r="A13" s="1374" t="s">
        <v>23</v>
      </c>
      <c r="B13" s="1375">
        <f>SUM(B4:B12)</f>
        <v>211584</v>
      </c>
      <c r="C13" s="1375">
        <f>SUM(C4:C12)</f>
        <v>255555</v>
      </c>
      <c r="D13" s="1375">
        <f>SUM(D4:D12)</f>
        <v>467139</v>
      </c>
      <c r="E13" s="1376"/>
    </row>
  </sheetData>
  <mergeCells count="1">
    <mergeCell ref="A1:L1"/>
  </mergeCells>
  <pageMargins left="0.7" right="0.7" top="0.75" bottom="0.75" header="0.3" footer="0.3"/>
  <pageSetup scale="8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view="pageBreakPreview" zoomScaleNormal="100" zoomScaleSheetLayoutView="100" workbookViewId="0">
      <selection activeCell="E44" sqref="E44"/>
    </sheetView>
  </sheetViews>
  <sheetFormatPr baseColWidth="10" defaultColWidth="11.42578125" defaultRowHeight="15"/>
  <cols>
    <col min="1" max="1" width="15.28515625" style="1297" bestFit="1" customWidth="1"/>
    <col min="2" max="2" width="12" style="1297" customWidth="1"/>
    <col min="3" max="4" width="14" style="1297" customWidth="1"/>
    <col min="5" max="5" width="14.5703125" style="1297" customWidth="1"/>
    <col min="6" max="6" width="11.42578125" style="1297"/>
    <col min="7" max="7" width="14.28515625" style="1297" customWidth="1"/>
    <col min="8" max="16384" width="11.42578125" style="1297"/>
  </cols>
  <sheetData>
    <row r="1" spans="1:12" ht="66" customHeight="1">
      <c r="A1" s="2369" t="s">
        <v>1611</v>
      </c>
      <c r="B1" s="2370"/>
      <c r="C1" s="2370"/>
      <c r="D1" s="2370"/>
      <c r="E1" s="2370"/>
      <c r="F1" s="2370"/>
      <c r="G1" s="2370"/>
      <c r="H1" s="2370"/>
      <c r="I1" s="2370"/>
      <c r="J1" s="2370"/>
      <c r="K1" s="2370"/>
      <c r="L1" s="2370"/>
    </row>
    <row r="2" spans="1:12" ht="4.5" customHeight="1"/>
    <row r="3" spans="1:12" ht="30">
      <c r="A3" s="1369" t="s">
        <v>1024</v>
      </c>
      <c r="B3" s="1370" t="s">
        <v>1460</v>
      </c>
      <c r="C3" s="1370" t="s">
        <v>1461</v>
      </c>
      <c r="D3" s="1370" t="s">
        <v>1462</v>
      </c>
      <c r="E3" s="1370" t="s">
        <v>1463</v>
      </c>
      <c r="F3" s="1370" t="s">
        <v>1464</v>
      </c>
      <c r="G3" s="1370" t="s">
        <v>1465</v>
      </c>
      <c r="H3" s="1370" t="s">
        <v>1466</v>
      </c>
    </row>
    <row r="4" spans="1:12">
      <c r="A4" s="1371" t="s">
        <v>1451</v>
      </c>
      <c r="B4" s="1372">
        <v>58432</v>
      </c>
      <c r="C4" s="1372">
        <v>53354</v>
      </c>
      <c r="D4" s="1372">
        <v>70904</v>
      </c>
      <c r="E4" s="1373">
        <v>60263</v>
      </c>
      <c r="F4" s="1372">
        <f>+B4+C4</f>
        <v>111786</v>
      </c>
      <c r="G4" s="1372">
        <f>+D4+E4</f>
        <v>131167</v>
      </c>
      <c r="H4" s="1372">
        <f>+G4+F4</f>
        <v>242953</v>
      </c>
    </row>
    <row r="5" spans="1:12">
      <c r="A5" s="1371" t="s">
        <v>1452</v>
      </c>
      <c r="B5" s="1372">
        <v>5882</v>
      </c>
      <c r="C5" s="1372">
        <v>5225</v>
      </c>
      <c r="D5" s="1372">
        <v>7727</v>
      </c>
      <c r="E5" s="1373">
        <v>6888</v>
      </c>
      <c r="F5" s="1372">
        <f t="shared" ref="F5:F12" si="0">+B5+C5</f>
        <v>11107</v>
      </c>
      <c r="G5" s="1372">
        <f t="shared" ref="G5:G12" si="1">+D5+E5</f>
        <v>14615</v>
      </c>
      <c r="H5" s="1372">
        <f t="shared" ref="H5:H12" si="2">+G5+F5</f>
        <v>25722</v>
      </c>
    </row>
    <row r="6" spans="1:12">
      <c r="A6" s="1371" t="s">
        <v>1453</v>
      </c>
      <c r="B6" s="1372">
        <v>8698</v>
      </c>
      <c r="C6" s="1372">
        <v>7491</v>
      </c>
      <c r="D6" s="1372">
        <v>9432</v>
      </c>
      <c r="E6" s="1373">
        <v>8626</v>
      </c>
      <c r="F6" s="1372">
        <f t="shared" si="0"/>
        <v>16189</v>
      </c>
      <c r="G6" s="1372">
        <f t="shared" si="1"/>
        <v>18058</v>
      </c>
      <c r="H6" s="1372">
        <f t="shared" si="2"/>
        <v>34247</v>
      </c>
    </row>
    <row r="7" spans="1:12">
      <c r="A7" s="1371" t="s">
        <v>1454</v>
      </c>
      <c r="B7" s="1372">
        <v>8039</v>
      </c>
      <c r="C7" s="1372">
        <v>6885</v>
      </c>
      <c r="D7" s="1372">
        <v>10429</v>
      </c>
      <c r="E7" s="1373">
        <v>10007</v>
      </c>
      <c r="F7" s="1372">
        <f t="shared" si="0"/>
        <v>14924</v>
      </c>
      <c r="G7" s="1372">
        <f t="shared" si="1"/>
        <v>20436</v>
      </c>
      <c r="H7" s="1372">
        <f t="shared" si="2"/>
        <v>35360</v>
      </c>
    </row>
    <row r="8" spans="1:12">
      <c r="A8" s="1371" t="s">
        <v>1455</v>
      </c>
      <c r="B8" s="1372">
        <v>5657</v>
      </c>
      <c r="C8" s="1372">
        <v>6266</v>
      </c>
      <c r="D8" s="1372">
        <v>8064</v>
      </c>
      <c r="E8" s="1373">
        <v>6698</v>
      </c>
      <c r="F8" s="1372">
        <f t="shared" si="0"/>
        <v>11923</v>
      </c>
      <c r="G8" s="1372">
        <f t="shared" si="1"/>
        <v>14762</v>
      </c>
      <c r="H8" s="1372">
        <f t="shared" si="2"/>
        <v>26685</v>
      </c>
    </row>
    <row r="9" spans="1:12">
      <c r="A9" s="1371" t="s">
        <v>1456</v>
      </c>
      <c r="B9" s="1372">
        <v>5401</v>
      </c>
      <c r="C9" s="1372">
        <v>4366</v>
      </c>
      <c r="D9" s="1372">
        <v>5363</v>
      </c>
      <c r="E9" s="1373">
        <v>4816</v>
      </c>
      <c r="F9" s="1372">
        <f t="shared" si="0"/>
        <v>9767</v>
      </c>
      <c r="G9" s="1372">
        <f t="shared" si="1"/>
        <v>10179</v>
      </c>
      <c r="H9" s="1372">
        <f t="shared" si="2"/>
        <v>19946</v>
      </c>
      <c r="J9" s="1377"/>
    </row>
    <row r="10" spans="1:12">
      <c r="A10" s="1371" t="s">
        <v>1457</v>
      </c>
      <c r="B10" s="1372">
        <v>6166</v>
      </c>
      <c r="C10" s="1372">
        <v>6660</v>
      </c>
      <c r="D10" s="1372">
        <v>8967</v>
      </c>
      <c r="E10" s="1373">
        <v>7779</v>
      </c>
      <c r="F10" s="1372">
        <f t="shared" si="0"/>
        <v>12826</v>
      </c>
      <c r="G10" s="1372">
        <f t="shared" si="1"/>
        <v>16746</v>
      </c>
      <c r="H10" s="1372">
        <f t="shared" si="2"/>
        <v>29572</v>
      </c>
    </row>
    <row r="11" spans="1:12">
      <c r="A11" s="1371" t="s">
        <v>1458</v>
      </c>
      <c r="B11" s="1372">
        <v>4886</v>
      </c>
      <c r="C11" s="1372">
        <v>5358</v>
      </c>
      <c r="D11" s="1372">
        <v>6625</v>
      </c>
      <c r="E11" s="1373">
        <v>5601</v>
      </c>
      <c r="F11" s="1372">
        <f t="shared" si="0"/>
        <v>10244</v>
      </c>
      <c r="G11" s="1372">
        <f t="shared" si="1"/>
        <v>12226</v>
      </c>
      <c r="H11" s="1372">
        <f t="shared" si="2"/>
        <v>22470</v>
      </c>
    </row>
    <row r="12" spans="1:12">
      <c r="A12" s="1371" t="s">
        <v>1459</v>
      </c>
      <c r="B12" s="1372">
        <v>6722</v>
      </c>
      <c r="C12" s="1372">
        <v>6096</v>
      </c>
      <c r="D12" s="1372">
        <v>9055</v>
      </c>
      <c r="E12" s="1373">
        <v>8311</v>
      </c>
      <c r="F12" s="1372">
        <f t="shared" si="0"/>
        <v>12818</v>
      </c>
      <c r="G12" s="1372">
        <f t="shared" si="1"/>
        <v>17366</v>
      </c>
      <c r="H12" s="1372">
        <f t="shared" si="2"/>
        <v>30184</v>
      </c>
    </row>
    <row r="13" spans="1:12">
      <c r="A13" s="1374" t="s">
        <v>23</v>
      </c>
      <c r="B13" s="1375">
        <f t="shared" ref="B13:H13" si="3">SUM(B4:B12)</f>
        <v>109883</v>
      </c>
      <c r="C13" s="1375">
        <f t="shared" si="3"/>
        <v>101701</v>
      </c>
      <c r="D13" s="1375">
        <f t="shared" si="3"/>
        <v>136566</v>
      </c>
      <c r="E13" s="1375">
        <f t="shared" si="3"/>
        <v>118989</v>
      </c>
      <c r="F13" s="1375">
        <f t="shared" si="3"/>
        <v>211584</v>
      </c>
      <c r="G13" s="1375">
        <f t="shared" si="3"/>
        <v>255555</v>
      </c>
      <c r="H13" s="1375">
        <f t="shared" si="3"/>
        <v>467139</v>
      </c>
    </row>
    <row r="16" spans="1:12">
      <c r="A16" s="1378"/>
      <c r="B16" s="1378"/>
      <c r="C16" s="1378"/>
      <c r="D16" s="1378"/>
      <c r="E16" s="1378"/>
    </row>
  </sheetData>
  <mergeCells count="1">
    <mergeCell ref="A1:L1"/>
  </mergeCells>
  <pageMargins left="0.7" right="0.7" top="0.75" bottom="0.75" header="0.3" footer="0.3"/>
  <pageSetup scale="8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3"/>
  <sheetViews>
    <sheetView showGridLines="0" view="pageBreakPreview" zoomScaleNormal="100" zoomScaleSheetLayoutView="100" workbookViewId="0">
      <pane ySplit="1" topLeftCell="A2" activePane="bottomLeft" state="frozen"/>
      <selection pane="bottomLeft" activeCell="W5" sqref="W5"/>
    </sheetView>
  </sheetViews>
  <sheetFormatPr baseColWidth="10" defaultColWidth="11.42578125" defaultRowHeight="15"/>
  <cols>
    <col min="1" max="1" width="12.140625" style="1297" customWidth="1"/>
    <col min="2" max="2" width="6.42578125" style="1297" customWidth="1"/>
    <col min="3" max="4" width="6.5703125" style="1297" customWidth="1"/>
    <col min="5" max="5" width="7.28515625" style="1297" customWidth="1"/>
    <col min="6" max="8" width="6.85546875" style="1297" customWidth="1"/>
    <col min="9" max="9" width="7.28515625" style="1297" customWidth="1"/>
    <col min="10" max="11" width="6.85546875" style="1297" customWidth="1"/>
    <col min="12" max="12" width="7.7109375" style="1297" customWidth="1"/>
    <col min="13" max="14" width="7.28515625" style="1297" customWidth="1"/>
    <col min="15" max="15" width="6.85546875" style="1297" customWidth="1"/>
    <col min="16" max="16" width="7.28515625" style="1297" customWidth="1"/>
    <col min="17" max="17" width="7.28515625" style="1297" bestFit="1" customWidth="1"/>
    <col min="18" max="18" width="6.85546875" style="1297" bestFit="1" customWidth="1"/>
    <col min="19" max="19" width="6.85546875" style="1297" customWidth="1"/>
    <col min="20" max="20" width="8.5703125" style="1297" bestFit="1" customWidth="1"/>
    <col min="21" max="16384" width="11.42578125" style="1297"/>
  </cols>
  <sheetData>
    <row r="1" spans="1:21" ht="51" customHeight="1">
      <c r="A1" s="2371" t="s">
        <v>1614</v>
      </c>
      <c r="B1" s="2372"/>
      <c r="C1" s="2372"/>
      <c r="D1" s="2372"/>
      <c r="E1" s="2372"/>
      <c r="F1" s="2372"/>
      <c r="G1" s="2372"/>
      <c r="H1" s="2372"/>
      <c r="I1" s="2372"/>
      <c r="J1" s="2372"/>
      <c r="K1" s="2372"/>
      <c r="L1" s="2372"/>
      <c r="M1" s="2372"/>
      <c r="N1" s="2372"/>
      <c r="O1" s="2372"/>
      <c r="P1" s="2372"/>
      <c r="Q1" s="2372"/>
      <c r="R1" s="2372"/>
      <c r="S1" s="2372"/>
      <c r="T1" s="2372"/>
      <c r="U1" s="2372"/>
    </row>
    <row r="2" spans="1:21" ht="3" customHeight="1"/>
    <row r="3" spans="1:21">
      <c r="A3" s="1379" t="s">
        <v>1024</v>
      </c>
      <c r="B3" s="1380" t="s">
        <v>1467</v>
      </c>
      <c r="C3" s="1380" t="s">
        <v>1468</v>
      </c>
      <c r="D3" s="1380" t="s">
        <v>1469</v>
      </c>
      <c r="E3" s="1380" t="s">
        <v>1470</v>
      </c>
      <c r="F3" s="1380" t="s">
        <v>1471</v>
      </c>
      <c r="G3" s="1380" t="s">
        <v>1472</v>
      </c>
      <c r="H3" s="1380" t="s">
        <v>1473</v>
      </c>
      <c r="I3" s="1380" t="s">
        <v>1474</v>
      </c>
      <c r="J3" s="1380" t="s">
        <v>1475</v>
      </c>
      <c r="K3" s="1380" t="s">
        <v>1476</v>
      </c>
      <c r="L3" s="1380" t="s">
        <v>1477</v>
      </c>
      <c r="M3" s="1380" t="s">
        <v>1478</v>
      </c>
      <c r="N3" s="1380" t="s">
        <v>1479</v>
      </c>
      <c r="O3" s="1380" t="s">
        <v>1480</v>
      </c>
      <c r="P3" s="1380" t="s">
        <v>1481</v>
      </c>
      <c r="Q3" s="1380" t="s">
        <v>1482</v>
      </c>
      <c r="R3" s="1380" t="s">
        <v>1483</v>
      </c>
      <c r="S3" s="1380" t="s">
        <v>1484</v>
      </c>
      <c r="T3" s="1380" t="s">
        <v>1485</v>
      </c>
      <c r="U3" s="1381" t="s">
        <v>23</v>
      </c>
    </row>
    <row r="4" spans="1:21">
      <c r="A4" s="1371" t="s">
        <v>1451</v>
      </c>
      <c r="B4" s="1372">
        <v>4035</v>
      </c>
      <c r="C4" s="1382">
        <v>10410</v>
      </c>
      <c r="D4" s="1382">
        <v>18331</v>
      </c>
      <c r="E4" s="1382">
        <v>24833</v>
      </c>
      <c r="F4" s="1382">
        <v>19602</v>
      </c>
      <c r="G4" s="1382">
        <v>13605</v>
      </c>
      <c r="H4" s="1382">
        <v>14528</v>
      </c>
      <c r="I4" s="1382">
        <v>16817</v>
      </c>
      <c r="J4" s="1382">
        <v>17226</v>
      </c>
      <c r="K4" s="1382">
        <v>18672</v>
      </c>
      <c r="L4" s="1382">
        <v>19871</v>
      </c>
      <c r="M4" s="1382">
        <v>18735</v>
      </c>
      <c r="N4" s="1382">
        <v>15573</v>
      </c>
      <c r="O4" s="1382">
        <v>11458</v>
      </c>
      <c r="P4" s="1382">
        <v>7401</v>
      </c>
      <c r="Q4" s="1382">
        <v>4948</v>
      </c>
      <c r="R4" s="1382">
        <v>3307</v>
      </c>
      <c r="S4" s="1382">
        <v>2087</v>
      </c>
      <c r="T4" s="1382">
        <v>1514</v>
      </c>
      <c r="U4" s="1383">
        <f>SUM(B4:T4)</f>
        <v>242953</v>
      </c>
    </row>
    <row r="5" spans="1:21">
      <c r="A5" s="1371" t="s">
        <v>1452</v>
      </c>
      <c r="B5" s="1382">
        <v>393</v>
      </c>
      <c r="C5" s="1382">
        <v>1045</v>
      </c>
      <c r="D5" s="1382">
        <v>1977</v>
      </c>
      <c r="E5" s="1382">
        <v>2916</v>
      </c>
      <c r="F5" s="1382">
        <v>2385</v>
      </c>
      <c r="G5" s="1382">
        <v>1302</v>
      </c>
      <c r="H5" s="1382">
        <v>1192</v>
      </c>
      <c r="I5" s="1382">
        <v>1650</v>
      </c>
      <c r="J5" s="1382">
        <v>1815</v>
      </c>
      <c r="K5" s="1382">
        <v>2043</v>
      </c>
      <c r="L5" s="1382">
        <v>2211</v>
      </c>
      <c r="M5" s="1382">
        <v>2019</v>
      </c>
      <c r="N5" s="1382">
        <v>1654</v>
      </c>
      <c r="O5" s="1382">
        <v>1170</v>
      </c>
      <c r="P5" s="1382">
        <v>766</v>
      </c>
      <c r="Q5" s="1382">
        <v>536</v>
      </c>
      <c r="R5" s="1382">
        <v>316</v>
      </c>
      <c r="S5" s="1382">
        <v>189</v>
      </c>
      <c r="T5" s="1382">
        <v>143</v>
      </c>
      <c r="U5" s="1383">
        <f t="shared" ref="U5:U12" si="0">SUM(B5:T5)</f>
        <v>25722</v>
      </c>
    </row>
    <row r="6" spans="1:21">
      <c r="A6" s="1371" t="s">
        <v>1453</v>
      </c>
      <c r="B6" s="1382">
        <v>485</v>
      </c>
      <c r="C6" s="1382">
        <v>1195</v>
      </c>
      <c r="D6" s="1382">
        <v>2251</v>
      </c>
      <c r="E6" s="1382">
        <v>3354</v>
      </c>
      <c r="F6" s="1382">
        <v>2836</v>
      </c>
      <c r="G6" s="1382">
        <v>1939</v>
      </c>
      <c r="H6" s="1382">
        <v>1750</v>
      </c>
      <c r="I6" s="1382">
        <v>2179</v>
      </c>
      <c r="J6" s="1382">
        <v>2340</v>
      </c>
      <c r="K6" s="1382">
        <v>2717</v>
      </c>
      <c r="L6" s="1382">
        <v>3108</v>
      </c>
      <c r="M6" s="1382">
        <v>2752</v>
      </c>
      <c r="N6" s="1382">
        <v>2324</v>
      </c>
      <c r="O6" s="1382">
        <v>1690</v>
      </c>
      <c r="P6" s="1382">
        <v>1217</v>
      </c>
      <c r="Q6" s="1382">
        <v>916</v>
      </c>
      <c r="R6" s="1382">
        <v>561</v>
      </c>
      <c r="S6" s="1382">
        <v>351</v>
      </c>
      <c r="T6" s="1382">
        <v>281</v>
      </c>
      <c r="U6" s="1383">
        <f t="shared" si="0"/>
        <v>34246</v>
      </c>
    </row>
    <row r="7" spans="1:21">
      <c r="A7" s="1371" t="s">
        <v>1454</v>
      </c>
      <c r="B7" s="1382">
        <v>574</v>
      </c>
      <c r="C7" s="1382">
        <v>1439</v>
      </c>
      <c r="D7" s="1382">
        <v>2614</v>
      </c>
      <c r="E7" s="1382">
        <v>3647</v>
      </c>
      <c r="F7" s="1382">
        <v>3123</v>
      </c>
      <c r="G7" s="1382">
        <v>1962</v>
      </c>
      <c r="H7" s="1382">
        <v>1821</v>
      </c>
      <c r="I7" s="1382">
        <v>2303</v>
      </c>
      <c r="J7" s="1382">
        <v>2573</v>
      </c>
      <c r="K7" s="1382">
        <v>2724</v>
      </c>
      <c r="L7" s="1382">
        <v>2857</v>
      </c>
      <c r="M7" s="1382">
        <v>2718</v>
      </c>
      <c r="N7" s="1382">
        <v>2303</v>
      </c>
      <c r="O7" s="1382">
        <v>1696</v>
      </c>
      <c r="P7" s="1382">
        <v>1135</v>
      </c>
      <c r="Q7" s="1382">
        <v>779</v>
      </c>
      <c r="R7" s="1382">
        <v>564</v>
      </c>
      <c r="S7" s="1382">
        <v>325</v>
      </c>
      <c r="T7" s="1382">
        <v>203</v>
      </c>
      <c r="U7" s="1383">
        <f t="shared" si="0"/>
        <v>35360</v>
      </c>
    </row>
    <row r="8" spans="1:21">
      <c r="A8" s="1371" t="s">
        <v>1455</v>
      </c>
      <c r="B8" s="1382">
        <v>550</v>
      </c>
      <c r="C8" s="1382">
        <v>1366</v>
      </c>
      <c r="D8" s="1382">
        <v>2388</v>
      </c>
      <c r="E8" s="1382">
        <v>3570</v>
      </c>
      <c r="F8" s="1382">
        <v>2707</v>
      </c>
      <c r="G8" s="1382">
        <v>1207</v>
      </c>
      <c r="H8" s="1382">
        <v>1377</v>
      </c>
      <c r="I8" s="1382">
        <v>1834</v>
      </c>
      <c r="J8" s="1382">
        <v>1824</v>
      </c>
      <c r="K8" s="1382">
        <v>1987</v>
      </c>
      <c r="L8" s="1382">
        <v>2035</v>
      </c>
      <c r="M8" s="1382">
        <v>1872</v>
      </c>
      <c r="N8" s="1382">
        <v>1459</v>
      </c>
      <c r="O8" s="1382">
        <v>974</v>
      </c>
      <c r="P8" s="1382">
        <v>669</v>
      </c>
      <c r="Q8" s="1382">
        <v>446</v>
      </c>
      <c r="R8" s="1382">
        <v>239</v>
      </c>
      <c r="S8" s="1382">
        <v>111</v>
      </c>
      <c r="T8" s="1382">
        <v>70</v>
      </c>
      <c r="U8" s="1383">
        <f t="shared" si="0"/>
        <v>26685</v>
      </c>
    </row>
    <row r="9" spans="1:21">
      <c r="A9" s="1371" t="s">
        <v>1456</v>
      </c>
      <c r="B9" s="1382">
        <v>250</v>
      </c>
      <c r="C9" s="1382">
        <v>670</v>
      </c>
      <c r="D9" s="1382">
        <v>1426</v>
      </c>
      <c r="E9" s="1382">
        <v>2143</v>
      </c>
      <c r="F9" s="1382">
        <v>1784</v>
      </c>
      <c r="G9" s="1382">
        <v>945</v>
      </c>
      <c r="H9" s="1382">
        <v>877</v>
      </c>
      <c r="I9" s="1382">
        <v>1165</v>
      </c>
      <c r="J9" s="1382">
        <v>1357</v>
      </c>
      <c r="K9" s="1382">
        <v>1623</v>
      </c>
      <c r="L9" s="1382">
        <v>1750</v>
      </c>
      <c r="M9" s="1382">
        <v>1826</v>
      </c>
      <c r="N9" s="1382">
        <v>1468</v>
      </c>
      <c r="O9" s="1382">
        <v>982</v>
      </c>
      <c r="P9" s="1382">
        <v>626</v>
      </c>
      <c r="Q9" s="1382">
        <v>458</v>
      </c>
      <c r="R9" s="1382">
        <v>311</v>
      </c>
      <c r="S9" s="1382">
        <v>160</v>
      </c>
      <c r="T9" s="1382">
        <v>125</v>
      </c>
      <c r="U9" s="1383">
        <f t="shared" si="0"/>
        <v>19946</v>
      </c>
    </row>
    <row r="10" spans="1:21">
      <c r="A10" s="1371" t="s">
        <v>1457</v>
      </c>
      <c r="B10" s="1382">
        <v>530</v>
      </c>
      <c r="C10" s="1382">
        <v>1373</v>
      </c>
      <c r="D10" s="1382">
        <v>2483</v>
      </c>
      <c r="E10" s="1382">
        <v>3363</v>
      </c>
      <c r="F10" s="1382">
        <v>2768</v>
      </c>
      <c r="G10" s="1382">
        <v>1583</v>
      </c>
      <c r="H10" s="1382">
        <v>1368</v>
      </c>
      <c r="I10" s="1382">
        <v>1904</v>
      </c>
      <c r="J10" s="1382">
        <v>2140</v>
      </c>
      <c r="K10" s="1382">
        <v>2237</v>
      </c>
      <c r="L10" s="1382">
        <v>2417</v>
      </c>
      <c r="M10" s="1382">
        <v>2145</v>
      </c>
      <c r="N10" s="1382">
        <v>1853</v>
      </c>
      <c r="O10" s="1382">
        <v>1244</v>
      </c>
      <c r="P10" s="1382">
        <v>866</v>
      </c>
      <c r="Q10" s="1382">
        <v>608</v>
      </c>
      <c r="R10" s="1382">
        <v>368</v>
      </c>
      <c r="S10" s="1382">
        <v>205</v>
      </c>
      <c r="T10" s="1382">
        <v>117</v>
      </c>
      <c r="U10" s="1383">
        <f t="shared" si="0"/>
        <v>29572</v>
      </c>
    </row>
    <row r="11" spans="1:21">
      <c r="A11" s="1371" t="s">
        <v>1458</v>
      </c>
      <c r="B11" s="1382">
        <v>345</v>
      </c>
      <c r="C11" s="1382">
        <v>797</v>
      </c>
      <c r="D11" s="1382">
        <v>1558</v>
      </c>
      <c r="E11" s="1382">
        <v>2393</v>
      </c>
      <c r="F11" s="1382">
        <v>1952</v>
      </c>
      <c r="G11" s="1382">
        <v>1071</v>
      </c>
      <c r="H11" s="1382">
        <v>1032</v>
      </c>
      <c r="I11" s="1382">
        <v>1440</v>
      </c>
      <c r="J11" s="1382">
        <v>1616</v>
      </c>
      <c r="K11" s="1382">
        <v>1934</v>
      </c>
      <c r="L11" s="1382">
        <v>1890</v>
      </c>
      <c r="M11" s="1382">
        <v>1882</v>
      </c>
      <c r="N11" s="1382">
        <v>1443</v>
      </c>
      <c r="O11" s="1382">
        <v>1111</v>
      </c>
      <c r="P11" s="1382">
        <v>791</v>
      </c>
      <c r="Q11" s="1382">
        <v>537</v>
      </c>
      <c r="R11" s="1382">
        <v>357</v>
      </c>
      <c r="S11" s="1382">
        <v>199</v>
      </c>
      <c r="T11" s="1382">
        <v>122</v>
      </c>
      <c r="U11" s="1383">
        <f t="shared" si="0"/>
        <v>22470</v>
      </c>
    </row>
    <row r="12" spans="1:21">
      <c r="A12" s="1371" t="s">
        <v>1459</v>
      </c>
      <c r="B12" s="1382">
        <v>485</v>
      </c>
      <c r="C12" s="1382">
        <v>1170</v>
      </c>
      <c r="D12" s="1382">
        <v>2301</v>
      </c>
      <c r="E12" s="1382">
        <v>3273</v>
      </c>
      <c r="F12" s="1382">
        <v>2730</v>
      </c>
      <c r="G12" s="1382">
        <v>1742</v>
      </c>
      <c r="H12" s="1382">
        <v>1436</v>
      </c>
      <c r="I12" s="1382">
        <v>1880</v>
      </c>
      <c r="J12" s="1382">
        <v>2168</v>
      </c>
      <c r="K12" s="1382">
        <v>2380</v>
      </c>
      <c r="L12" s="1382">
        <v>2535</v>
      </c>
      <c r="M12" s="1382">
        <v>2289</v>
      </c>
      <c r="N12" s="1382">
        <v>1943</v>
      </c>
      <c r="O12" s="1382">
        <v>1311</v>
      </c>
      <c r="P12" s="1382">
        <v>942</v>
      </c>
      <c r="Q12" s="1382">
        <v>675</v>
      </c>
      <c r="R12" s="1382">
        <v>471</v>
      </c>
      <c r="S12" s="1382">
        <v>282</v>
      </c>
      <c r="T12" s="1382">
        <v>172</v>
      </c>
      <c r="U12" s="1383">
        <f t="shared" si="0"/>
        <v>30185</v>
      </c>
    </row>
    <row r="13" spans="1:21">
      <c r="A13" s="1384" t="s">
        <v>167</v>
      </c>
      <c r="B13" s="1385">
        <f>SUM(B4:B12)</f>
        <v>7647</v>
      </c>
      <c r="C13" s="1385">
        <f t="shared" ref="C13:U13" si="1">SUM(C4:C12)</f>
        <v>19465</v>
      </c>
      <c r="D13" s="1385">
        <f t="shared" si="1"/>
        <v>35329</v>
      </c>
      <c r="E13" s="1385">
        <f t="shared" si="1"/>
        <v>49492</v>
      </c>
      <c r="F13" s="1385">
        <f t="shared" si="1"/>
        <v>39887</v>
      </c>
      <c r="G13" s="1385">
        <f t="shared" si="1"/>
        <v>25356</v>
      </c>
      <c r="H13" s="1385">
        <f t="shared" si="1"/>
        <v>25381</v>
      </c>
      <c r="I13" s="1385">
        <f t="shared" si="1"/>
        <v>31172</v>
      </c>
      <c r="J13" s="1385">
        <f t="shared" si="1"/>
        <v>33059</v>
      </c>
      <c r="K13" s="1385">
        <f t="shared" si="1"/>
        <v>36317</v>
      </c>
      <c r="L13" s="1385">
        <f t="shared" si="1"/>
        <v>38674</v>
      </c>
      <c r="M13" s="1385">
        <f t="shared" si="1"/>
        <v>36238</v>
      </c>
      <c r="N13" s="1385">
        <f t="shared" si="1"/>
        <v>30020</v>
      </c>
      <c r="O13" s="1385">
        <f t="shared" si="1"/>
        <v>21636</v>
      </c>
      <c r="P13" s="1385">
        <f t="shared" si="1"/>
        <v>14413</v>
      </c>
      <c r="Q13" s="1385">
        <f t="shared" si="1"/>
        <v>9903</v>
      </c>
      <c r="R13" s="1385">
        <f t="shared" si="1"/>
        <v>6494</v>
      </c>
      <c r="S13" s="1385">
        <f t="shared" si="1"/>
        <v>3909</v>
      </c>
      <c r="T13" s="1385">
        <f t="shared" si="1"/>
        <v>2747</v>
      </c>
      <c r="U13" s="1386">
        <f t="shared" si="1"/>
        <v>467139</v>
      </c>
    </row>
  </sheetData>
  <mergeCells count="1">
    <mergeCell ref="A1:U1"/>
  </mergeCells>
  <pageMargins left="0.7" right="0.7" top="0.75" bottom="0.75" header="0.3" footer="0.3"/>
  <pageSetup scale="7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showGridLines="0" view="pageBreakPreview" zoomScale="85" zoomScaleNormal="85" zoomScaleSheetLayoutView="85" workbookViewId="0">
      <selection activeCell="J48" sqref="J48"/>
    </sheetView>
  </sheetViews>
  <sheetFormatPr baseColWidth="10" defaultColWidth="11.42578125" defaultRowHeight="15"/>
  <cols>
    <col min="1" max="1" width="33.140625" style="1297" customWidth="1"/>
    <col min="2" max="2" width="15.42578125" style="1297" customWidth="1"/>
    <col min="3" max="3" width="14.42578125" style="1297" customWidth="1"/>
    <col min="4" max="4" width="15.28515625" style="1297" customWidth="1"/>
    <col min="5" max="16384" width="11.42578125" style="1297"/>
  </cols>
  <sheetData>
    <row r="1" spans="1:15" ht="57.75" customHeight="1">
      <c r="A1" s="2373" t="s">
        <v>1612</v>
      </c>
      <c r="B1" s="2373"/>
      <c r="C1" s="2373"/>
      <c r="D1" s="2373"/>
      <c r="E1" s="2373"/>
      <c r="F1" s="2373"/>
      <c r="G1" s="2373"/>
      <c r="H1" s="2373"/>
      <c r="I1" s="2373"/>
      <c r="J1" s="2373"/>
      <c r="K1" s="2373"/>
      <c r="L1" s="2373"/>
      <c r="M1" s="2373"/>
      <c r="N1" s="2373"/>
      <c r="O1" s="2373"/>
    </row>
    <row r="2" spans="1:15" ht="3.75" customHeight="1"/>
    <row r="3" spans="1:15" ht="19.5" customHeight="1">
      <c r="A3" s="1387" t="s">
        <v>1347</v>
      </c>
      <c r="B3" s="1387" t="s">
        <v>1449</v>
      </c>
      <c r="C3" s="1387" t="s">
        <v>1448</v>
      </c>
      <c r="D3" s="1388" t="s">
        <v>1155</v>
      </c>
    </row>
    <row r="4" spans="1:15" ht="15.75">
      <c r="A4" s="1389" t="s">
        <v>1352</v>
      </c>
      <c r="B4" s="1390">
        <v>84533</v>
      </c>
      <c r="C4" s="1390">
        <v>74783</v>
      </c>
      <c r="D4" s="1391">
        <f t="shared" ref="D4:D36" si="0">+C4+B4</f>
        <v>159316</v>
      </c>
    </row>
    <row r="5" spans="1:15" ht="15.75">
      <c r="A5" s="1389" t="s">
        <v>1374</v>
      </c>
      <c r="B5" s="1390">
        <v>42115</v>
      </c>
      <c r="C5" s="1390">
        <v>32817</v>
      </c>
      <c r="D5" s="1391">
        <f t="shared" si="0"/>
        <v>74932</v>
      </c>
    </row>
    <row r="6" spans="1:15" ht="15.75">
      <c r="A6" s="1389" t="s">
        <v>1353</v>
      </c>
      <c r="B6" s="1390">
        <v>15698</v>
      </c>
      <c r="C6" s="1390">
        <v>10722</v>
      </c>
      <c r="D6" s="1391">
        <f t="shared" si="0"/>
        <v>26420</v>
      </c>
    </row>
    <row r="7" spans="1:15" ht="15.75">
      <c r="A7" s="1389" t="s">
        <v>1372</v>
      </c>
      <c r="B7" s="1390">
        <v>12409</v>
      </c>
      <c r="C7" s="1390">
        <v>10398</v>
      </c>
      <c r="D7" s="1391">
        <f t="shared" si="0"/>
        <v>22807</v>
      </c>
    </row>
    <row r="8" spans="1:15" ht="15.75">
      <c r="A8" s="1389" t="s">
        <v>1369</v>
      </c>
      <c r="B8" s="1390">
        <v>11983</v>
      </c>
      <c r="C8" s="1390">
        <v>8432</v>
      </c>
      <c r="D8" s="1391">
        <f t="shared" si="0"/>
        <v>20415</v>
      </c>
    </row>
    <row r="9" spans="1:15" ht="15.75">
      <c r="A9" s="1389" t="s">
        <v>1359</v>
      </c>
      <c r="B9" s="1390">
        <v>11821</v>
      </c>
      <c r="C9" s="1390">
        <v>8317</v>
      </c>
      <c r="D9" s="1391">
        <f t="shared" si="0"/>
        <v>20138</v>
      </c>
    </row>
    <row r="10" spans="1:15" ht="15.75">
      <c r="A10" s="1389" t="s">
        <v>1368</v>
      </c>
      <c r="B10" s="1390">
        <v>11429</v>
      </c>
      <c r="C10" s="1390">
        <v>8339</v>
      </c>
      <c r="D10" s="1391">
        <f t="shared" si="0"/>
        <v>19768</v>
      </c>
    </row>
    <row r="11" spans="1:15" ht="15.75">
      <c r="A11" s="1389" t="s">
        <v>1350</v>
      </c>
      <c r="B11" s="1390">
        <v>10296</v>
      </c>
      <c r="C11" s="1390">
        <v>7660</v>
      </c>
      <c r="D11" s="1391">
        <f t="shared" si="0"/>
        <v>17956</v>
      </c>
    </row>
    <row r="12" spans="1:15" ht="15.75">
      <c r="A12" s="1389" t="s">
        <v>1375</v>
      </c>
      <c r="B12" s="1390">
        <v>7518</v>
      </c>
      <c r="C12" s="1390">
        <v>5531</v>
      </c>
      <c r="D12" s="1391">
        <f t="shared" si="0"/>
        <v>13049</v>
      </c>
    </row>
    <row r="13" spans="1:15" ht="15.75">
      <c r="A13" s="1389" t="s">
        <v>1370</v>
      </c>
      <c r="B13" s="1390">
        <v>6250</v>
      </c>
      <c r="C13" s="1390">
        <v>5464</v>
      </c>
      <c r="D13" s="1391">
        <f t="shared" si="0"/>
        <v>11714</v>
      </c>
    </row>
    <row r="14" spans="1:15" ht="15.75">
      <c r="A14" s="1389" t="s">
        <v>1362</v>
      </c>
      <c r="B14" s="1390">
        <v>4519</v>
      </c>
      <c r="C14" s="1390">
        <v>4186</v>
      </c>
      <c r="D14" s="1391">
        <f t="shared" si="0"/>
        <v>8705</v>
      </c>
    </row>
    <row r="15" spans="1:15" ht="15.75">
      <c r="A15" s="1389" t="s">
        <v>1356</v>
      </c>
      <c r="B15" s="1390">
        <v>3744</v>
      </c>
      <c r="C15" s="1390">
        <v>3265</v>
      </c>
      <c r="D15" s="1391">
        <f t="shared" si="0"/>
        <v>7009</v>
      </c>
    </row>
    <row r="16" spans="1:15" ht="15.75">
      <c r="A16" s="1389" t="s">
        <v>1348</v>
      </c>
      <c r="B16" s="1390">
        <v>3624</v>
      </c>
      <c r="C16" s="1390">
        <v>3168</v>
      </c>
      <c r="D16" s="1391">
        <f t="shared" si="0"/>
        <v>6792</v>
      </c>
    </row>
    <row r="17" spans="1:4" ht="15.75">
      <c r="A17" s="1389" t="s">
        <v>1371</v>
      </c>
      <c r="B17" s="1390">
        <v>3265</v>
      </c>
      <c r="C17" s="1390">
        <v>2564</v>
      </c>
      <c r="D17" s="1391">
        <f t="shared" si="0"/>
        <v>5829</v>
      </c>
    </row>
    <row r="18" spans="1:4" ht="15.75">
      <c r="A18" s="1389" t="s">
        <v>1366</v>
      </c>
      <c r="B18" s="1390">
        <v>1905</v>
      </c>
      <c r="C18" s="1390">
        <v>2526</v>
      </c>
      <c r="D18" s="1391">
        <f t="shared" si="0"/>
        <v>4431</v>
      </c>
    </row>
    <row r="19" spans="1:4" ht="15.75">
      <c r="A19" s="1389" t="s">
        <v>1361</v>
      </c>
      <c r="B19" s="1390">
        <v>2280</v>
      </c>
      <c r="C19" s="1390">
        <v>1937</v>
      </c>
      <c r="D19" s="1391">
        <f t="shared" si="0"/>
        <v>4217</v>
      </c>
    </row>
    <row r="20" spans="1:4" ht="15.75">
      <c r="A20" s="1389" t="s">
        <v>1486</v>
      </c>
      <c r="B20" s="1390">
        <v>2369</v>
      </c>
      <c r="C20" s="1390">
        <v>1828</v>
      </c>
      <c r="D20" s="1391">
        <f t="shared" si="0"/>
        <v>4197</v>
      </c>
    </row>
    <row r="21" spans="1:4" ht="15.75">
      <c r="A21" s="1389" t="s">
        <v>1365</v>
      </c>
      <c r="B21" s="1390">
        <v>2249</v>
      </c>
      <c r="C21" s="1390">
        <v>1873</v>
      </c>
      <c r="D21" s="1391">
        <f t="shared" si="0"/>
        <v>4122</v>
      </c>
    </row>
    <row r="22" spans="1:4" ht="15.75">
      <c r="A22" s="1389" t="s">
        <v>1363</v>
      </c>
      <c r="B22" s="1390">
        <v>1876</v>
      </c>
      <c r="C22" s="1390">
        <v>2137</v>
      </c>
      <c r="D22" s="1391">
        <f t="shared" si="0"/>
        <v>4013</v>
      </c>
    </row>
    <row r="23" spans="1:4" ht="15.75">
      <c r="A23" s="1389" t="s">
        <v>1349</v>
      </c>
      <c r="B23" s="1390">
        <v>1937</v>
      </c>
      <c r="C23" s="1390">
        <v>1772</v>
      </c>
      <c r="D23" s="1391">
        <f t="shared" si="0"/>
        <v>3709</v>
      </c>
    </row>
    <row r="24" spans="1:4" ht="15.75">
      <c r="A24" s="1389" t="s">
        <v>1357</v>
      </c>
      <c r="B24" s="1390">
        <v>1834</v>
      </c>
      <c r="C24" s="1390">
        <v>1738</v>
      </c>
      <c r="D24" s="1391">
        <f t="shared" si="0"/>
        <v>3572</v>
      </c>
    </row>
    <row r="25" spans="1:4" ht="15.75">
      <c r="A25" s="1389" t="s">
        <v>1360</v>
      </c>
      <c r="B25" s="1390">
        <v>1616</v>
      </c>
      <c r="C25" s="1390">
        <v>1544</v>
      </c>
      <c r="D25" s="1391">
        <f t="shared" si="0"/>
        <v>3160</v>
      </c>
    </row>
    <row r="26" spans="1:4" ht="15.75">
      <c r="A26" s="1389" t="s">
        <v>1351</v>
      </c>
      <c r="B26" s="1390">
        <v>1520</v>
      </c>
      <c r="C26" s="1390">
        <v>1612</v>
      </c>
      <c r="D26" s="1391">
        <f t="shared" si="0"/>
        <v>3132</v>
      </c>
    </row>
    <row r="27" spans="1:4" ht="15.75">
      <c r="A27" s="1389" t="s">
        <v>1355</v>
      </c>
      <c r="B27" s="1390">
        <v>1139</v>
      </c>
      <c r="C27" s="1390">
        <v>1226</v>
      </c>
      <c r="D27" s="1391">
        <f t="shared" si="0"/>
        <v>2365</v>
      </c>
    </row>
    <row r="28" spans="1:4" ht="15.75">
      <c r="A28" s="1389" t="s">
        <v>1373</v>
      </c>
      <c r="B28" s="1390">
        <v>1312</v>
      </c>
      <c r="C28" s="1390">
        <v>964</v>
      </c>
      <c r="D28" s="1391">
        <f t="shared" si="0"/>
        <v>2276</v>
      </c>
    </row>
    <row r="29" spans="1:4" ht="15.75">
      <c r="A29" s="1389" t="s">
        <v>1487</v>
      </c>
      <c r="B29" s="1390">
        <v>1071</v>
      </c>
      <c r="C29" s="1390">
        <v>1134</v>
      </c>
      <c r="D29" s="1391">
        <f t="shared" si="0"/>
        <v>2205</v>
      </c>
    </row>
    <row r="30" spans="1:4" ht="15.75">
      <c r="A30" s="1389" t="s">
        <v>1354</v>
      </c>
      <c r="B30" s="1390">
        <v>1048</v>
      </c>
      <c r="C30" s="1390">
        <v>1107</v>
      </c>
      <c r="D30" s="1391">
        <f t="shared" si="0"/>
        <v>2155</v>
      </c>
    </row>
    <row r="31" spans="1:4" ht="15.75">
      <c r="A31" s="1389" t="s">
        <v>1358</v>
      </c>
      <c r="B31" s="1390">
        <v>1036</v>
      </c>
      <c r="C31" s="1390">
        <v>1094</v>
      </c>
      <c r="D31" s="1391">
        <f t="shared" si="0"/>
        <v>2130</v>
      </c>
    </row>
    <row r="32" spans="1:4" ht="15.75">
      <c r="A32" s="1389" t="s">
        <v>1488</v>
      </c>
      <c r="B32" s="1390">
        <v>937</v>
      </c>
      <c r="C32" s="1390">
        <v>895</v>
      </c>
      <c r="D32" s="1391">
        <f t="shared" si="0"/>
        <v>1832</v>
      </c>
    </row>
    <row r="33" spans="1:4" ht="15.75">
      <c r="A33" s="1389" t="s">
        <v>1489</v>
      </c>
      <c r="B33" s="1390">
        <v>774</v>
      </c>
      <c r="C33" s="1390">
        <v>968</v>
      </c>
      <c r="D33" s="1391">
        <f t="shared" si="0"/>
        <v>1742</v>
      </c>
    </row>
    <row r="34" spans="1:4" ht="15.75">
      <c r="A34" s="1389" t="s">
        <v>1367</v>
      </c>
      <c r="B34" s="1390">
        <v>753</v>
      </c>
      <c r="C34" s="1390">
        <v>830</v>
      </c>
      <c r="D34" s="1391">
        <f t="shared" si="0"/>
        <v>1583</v>
      </c>
    </row>
    <row r="35" spans="1:4" ht="15.75">
      <c r="A35" s="1389" t="s">
        <v>1364</v>
      </c>
      <c r="B35" s="1390">
        <v>695</v>
      </c>
      <c r="C35" s="1390">
        <v>753</v>
      </c>
      <c r="D35" s="1391">
        <f t="shared" si="0"/>
        <v>1448</v>
      </c>
    </row>
    <row r="36" spans="1:4" ht="15.75">
      <c r="A36" s="1392" t="s">
        <v>23</v>
      </c>
      <c r="B36" s="1391">
        <f>SUM(B4:B35)</f>
        <v>255555</v>
      </c>
      <c r="C36" s="1391">
        <f>SUM(C4:C35)</f>
        <v>211584</v>
      </c>
      <c r="D36" s="1391">
        <f t="shared" si="0"/>
        <v>467139</v>
      </c>
    </row>
  </sheetData>
  <mergeCells count="1">
    <mergeCell ref="A1:O1"/>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pane ySplit="1" topLeftCell="A2" activePane="bottomLeft" state="frozen"/>
      <selection pane="bottomLeft" activeCell="A2" sqref="A2:P4"/>
    </sheetView>
  </sheetViews>
  <sheetFormatPr baseColWidth="10" defaultColWidth="11.42578125" defaultRowHeight="15"/>
  <cols>
    <col min="1" max="1" width="18.42578125" style="128" customWidth="1"/>
    <col min="2" max="2" width="20" style="128" customWidth="1"/>
    <col min="3" max="3" width="19.140625" style="128" customWidth="1"/>
    <col min="4" max="4" width="16.140625" style="128" customWidth="1"/>
    <col min="5" max="5" width="19.42578125" style="128" customWidth="1"/>
    <col min="6" max="6" width="16.85546875" style="128" customWidth="1"/>
    <col min="7" max="7" width="16.42578125" style="128" customWidth="1"/>
    <col min="8" max="8" width="14.85546875" style="128" customWidth="1"/>
    <col min="9" max="9" width="22.42578125" style="128" customWidth="1"/>
    <col min="10" max="10" width="18.7109375" style="128" customWidth="1"/>
    <col min="11" max="11" width="17.140625" style="128" customWidth="1"/>
    <col min="12" max="12" width="24.28515625" style="128" customWidth="1"/>
    <col min="13" max="13" width="16.85546875" style="128" customWidth="1"/>
    <col min="14" max="14" width="16.28515625" style="128" customWidth="1"/>
    <col min="15" max="15" width="15" style="128" customWidth="1"/>
    <col min="16" max="16" width="41.85546875" style="128" customWidth="1"/>
    <col min="17" max="17" width="18" style="128" bestFit="1" customWidth="1"/>
    <col min="18" max="18" width="17.42578125" style="128" customWidth="1"/>
    <col min="19" max="19" width="24.7109375" style="128" customWidth="1"/>
    <col min="20" max="20" width="20.42578125" style="128" customWidth="1"/>
    <col min="21" max="21" width="14.7109375" style="128" customWidth="1"/>
    <col min="22" max="22" width="13" style="128" customWidth="1"/>
    <col min="23" max="26" width="11.42578125" style="128"/>
    <col min="27" max="27" width="18.7109375" style="128" bestFit="1" customWidth="1"/>
    <col min="28" max="16384" width="11.42578125" style="128"/>
  </cols>
  <sheetData>
    <row r="1" spans="1:33" ht="90.75" customHeight="1">
      <c r="A1" s="2196" t="s">
        <v>729</v>
      </c>
      <c r="B1" s="2197"/>
      <c r="C1" s="2197"/>
      <c r="D1" s="2197"/>
      <c r="E1" s="2197"/>
      <c r="F1" s="2197"/>
      <c r="G1" s="2197"/>
      <c r="H1" s="2197"/>
      <c r="I1" s="2197"/>
      <c r="J1" s="2197"/>
      <c r="K1" s="2197"/>
      <c r="L1" s="2197"/>
      <c r="M1" s="2197"/>
      <c r="N1" s="2197"/>
      <c r="O1" s="2197"/>
      <c r="P1" s="2198"/>
    </row>
    <row r="2" spans="1:33" ht="357.75" customHeight="1">
      <c r="A2" s="2203" t="s">
        <v>762</v>
      </c>
      <c r="B2" s="2204"/>
      <c r="C2" s="2204"/>
      <c r="D2" s="2204"/>
      <c r="E2" s="2204"/>
      <c r="F2" s="2204"/>
      <c r="G2" s="2204"/>
      <c r="H2" s="2204"/>
      <c r="I2" s="2204"/>
      <c r="J2" s="2204"/>
      <c r="K2" s="2204"/>
      <c r="L2" s="2204"/>
      <c r="M2" s="2204"/>
      <c r="N2" s="2204"/>
      <c r="O2" s="2204"/>
      <c r="P2" s="2204"/>
      <c r="Q2" s="90"/>
      <c r="R2" s="90"/>
      <c r="S2" s="31"/>
      <c r="T2" s="31"/>
      <c r="U2" s="31"/>
      <c r="V2" s="31"/>
    </row>
    <row r="3" spans="1:33" ht="408.75" customHeight="1">
      <c r="A3" s="2205"/>
      <c r="B3" s="2205"/>
      <c r="C3" s="2205"/>
      <c r="D3" s="2205"/>
      <c r="E3" s="2205"/>
      <c r="F3" s="2205"/>
      <c r="G3" s="2205"/>
      <c r="H3" s="2205"/>
      <c r="I3" s="2205"/>
      <c r="J3" s="2205"/>
      <c r="K3" s="2205"/>
      <c r="L3" s="2205"/>
      <c r="M3" s="2205"/>
      <c r="N3" s="2205"/>
      <c r="O3" s="2205"/>
      <c r="P3" s="2205"/>
      <c r="Q3" s="90"/>
      <c r="R3" s="90"/>
      <c r="S3" s="31"/>
      <c r="T3" s="31"/>
      <c r="U3" s="31"/>
      <c r="V3" s="31"/>
    </row>
    <row r="4" spans="1:33" ht="361.5" customHeight="1">
      <c r="A4" s="2205"/>
      <c r="B4" s="2205"/>
      <c r="C4" s="2205"/>
      <c r="D4" s="2205"/>
      <c r="E4" s="2205"/>
      <c r="F4" s="2205"/>
      <c r="G4" s="2205"/>
      <c r="H4" s="2205"/>
      <c r="I4" s="2205"/>
      <c r="J4" s="2205"/>
      <c r="K4" s="2205"/>
      <c r="L4" s="2205"/>
      <c r="M4" s="2205"/>
      <c r="N4" s="2205"/>
      <c r="O4" s="2205"/>
      <c r="P4" s="2205"/>
      <c r="Q4" s="90"/>
      <c r="R4" s="90"/>
      <c r="S4" s="31"/>
      <c r="T4" s="31"/>
      <c r="U4" s="31"/>
      <c r="V4" s="31"/>
    </row>
    <row r="5" spans="1:33" ht="60.75" customHeight="1">
      <c r="A5" s="2206"/>
      <c r="B5" s="2206"/>
      <c r="C5" s="2206"/>
      <c r="D5" s="2206"/>
      <c r="E5" s="2206"/>
      <c r="F5" s="2206"/>
      <c r="G5" s="2206"/>
      <c r="H5" s="2206"/>
      <c r="I5" s="2206"/>
      <c r="J5" s="2206"/>
      <c r="K5" s="2206"/>
      <c r="L5" s="2206"/>
      <c r="M5" s="2206"/>
      <c r="N5" s="2206"/>
      <c r="O5" s="2206"/>
      <c r="P5" s="2206"/>
      <c r="Q5" s="90"/>
      <c r="R5" s="90"/>
      <c r="S5" s="31"/>
      <c r="T5" s="31"/>
      <c r="U5" s="31"/>
      <c r="V5" s="31"/>
    </row>
    <row r="6" spans="1:33" ht="25.5" customHeight="1">
      <c r="Q6" s="90"/>
      <c r="R6" s="90"/>
      <c r="S6" s="31"/>
      <c r="T6" s="31"/>
      <c r="U6" s="31"/>
      <c r="V6" s="31"/>
    </row>
    <row r="7" spans="1:33" ht="25.5" customHeight="1">
      <c r="Q7" s="90"/>
      <c r="R7" s="90"/>
      <c r="S7" s="31"/>
      <c r="T7" s="31"/>
      <c r="U7" s="31"/>
      <c r="V7" s="31"/>
    </row>
    <row r="8" spans="1:33" ht="25.5" customHeight="1">
      <c r="Q8" s="90"/>
      <c r="R8" s="90"/>
      <c r="S8" s="31"/>
      <c r="T8" s="31"/>
      <c r="U8" s="31"/>
      <c r="V8" s="31"/>
    </row>
    <row r="9" spans="1:33" ht="25.5" customHeight="1">
      <c r="Q9" s="90"/>
      <c r="R9" s="90"/>
      <c r="S9" s="31"/>
      <c r="T9" s="31"/>
      <c r="U9" s="31"/>
      <c r="V9" s="31"/>
    </row>
    <row r="10" spans="1:33" ht="25.5" customHeight="1">
      <c r="Q10" s="90"/>
      <c r="R10" s="90"/>
      <c r="S10" s="31"/>
      <c r="T10" s="31"/>
      <c r="U10" s="31"/>
      <c r="V10" s="31"/>
    </row>
    <row r="11" spans="1:33" ht="25.5" customHeight="1">
      <c r="Q11" s="90"/>
      <c r="R11" s="90"/>
      <c r="S11" s="31"/>
      <c r="T11" s="31"/>
      <c r="U11" s="31"/>
      <c r="V11" s="31"/>
    </row>
    <row r="12" spans="1:33" ht="23.25" customHeight="1">
      <c r="Q12" s="90"/>
      <c r="R12" s="90"/>
      <c r="S12" s="31"/>
      <c r="T12" s="31"/>
      <c r="U12" s="31"/>
      <c r="V12" s="31"/>
    </row>
    <row r="13" spans="1:33" ht="25.5" customHeight="1">
      <c r="A13" s="39"/>
      <c r="B13" s="39"/>
      <c r="C13" s="39"/>
      <c r="D13" s="39"/>
      <c r="E13" s="39"/>
      <c r="F13" s="39"/>
      <c r="G13" s="39"/>
      <c r="H13" s="39"/>
      <c r="I13" s="39"/>
      <c r="J13" s="39"/>
      <c r="K13" s="39"/>
      <c r="L13" s="39"/>
      <c r="M13" s="39"/>
      <c r="N13" s="39"/>
      <c r="O13" s="39"/>
      <c r="P13" s="39"/>
      <c r="R13" s="90"/>
      <c r="S13" s="31"/>
      <c r="T13" s="31"/>
      <c r="U13" s="31"/>
      <c r="V13" s="31"/>
    </row>
    <row r="14" spans="1:33" ht="25.5" customHeight="1">
      <c r="A14" s="39"/>
      <c r="B14" s="39"/>
      <c r="C14" s="39"/>
      <c r="D14" s="39"/>
      <c r="E14" s="39"/>
      <c r="F14" s="39"/>
      <c r="G14" s="39"/>
      <c r="H14" s="39"/>
      <c r="I14" s="39"/>
      <c r="J14" s="39"/>
      <c r="K14" s="39"/>
      <c r="L14" s="39"/>
      <c r="M14" s="39"/>
      <c r="N14" s="39"/>
      <c r="O14" s="39"/>
      <c r="P14" s="39"/>
      <c r="Q14" s="39"/>
      <c r="R14" s="39"/>
      <c r="S14" s="39"/>
      <c r="T14" s="39"/>
      <c r="U14" s="39"/>
      <c r="V14" s="39"/>
    </row>
    <row r="15" spans="1:33" ht="25.5" customHeight="1">
      <c r="A15" s="39"/>
      <c r="B15" s="39"/>
      <c r="C15" s="39"/>
      <c r="D15" s="39"/>
      <c r="E15" s="39"/>
      <c r="F15" s="39"/>
      <c r="G15" s="39"/>
      <c r="H15" s="39"/>
      <c r="I15" s="39"/>
      <c r="J15" s="39"/>
      <c r="K15" s="39"/>
      <c r="L15" s="39"/>
      <c r="M15" s="39"/>
      <c r="N15" s="39"/>
      <c r="O15" s="39"/>
      <c r="P15" s="39"/>
      <c r="Q15" s="39"/>
      <c r="R15" s="39"/>
      <c r="S15" s="39"/>
      <c r="T15" s="39"/>
      <c r="U15" s="39"/>
      <c r="V15" s="39"/>
      <c r="AG15" s="128" t="s">
        <v>36</v>
      </c>
    </row>
    <row r="16" spans="1:33" ht="25.5" customHeight="1">
      <c r="A16" s="39"/>
      <c r="B16" s="39"/>
      <c r="C16" s="39"/>
      <c r="D16" s="39"/>
      <c r="E16" s="39"/>
      <c r="F16" s="39"/>
      <c r="G16" s="39"/>
      <c r="H16" s="39"/>
      <c r="I16" s="39"/>
      <c r="J16" s="39"/>
      <c r="K16" s="39"/>
      <c r="L16" s="39"/>
      <c r="M16" s="39"/>
      <c r="N16" s="39"/>
      <c r="O16" s="39"/>
      <c r="P16" s="39"/>
      <c r="Q16" s="39"/>
      <c r="R16" s="39"/>
      <c r="S16" s="39"/>
      <c r="T16" s="39"/>
      <c r="U16" s="39"/>
      <c r="V16" s="39"/>
    </row>
    <row r="17" spans="1:23" ht="25.5" customHeight="1">
      <c r="A17" s="39"/>
      <c r="B17" s="39"/>
      <c r="C17" s="39"/>
      <c r="D17" s="39"/>
      <c r="E17" s="39"/>
      <c r="F17" s="39"/>
      <c r="G17" s="39"/>
      <c r="H17" s="39"/>
      <c r="I17" s="39"/>
      <c r="J17" s="39"/>
      <c r="K17" s="39"/>
      <c r="L17" s="39"/>
      <c r="M17" s="39"/>
      <c r="N17" s="39"/>
      <c r="O17" s="39"/>
      <c r="P17" s="39"/>
      <c r="Q17" s="39"/>
      <c r="R17" s="39"/>
      <c r="S17" s="39"/>
      <c r="T17" s="39"/>
      <c r="U17" s="39"/>
      <c r="V17" s="39"/>
    </row>
    <row r="18" spans="1:23" ht="25.5" customHeight="1">
      <c r="A18" s="39"/>
      <c r="B18" s="39"/>
      <c r="C18" s="39"/>
      <c r="D18" s="39"/>
      <c r="E18" s="39"/>
      <c r="F18" s="39"/>
      <c r="G18" s="39"/>
      <c r="H18" s="39"/>
      <c r="I18" s="39"/>
      <c r="J18" s="39"/>
      <c r="K18" s="39"/>
      <c r="L18" s="39"/>
      <c r="M18" s="39"/>
      <c r="N18" s="39"/>
      <c r="O18" s="39"/>
      <c r="P18" s="39"/>
      <c r="Q18" s="39"/>
      <c r="R18" s="39"/>
      <c r="S18" s="39"/>
      <c r="T18" s="39"/>
      <c r="U18" s="39"/>
      <c r="V18" s="39"/>
    </row>
    <row r="19" spans="1:23" ht="25.5" customHeight="1">
      <c r="A19" s="39"/>
      <c r="B19" s="39"/>
      <c r="C19" s="39"/>
      <c r="D19" s="39"/>
      <c r="E19" s="39"/>
      <c r="F19" s="39"/>
      <c r="G19" s="39"/>
      <c r="H19" s="39"/>
      <c r="I19" s="39"/>
      <c r="J19" s="39"/>
      <c r="K19" s="39"/>
      <c r="L19" s="39"/>
      <c r="M19" s="39"/>
      <c r="N19" s="39"/>
      <c r="O19" s="39"/>
      <c r="P19" s="39"/>
      <c r="Q19" s="39"/>
      <c r="R19" s="39"/>
      <c r="S19" s="39"/>
      <c r="T19" s="39"/>
      <c r="U19" s="39"/>
      <c r="V19" s="39"/>
    </row>
    <row r="20" spans="1:23" ht="25.5" customHeight="1">
      <c r="A20" s="39"/>
      <c r="B20" s="39"/>
      <c r="C20" s="39"/>
      <c r="D20" s="39"/>
      <c r="E20" s="39"/>
      <c r="F20" s="39"/>
      <c r="G20" s="39"/>
      <c r="H20" s="39"/>
      <c r="I20" s="39"/>
      <c r="J20" s="39"/>
      <c r="K20" s="39"/>
      <c r="L20" s="39"/>
      <c r="M20" s="39"/>
      <c r="N20" s="39"/>
      <c r="O20" s="39"/>
      <c r="P20" s="39"/>
      <c r="Q20" s="39"/>
      <c r="R20" s="39"/>
      <c r="S20" s="39"/>
      <c r="T20" s="39"/>
      <c r="U20" s="39"/>
      <c r="V20" s="39"/>
    </row>
    <row r="21" spans="1:23" ht="25.5" customHeight="1">
      <c r="A21" s="39"/>
      <c r="B21" s="39"/>
      <c r="C21" s="39"/>
      <c r="D21" s="39"/>
      <c r="E21" s="39"/>
      <c r="F21" s="39"/>
      <c r="G21" s="39"/>
      <c r="H21" s="39"/>
      <c r="I21" s="39"/>
      <c r="J21" s="39"/>
      <c r="K21" s="39"/>
      <c r="L21" s="39"/>
      <c r="M21" s="39"/>
      <c r="N21" s="39"/>
      <c r="O21" s="39"/>
      <c r="P21" s="39"/>
      <c r="Q21" s="39"/>
      <c r="R21" s="39"/>
      <c r="S21" s="39"/>
      <c r="T21" s="39"/>
      <c r="U21" s="39"/>
      <c r="V21" s="39"/>
    </row>
    <row r="22" spans="1:23" ht="25.5" customHeight="1">
      <c r="A22" s="39"/>
      <c r="B22" s="39"/>
      <c r="C22" s="39"/>
      <c r="D22" s="39"/>
      <c r="E22" s="39"/>
      <c r="F22" s="39"/>
      <c r="G22" s="39"/>
      <c r="H22" s="39"/>
      <c r="I22" s="39"/>
      <c r="J22" s="39"/>
      <c r="K22" s="39"/>
      <c r="L22" s="39"/>
      <c r="M22" s="39"/>
      <c r="N22" s="39"/>
      <c r="O22" s="39"/>
      <c r="P22" s="39"/>
      <c r="Q22" s="39"/>
      <c r="R22" s="39"/>
      <c r="S22" s="39"/>
      <c r="T22" s="39"/>
      <c r="U22" s="39"/>
      <c r="V22" s="39"/>
    </row>
    <row r="23" spans="1:23" ht="25.5" customHeight="1">
      <c r="A23" s="39"/>
      <c r="B23" s="39"/>
      <c r="C23" s="39"/>
      <c r="D23" s="39"/>
      <c r="E23" s="39"/>
      <c r="F23" s="39"/>
      <c r="G23" s="39"/>
      <c r="H23" s="39"/>
      <c r="I23" s="39"/>
      <c r="J23" s="39"/>
      <c r="K23" s="39"/>
      <c r="L23" s="39"/>
      <c r="M23" s="39"/>
      <c r="N23" s="39"/>
      <c r="O23" s="39"/>
      <c r="P23" s="39"/>
      <c r="Q23" s="39"/>
      <c r="R23" s="39"/>
      <c r="S23" s="39"/>
      <c r="T23" s="39"/>
      <c r="U23" s="39"/>
      <c r="V23" s="39"/>
    </row>
    <row r="24" spans="1:23" ht="25.5" customHeight="1">
      <c r="A24" s="39"/>
      <c r="B24" s="39"/>
      <c r="C24" s="39"/>
      <c r="D24" s="39"/>
      <c r="E24" s="39"/>
      <c r="F24" s="39"/>
      <c r="G24" s="39"/>
      <c r="H24" s="39"/>
      <c r="I24" s="39"/>
      <c r="J24" s="39"/>
      <c r="K24" s="39"/>
      <c r="L24" s="39"/>
      <c r="M24" s="39"/>
      <c r="N24" s="39"/>
      <c r="O24" s="39"/>
      <c r="P24" s="39"/>
      <c r="Q24" s="39"/>
      <c r="R24" s="39"/>
      <c r="S24" s="39"/>
      <c r="T24" s="39"/>
      <c r="U24" s="39"/>
      <c r="V24" s="39"/>
    </row>
    <row r="25" spans="1:23" ht="25.5" customHeight="1">
      <c r="A25" s="39"/>
      <c r="B25" s="39"/>
      <c r="C25" s="39"/>
      <c r="D25" s="39"/>
      <c r="E25" s="39"/>
      <c r="F25" s="39"/>
      <c r="G25" s="39"/>
      <c r="H25" s="39"/>
      <c r="I25" s="39"/>
      <c r="J25" s="39"/>
      <c r="K25" s="39"/>
      <c r="L25" s="39"/>
      <c r="M25" s="39"/>
      <c r="N25" s="39"/>
      <c r="O25" s="39"/>
      <c r="P25" s="39"/>
      <c r="Q25" s="39"/>
      <c r="R25" s="39"/>
      <c r="S25" s="39"/>
      <c r="T25" s="39"/>
      <c r="U25" s="39"/>
      <c r="V25" s="39"/>
    </row>
    <row r="26" spans="1:23" ht="25.5" customHeight="1">
      <c r="A26" s="39"/>
      <c r="B26" s="39"/>
      <c r="C26" s="39"/>
      <c r="D26" s="39"/>
      <c r="E26" s="39"/>
      <c r="F26" s="39"/>
      <c r="G26" s="39"/>
      <c r="H26" s="39"/>
      <c r="I26" s="39"/>
      <c r="J26" s="39"/>
      <c r="K26" s="39"/>
      <c r="L26" s="39"/>
      <c r="M26" s="39"/>
      <c r="N26" s="39"/>
      <c r="O26" s="39"/>
      <c r="P26" s="39"/>
      <c r="Q26" s="39"/>
      <c r="R26" s="39"/>
      <c r="S26" s="39"/>
      <c r="T26" s="39"/>
      <c r="U26" s="39"/>
      <c r="V26" s="39"/>
    </row>
    <row r="27" spans="1:23" ht="25.5" customHeight="1">
      <c r="A27" s="39"/>
      <c r="B27" s="39"/>
      <c r="C27" s="39"/>
      <c r="D27" s="39"/>
      <c r="E27" s="39"/>
      <c r="F27" s="39"/>
      <c r="G27" s="39"/>
      <c r="H27" s="39"/>
      <c r="I27" s="39"/>
      <c r="J27" s="39"/>
      <c r="K27" s="39"/>
      <c r="L27" s="39"/>
      <c r="M27" s="39"/>
      <c r="N27" s="39"/>
      <c r="O27" s="39"/>
      <c r="P27" s="39"/>
      <c r="Q27" s="39"/>
      <c r="R27" s="39"/>
      <c r="S27" s="39"/>
      <c r="T27" s="39"/>
      <c r="U27" s="39"/>
      <c r="V27" s="39"/>
      <c r="W27" s="128" t="s">
        <v>36</v>
      </c>
    </row>
    <row r="28" spans="1:23" ht="25.5" customHeight="1">
      <c r="A28" s="39"/>
      <c r="B28" s="39"/>
      <c r="C28" s="39"/>
      <c r="D28" s="39"/>
      <c r="E28" s="39"/>
      <c r="F28" s="39"/>
      <c r="G28" s="39"/>
      <c r="H28" s="39"/>
      <c r="I28" s="39"/>
      <c r="J28" s="39"/>
      <c r="K28" s="39"/>
      <c r="L28" s="39"/>
      <c r="M28" s="39"/>
      <c r="N28" s="39"/>
      <c r="O28" s="39"/>
      <c r="P28" s="39"/>
      <c r="Q28" s="39"/>
      <c r="R28" s="39"/>
      <c r="S28" s="39"/>
      <c r="T28" s="39"/>
      <c r="U28" s="39"/>
      <c r="V28" s="39"/>
    </row>
    <row r="29" spans="1:23" ht="25.5" customHeight="1">
      <c r="A29" s="39"/>
      <c r="B29" s="39"/>
      <c r="C29" s="39"/>
      <c r="D29" s="39"/>
      <c r="E29" s="39"/>
      <c r="F29" s="39"/>
      <c r="G29" s="39"/>
      <c r="H29" s="39"/>
      <c r="I29" s="39"/>
      <c r="J29" s="39"/>
      <c r="K29" s="39"/>
      <c r="L29" s="39"/>
      <c r="M29" s="39"/>
      <c r="N29" s="39"/>
      <c r="O29" s="39"/>
      <c r="P29" s="39"/>
      <c r="Q29" s="39"/>
      <c r="R29" s="39"/>
      <c r="S29" s="39"/>
      <c r="T29" s="39"/>
      <c r="U29" s="39"/>
      <c r="V29" s="39"/>
    </row>
    <row r="30" spans="1:23" ht="25.5" customHeight="1">
      <c r="A30" s="39"/>
      <c r="B30" s="39"/>
      <c r="C30" s="39"/>
      <c r="D30" s="39"/>
      <c r="E30" s="39"/>
      <c r="F30" s="39"/>
      <c r="G30" s="39"/>
      <c r="H30" s="39"/>
      <c r="I30" s="39"/>
      <c r="J30" s="39"/>
      <c r="K30" s="39"/>
      <c r="L30" s="39"/>
      <c r="M30" s="39"/>
      <c r="N30" s="39"/>
      <c r="O30" s="39"/>
      <c r="P30" s="39"/>
      <c r="Q30" s="39"/>
      <c r="R30" s="39"/>
      <c r="S30" s="39"/>
      <c r="T30" s="39"/>
      <c r="U30" s="39"/>
      <c r="V30" s="39"/>
    </row>
    <row r="31" spans="1:23" ht="25.5" customHeight="1">
      <c r="A31" s="39"/>
      <c r="B31" s="39"/>
      <c r="C31" s="39"/>
      <c r="D31" s="39"/>
      <c r="E31" s="39"/>
      <c r="F31" s="39"/>
      <c r="G31" s="39"/>
      <c r="H31" s="39"/>
      <c r="I31" s="39"/>
      <c r="J31" s="39"/>
      <c r="K31" s="39"/>
      <c r="L31" s="39"/>
      <c r="M31" s="39"/>
      <c r="N31" s="39"/>
      <c r="O31" s="39"/>
      <c r="P31" s="39"/>
      <c r="Q31" s="39"/>
      <c r="R31" s="39"/>
      <c r="S31" s="39"/>
      <c r="T31" s="39"/>
      <c r="U31" s="39"/>
      <c r="V31" s="39"/>
    </row>
    <row r="32" spans="1:23" ht="25.5" customHeight="1">
      <c r="A32" s="39"/>
      <c r="B32" s="39"/>
      <c r="C32" s="39"/>
      <c r="D32" s="39"/>
      <c r="E32" s="39"/>
      <c r="F32" s="39"/>
      <c r="G32" s="39"/>
      <c r="H32" s="39"/>
      <c r="I32" s="39"/>
      <c r="J32" s="39"/>
      <c r="K32" s="39"/>
      <c r="L32" s="39"/>
      <c r="M32" s="39"/>
      <c r="N32" s="39"/>
      <c r="O32" s="39"/>
      <c r="P32" s="39"/>
      <c r="Q32" s="39"/>
      <c r="R32" s="39"/>
      <c r="S32" s="39"/>
      <c r="T32" s="39"/>
      <c r="U32" s="39"/>
      <c r="V32" s="39"/>
    </row>
    <row r="33" spans="1:30" ht="25.5" customHeight="1">
      <c r="A33" s="39"/>
      <c r="B33" s="39"/>
      <c r="C33" s="39"/>
      <c r="D33" s="39"/>
      <c r="E33" s="39"/>
      <c r="F33" s="39"/>
      <c r="G33" s="39"/>
      <c r="H33" s="39"/>
      <c r="I33" s="39"/>
      <c r="J33" s="39"/>
      <c r="K33" s="39"/>
      <c r="L33" s="39"/>
      <c r="M33" s="39"/>
      <c r="N33" s="39"/>
      <c r="O33" s="39"/>
      <c r="P33" s="39"/>
      <c r="Q33" s="39"/>
      <c r="R33" s="39"/>
      <c r="S33" s="39"/>
      <c r="T33" s="39"/>
      <c r="U33" s="39"/>
      <c r="V33" s="39"/>
    </row>
    <row r="34" spans="1:30" ht="25.5" customHeight="1">
      <c r="A34" s="39"/>
      <c r="B34" s="39"/>
      <c r="C34" s="39"/>
      <c r="D34" s="39"/>
      <c r="E34" s="39"/>
      <c r="F34" s="39"/>
      <c r="G34" s="39"/>
      <c r="H34" s="39"/>
      <c r="I34" s="39"/>
      <c r="J34" s="39"/>
      <c r="K34" s="39"/>
      <c r="L34" s="39"/>
      <c r="M34" s="39"/>
      <c r="N34" s="39"/>
      <c r="O34" s="39"/>
      <c r="P34" s="39"/>
      <c r="Q34" s="39"/>
      <c r="R34" s="39"/>
      <c r="S34" s="39"/>
      <c r="T34" s="39"/>
      <c r="U34" s="39"/>
      <c r="V34" s="39"/>
    </row>
    <row r="35" spans="1:30">
      <c r="S35" s="149"/>
      <c r="T35" s="149"/>
      <c r="U35" s="149"/>
      <c r="V35" s="149"/>
      <c r="W35" s="151"/>
      <c r="X35" s="151"/>
      <c r="Y35" s="151"/>
      <c r="Z35" s="151"/>
      <c r="AA35" s="151"/>
      <c r="AB35" s="151"/>
    </row>
    <row r="36" spans="1:30">
      <c r="S36" s="149"/>
      <c r="T36" s="149"/>
      <c r="U36" s="149"/>
      <c r="V36" s="149"/>
      <c r="W36" s="151"/>
      <c r="X36" s="151"/>
      <c r="Y36" s="151"/>
      <c r="Z36" s="151"/>
      <c r="AA36" s="151"/>
      <c r="AB36" s="151"/>
    </row>
    <row r="37" spans="1:30">
      <c r="S37" s="149"/>
      <c r="T37" s="149"/>
      <c r="U37" s="149"/>
      <c r="V37" s="149"/>
      <c r="W37" s="151"/>
      <c r="X37" s="151"/>
      <c r="Y37" s="151"/>
      <c r="Z37" s="151"/>
      <c r="AA37" s="151"/>
      <c r="AB37" s="151"/>
    </row>
    <row r="38" spans="1:30">
      <c r="S38" s="149"/>
      <c r="T38" s="149"/>
      <c r="U38" s="149"/>
      <c r="V38" s="149"/>
      <c r="W38" s="151"/>
      <c r="X38" s="151"/>
      <c r="Y38" s="151"/>
      <c r="Z38" s="151"/>
      <c r="AA38" s="151"/>
      <c r="AB38" s="151"/>
    </row>
    <row r="39" spans="1:30" ht="51" customHeight="1">
      <c r="S39" s="149"/>
      <c r="T39" s="149"/>
      <c r="U39" s="149"/>
      <c r="V39" s="149"/>
      <c r="W39" s="151"/>
      <c r="X39" s="151"/>
      <c r="Y39" s="151"/>
      <c r="Z39" s="151"/>
      <c r="AA39" s="151"/>
      <c r="AB39" s="151"/>
    </row>
    <row r="40" spans="1:30" ht="78" customHeight="1">
      <c r="A40" s="2199"/>
      <c r="B40" s="2199"/>
      <c r="C40" s="2199"/>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151"/>
      <c r="AA40" s="151"/>
      <c r="AB40" s="151"/>
    </row>
    <row r="41" spans="1:30">
      <c r="A41" s="128" t="s">
        <v>36</v>
      </c>
      <c r="S41" s="151"/>
      <c r="T41" s="151"/>
      <c r="U41" s="151"/>
      <c r="V41" s="151"/>
      <c r="W41" s="151"/>
    </row>
    <row r="42" spans="1:30">
      <c r="S42" s="151"/>
      <c r="T42" s="151"/>
      <c r="U42" s="151"/>
      <c r="V42" s="151"/>
      <c r="W42" s="151"/>
    </row>
    <row r="43" spans="1:30">
      <c r="S43" s="151"/>
      <c r="T43" s="151"/>
      <c r="U43" s="151"/>
      <c r="V43" s="151"/>
      <c r="W43" s="151"/>
    </row>
    <row r="44" spans="1:30">
      <c r="S44" s="151"/>
      <c r="T44" s="151"/>
      <c r="U44" s="151"/>
      <c r="V44" s="151"/>
      <c r="W44" s="151"/>
    </row>
    <row r="45" spans="1:30">
      <c r="S45" s="151"/>
      <c r="T45" s="151"/>
      <c r="U45" s="151"/>
      <c r="V45" s="151"/>
      <c r="W45" s="151"/>
    </row>
    <row r="46" spans="1:30">
      <c r="S46" s="151"/>
      <c r="T46" s="151"/>
      <c r="U46" s="151"/>
      <c r="V46" s="151"/>
      <c r="W46" s="151"/>
      <c r="X46" s="151"/>
      <c r="Y46" s="151"/>
      <c r="Z46" s="151"/>
      <c r="AA46" s="151"/>
      <c r="AB46" s="151"/>
      <c r="AC46" s="151"/>
      <c r="AD46" s="151"/>
    </row>
    <row r="47" spans="1:30">
      <c r="S47" s="151"/>
      <c r="T47" s="151"/>
      <c r="U47" s="151"/>
      <c r="V47" s="151"/>
      <c r="W47" s="151"/>
      <c r="X47" s="151"/>
      <c r="Y47" s="151"/>
      <c r="Z47" s="151"/>
      <c r="AA47" s="151"/>
      <c r="AB47" s="151"/>
      <c r="AC47" s="151"/>
      <c r="AD47" s="151"/>
    </row>
    <row r="48" spans="1:30">
      <c r="S48" s="151"/>
      <c r="T48" s="151"/>
      <c r="U48" s="151"/>
      <c r="V48" s="151"/>
      <c r="W48" s="151"/>
      <c r="X48" s="151"/>
      <c r="Y48" s="151"/>
      <c r="Z48" s="151"/>
      <c r="AA48" s="151"/>
      <c r="AB48" s="151"/>
      <c r="AC48" s="151"/>
      <c r="AD48" s="151"/>
    </row>
    <row r="49" spans="2:30">
      <c r="S49" s="151"/>
      <c r="T49" s="151"/>
      <c r="U49" s="151"/>
      <c r="V49" s="151"/>
      <c r="W49" s="151"/>
      <c r="X49" s="151"/>
      <c r="Y49" s="151"/>
      <c r="Z49" s="151"/>
      <c r="AA49" s="151"/>
      <c r="AB49" s="151"/>
      <c r="AC49" s="151"/>
      <c r="AD49" s="151"/>
    </row>
    <row r="50" spans="2:30">
      <c r="S50" s="151"/>
      <c r="T50" s="151"/>
      <c r="U50" s="151"/>
      <c r="V50" s="151"/>
      <c r="W50" s="151"/>
      <c r="X50" s="151"/>
      <c r="Y50" s="151"/>
      <c r="Z50" s="151"/>
      <c r="AA50" s="151"/>
      <c r="AB50" s="151"/>
      <c r="AC50" s="151"/>
      <c r="AD50" s="151"/>
    </row>
    <row r="51" spans="2:30">
      <c r="S51" s="151"/>
      <c r="T51" s="151"/>
      <c r="U51" s="151"/>
      <c r="V51" s="151"/>
      <c r="W51" s="151"/>
      <c r="X51" s="151"/>
      <c r="Y51" s="151"/>
      <c r="Z51" s="151"/>
      <c r="AA51" s="151"/>
      <c r="AB51" s="151"/>
      <c r="AC51" s="151"/>
      <c r="AD51" s="151"/>
    </row>
    <row r="52" spans="2:30">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row>
    <row r="71" spans="24:24">
      <c r="X71" s="151"/>
    </row>
    <row r="72" spans="24:24">
      <c r="X72" s="151"/>
    </row>
    <row r="73" spans="24:24">
      <c r="X73" s="151"/>
    </row>
    <row r="74" spans="24:24">
      <c r="X74" s="151"/>
    </row>
    <row r="75" spans="24:24">
      <c r="X75" s="151"/>
    </row>
    <row r="76" spans="24:24">
      <c r="X76" s="151"/>
    </row>
    <row r="77" spans="24:24">
      <c r="X77" s="151"/>
    </row>
    <row r="78" spans="24:24">
      <c r="X78" s="151"/>
    </row>
    <row r="88" spans="24:24">
      <c r="X88" s="151"/>
    </row>
    <row r="89" spans="24:24">
      <c r="X89" s="151"/>
    </row>
    <row r="90" spans="24:24">
      <c r="X90" s="151"/>
    </row>
    <row r="91" spans="24:24">
      <c r="X91" s="151"/>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showGridLines="0" view="pageBreakPreview" zoomScale="70" zoomScaleNormal="100" zoomScaleSheetLayoutView="70" workbookViewId="0">
      <pane ySplit="1" topLeftCell="A2" activePane="bottomLeft" state="frozen"/>
      <selection pane="bottomLeft" activeCell="I11" sqref="I11"/>
    </sheetView>
  </sheetViews>
  <sheetFormatPr baseColWidth="10" defaultColWidth="11.42578125" defaultRowHeight="15"/>
  <cols>
    <col min="1" max="1" width="12" style="1393" customWidth="1"/>
    <col min="2" max="2" width="12.85546875" style="1297" customWidth="1"/>
    <col min="3" max="3" width="13.42578125" style="1297" customWidth="1"/>
    <col min="4" max="4" width="14.42578125" style="1297" customWidth="1"/>
    <col min="5" max="14" width="11.42578125" style="1297"/>
    <col min="15" max="15" width="33.7109375" style="1297" customWidth="1"/>
    <col min="16" max="16" width="21.5703125" style="1297" customWidth="1"/>
    <col min="17" max="17" width="11.42578125" style="1297"/>
    <col min="18" max="18" width="18" style="1297" customWidth="1"/>
    <col min="19" max="16384" width="11.42578125" style="1297"/>
  </cols>
  <sheetData>
    <row r="1" spans="1:19" ht="55.5" customHeight="1">
      <c r="A1" s="2374" t="s">
        <v>1613</v>
      </c>
      <c r="B1" s="2375"/>
      <c r="C1" s="2375"/>
      <c r="D1" s="2375"/>
      <c r="E1" s="2375"/>
      <c r="F1" s="2375"/>
      <c r="G1" s="2375"/>
      <c r="H1" s="2375"/>
      <c r="I1" s="2375"/>
      <c r="J1" s="2375"/>
      <c r="K1" s="2375"/>
      <c r="L1" s="2375"/>
      <c r="M1" s="2375"/>
      <c r="Q1" s="1297">
        <v>-1</v>
      </c>
      <c r="R1" s="1297">
        <v>-1</v>
      </c>
    </row>
    <row r="2" spans="1:19" ht="3.75" customHeight="1">
      <c r="R2" s="1297">
        <v>-1</v>
      </c>
    </row>
    <row r="3" spans="1:19" ht="20.25" customHeight="1">
      <c r="A3" s="1394" t="s">
        <v>259</v>
      </c>
      <c r="B3" s="1394" t="s">
        <v>55</v>
      </c>
      <c r="C3" s="1394" t="s">
        <v>54</v>
      </c>
      <c r="D3" s="1394" t="s">
        <v>23</v>
      </c>
    </row>
    <row r="4" spans="1:19" ht="15.75">
      <c r="A4" s="1374" t="s">
        <v>1490</v>
      </c>
      <c r="B4" s="1390">
        <v>3745</v>
      </c>
      <c r="C4" s="1390">
        <v>3902</v>
      </c>
      <c r="D4" s="1395">
        <f>+C4+B4</f>
        <v>7647</v>
      </c>
      <c r="P4" s="1374" t="s">
        <v>259</v>
      </c>
      <c r="Q4" s="1374" t="s">
        <v>55</v>
      </c>
      <c r="R4" s="1374" t="s">
        <v>54</v>
      </c>
      <c r="S4" s="1374" t="s">
        <v>23</v>
      </c>
    </row>
    <row r="5" spans="1:19" ht="15.75">
      <c r="A5" s="1374" t="s">
        <v>1491</v>
      </c>
      <c r="B5" s="1390">
        <v>9594</v>
      </c>
      <c r="C5" s="1390">
        <v>9871</v>
      </c>
      <c r="D5" s="1395">
        <f t="shared" ref="D5:D22" si="0">+C5+B5</f>
        <v>19465</v>
      </c>
      <c r="P5" s="1396" t="s">
        <v>1490</v>
      </c>
      <c r="Q5" s="1397">
        <f>+$Q$1*B4</f>
        <v>-3745</v>
      </c>
      <c r="R5" s="1397">
        <f>C4</f>
        <v>3902</v>
      </c>
      <c r="S5" s="1372">
        <f>+R5+Q5</f>
        <v>157</v>
      </c>
    </row>
    <row r="6" spans="1:19" ht="15.75">
      <c r="A6" s="1374" t="s">
        <v>908</v>
      </c>
      <c r="B6" s="1390">
        <v>17453</v>
      </c>
      <c r="C6" s="1390">
        <v>17876</v>
      </c>
      <c r="D6" s="1395">
        <f t="shared" si="0"/>
        <v>35329</v>
      </c>
      <c r="P6" s="1396" t="s">
        <v>1491</v>
      </c>
      <c r="Q6" s="1397">
        <f t="shared" ref="Q6:Q23" si="1">+$Q$1*B5</f>
        <v>-9594</v>
      </c>
      <c r="R6" s="1397">
        <f t="shared" ref="R6:R23" si="2">C5</f>
        <v>9871</v>
      </c>
      <c r="S6" s="1372">
        <f t="shared" ref="S6:S23" si="3">+R6+Q6</f>
        <v>277</v>
      </c>
    </row>
    <row r="7" spans="1:19" ht="15.75">
      <c r="A7" s="1374" t="s">
        <v>909</v>
      </c>
      <c r="B7" s="1390">
        <v>24467</v>
      </c>
      <c r="C7" s="1390">
        <v>25025</v>
      </c>
      <c r="D7" s="1395">
        <f t="shared" si="0"/>
        <v>49492</v>
      </c>
      <c r="P7" s="1396" t="s">
        <v>908</v>
      </c>
      <c r="Q7" s="1397">
        <f t="shared" si="1"/>
        <v>-17453</v>
      </c>
      <c r="R7" s="1397">
        <f t="shared" si="2"/>
        <v>17876</v>
      </c>
      <c r="S7" s="1372">
        <f t="shared" si="3"/>
        <v>423</v>
      </c>
    </row>
    <row r="8" spans="1:19" ht="15.75">
      <c r="A8" s="1374" t="s">
        <v>143</v>
      </c>
      <c r="B8" s="1390">
        <v>20172</v>
      </c>
      <c r="C8" s="1390">
        <v>19715</v>
      </c>
      <c r="D8" s="1395">
        <f t="shared" si="0"/>
        <v>39887</v>
      </c>
      <c r="P8" s="1396" t="s">
        <v>909</v>
      </c>
      <c r="Q8" s="1397">
        <f t="shared" si="1"/>
        <v>-24467</v>
      </c>
      <c r="R8" s="1397">
        <f t="shared" si="2"/>
        <v>25025</v>
      </c>
      <c r="S8" s="1372">
        <f t="shared" si="3"/>
        <v>558</v>
      </c>
    </row>
    <row r="9" spans="1:19" ht="15.75">
      <c r="A9" s="1374" t="s">
        <v>63</v>
      </c>
      <c r="B9" s="1390">
        <v>13867</v>
      </c>
      <c r="C9" s="1390">
        <v>11489</v>
      </c>
      <c r="D9" s="1395">
        <f t="shared" si="0"/>
        <v>25356</v>
      </c>
      <c r="P9" s="1396" t="s">
        <v>143</v>
      </c>
      <c r="Q9" s="1397">
        <f t="shared" si="1"/>
        <v>-20172</v>
      </c>
      <c r="R9" s="1397">
        <f t="shared" si="2"/>
        <v>19715</v>
      </c>
      <c r="S9" s="1372">
        <f t="shared" si="3"/>
        <v>-457</v>
      </c>
    </row>
    <row r="10" spans="1:19" ht="15.75">
      <c r="A10" s="1374" t="s">
        <v>64</v>
      </c>
      <c r="B10" s="1390">
        <v>14421</v>
      </c>
      <c r="C10" s="1390">
        <v>10960</v>
      </c>
      <c r="D10" s="1395">
        <f t="shared" si="0"/>
        <v>25381</v>
      </c>
      <c r="P10" s="1396" t="s">
        <v>63</v>
      </c>
      <c r="Q10" s="1397">
        <f t="shared" si="1"/>
        <v>-13867</v>
      </c>
      <c r="R10" s="1397">
        <f t="shared" si="2"/>
        <v>11489</v>
      </c>
      <c r="S10" s="1372">
        <f t="shared" si="3"/>
        <v>-2378</v>
      </c>
    </row>
    <row r="11" spans="1:19" ht="15.75">
      <c r="A11" s="1374" t="s">
        <v>1162</v>
      </c>
      <c r="B11" s="1390">
        <v>18349</v>
      </c>
      <c r="C11" s="1390">
        <v>12823</v>
      </c>
      <c r="D11" s="1395">
        <f t="shared" si="0"/>
        <v>31172</v>
      </c>
      <c r="P11" s="1396" t="s">
        <v>64</v>
      </c>
      <c r="Q11" s="1397">
        <f t="shared" si="1"/>
        <v>-14421</v>
      </c>
      <c r="R11" s="1397">
        <f t="shared" si="2"/>
        <v>10960</v>
      </c>
      <c r="S11" s="1372">
        <f t="shared" si="3"/>
        <v>-3461</v>
      </c>
    </row>
    <row r="12" spans="1:19" ht="15.75">
      <c r="A12" s="1374" t="s">
        <v>66</v>
      </c>
      <c r="B12" s="1390">
        <v>19296</v>
      </c>
      <c r="C12" s="1390">
        <v>13763</v>
      </c>
      <c r="D12" s="1395">
        <f t="shared" si="0"/>
        <v>33059</v>
      </c>
      <c r="P12" s="1396" t="s">
        <v>1162</v>
      </c>
      <c r="Q12" s="1397">
        <f t="shared" si="1"/>
        <v>-18349</v>
      </c>
      <c r="R12" s="1397">
        <f t="shared" si="2"/>
        <v>12823</v>
      </c>
      <c r="S12" s="1372">
        <f t="shared" si="3"/>
        <v>-5526</v>
      </c>
    </row>
    <row r="13" spans="1:19" ht="15.75">
      <c r="A13" s="1374" t="s">
        <v>67</v>
      </c>
      <c r="B13" s="1390">
        <v>20831</v>
      </c>
      <c r="C13" s="1390">
        <v>15486</v>
      </c>
      <c r="D13" s="1395">
        <f t="shared" si="0"/>
        <v>36317</v>
      </c>
      <c r="P13" s="1396" t="s">
        <v>66</v>
      </c>
      <c r="Q13" s="1397">
        <f t="shared" si="1"/>
        <v>-19296</v>
      </c>
      <c r="R13" s="1397">
        <f t="shared" si="2"/>
        <v>13763</v>
      </c>
      <c r="S13" s="1372">
        <f t="shared" si="3"/>
        <v>-5533</v>
      </c>
    </row>
    <row r="14" spans="1:19" ht="15.75">
      <c r="A14" s="1374" t="s">
        <v>68</v>
      </c>
      <c r="B14" s="1390">
        <v>21642</v>
      </c>
      <c r="C14" s="1390">
        <v>17032</v>
      </c>
      <c r="D14" s="1395">
        <f t="shared" si="0"/>
        <v>38674</v>
      </c>
      <c r="P14" s="1396" t="s">
        <v>67</v>
      </c>
      <c r="Q14" s="1397">
        <f t="shared" si="1"/>
        <v>-20831</v>
      </c>
      <c r="R14" s="1397">
        <f t="shared" si="2"/>
        <v>15486</v>
      </c>
      <c r="S14" s="1372">
        <f t="shared" si="3"/>
        <v>-5345</v>
      </c>
    </row>
    <row r="15" spans="1:19" ht="15.75">
      <c r="A15" s="1374" t="s">
        <v>69</v>
      </c>
      <c r="B15" s="1390">
        <v>19045</v>
      </c>
      <c r="C15" s="1390">
        <v>17193</v>
      </c>
      <c r="D15" s="1395">
        <f t="shared" si="0"/>
        <v>36238</v>
      </c>
      <c r="P15" s="1396" t="s">
        <v>68</v>
      </c>
      <c r="Q15" s="1397">
        <f t="shared" si="1"/>
        <v>-21642</v>
      </c>
      <c r="R15" s="1397">
        <f t="shared" si="2"/>
        <v>17032</v>
      </c>
      <c r="S15" s="1372">
        <f t="shared" si="3"/>
        <v>-4610</v>
      </c>
    </row>
    <row r="16" spans="1:19" ht="15.75">
      <c r="A16" s="1374" t="s">
        <v>70</v>
      </c>
      <c r="B16" s="1390">
        <v>14935</v>
      </c>
      <c r="C16" s="1390">
        <v>15085</v>
      </c>
      <c r="D16" s="1395">
        <f t="shared" si="0"/>
        <v>30020</v>
      </c>
      <c r="P16" s="1396" t="s">
        <v>69</v>
      </c>
      <c r="Q16" s="1397">
        <f t="shared" si="1"/>
        <v>-19045</v>
      </c>
      <c r="R16" s="1397">
        <f t="shared" si="2"/>
        <v>17193</v>
      </c>
      <c r="S16" s="1372">
        <f t="shared" si="3"/>
        <v>-1852</v>
      </c>
    </row>
    <row r="17" spans="1:19" ht="15.75">
      <c r="A17" s="1374" t="s">
        <v>71</v>
      </c>
      <c r="B17" s="1390">
        <v>10396</v>
      </c>
      <c r="C17" s="1390">
        <v>11240</v>
      </c>
      <c r="D17" s="1395">
        <f t="shared" si="0"/>
        <v>21636</v>
      </c>
      <c r="P17" s="1396" t="s">
        <v>70</v>
      </c>
      <c r="Q17" s="1397">
        <f t="shared" si="1"/>
        <v>-14935</v>
      </c>
      <c r="R17" s="1397">
        <f t="shared" si="2"/>
        <v>15085</v>
      </c>
      <c r="S17" s="1372">
        <f t="shared" si="3"/>
        <v>150</v>
      </c>
    </row>
    <row r="18" spans="1:19" ht="15.75">
      <c r="A18" s="1374" t="s">
        <v>144</v>
      </c>
      <c r="B18" s="1390">
        <v>6810</v>
      </c>
      <c r="C18" s="1390">
        <v>7603</v>
      </c>
      <c r="D18" s="1395">
        <f t="shared" si="0"/>
        <v>14413</v>
      </c>
      <c r="P18" s="1396" t="s">
        <v>71</v>
      </c>
      <c r="Q18" s="1397">
        <f t="shared" si="1"/>
        <v>-10396</v>
      </c>
      <c r="R18" s="1397">
        <f t="shared" si="2"/>
        <v>11240</v>
      </c>
      <c r="S18" s="1372">
        <f t="shared" si="3"/>
        <v>844</v>
      </c>
    </row>
    <row r="19" spans="1:19" ht="15.75">
      <c r="A19" s="1374" t="s">
        <v>145</v>
      </c>
      <c r="B19" s="1390">
        <v>4739</v>
      </c>
      <c r="C19" s="1390">
        <v>5164</v>
      </c>
      <c r="D19" s="1395">
        <f t="shared" si="0"/>
        <v>9903</v>
      </c>
      <c r="P19" s="1396" t="s">
        <v>144</v>
      </c>
      <c r="Q19" s="1397">
        <f t="shared" si="1"/>
        <v>-6810</v>
      </c>
      <c r="R19" s="1397">
        <f t="shared" si="2"/>
        <v>7603</v>
      </c>
      <c r="S19" s="1372">
        <f t="shared" si="3"/>
        <v>793</v>
      </c>
    </row>
    <row r="20" spans="1:19" ht="15.75">
      <c r="A20" s="1374" t="s">
        <v>146</v>
      </c>
      <c r="B20" s="1390">
        <v>3273</v>
      </c>
      <c r="C20" s="1390">
        <v>3221</v>
      </c>
      <c r="D20" s="1395">
        <f t="shared" si="0"/>
        <v>6494</v>
      </c>
      <c r="P20" s="1396" t="s">
        <v>145</v>
      </c>
      <c r="Q20" s="1397">
        <f t="shared" si="1"/>
        <v>-4739</v>
      </c>
      <c r="R20" s="1397">
        <f t="shared" si="2"/>
        <v>5164</v>
      </c>
      <c r="S20" s="1372">
        <f t="shared" si="3"/>
        <v>425</v>
      </c>
    </row>
    <row r="21" spans="1:19" ht="15.75">
      <c r="A21" s="1374" t="s">
        <v>147</v>
      </c>
      <c r="B21" s="1390">
        <v>2000</v>
      </c>
      <c r="C21" s="1390">
        <v>1909</v>
      </c>
      <c r="D21" s="1395">
        <f t="shared" si="0"/>
        <v>3909</v>
      </c>
      <c r="P21" s="1396" t="s">
        <v>146</v>
      </c>
      <c r="Q21" s="1397">
        <f t="shared" si="1"/>
        <v>-3273</v>
      </c>
      <c r="R21" s="1397">
        <f t="shared" si="2"/>
        <v>3221</v>
      </c>
      <c r="S21" s="1372">
        <f t="shared" si="3"/>
        <v>-52</v>
      </c>
    </row>
    <row r="22" spans="1:19" ht="15.75">
      <c r="A22" s="1374" t="s">
        <v>1492</v>
      </c>
      <c r="B22" s="1390">
        <v>1414</v>
      </c>
      <c r="C22" s="1390">
        <v>1332</v>
      </c>
      <c r="D22" s="1395">
        <f t="shared" si="0"/>
        <v>2746</v>
      </c>
      <c r="P22" s="1396" t="s">
        <v>147</v>
      </c>
      <c r="Q22" s="1397">
        <f t="shared" si="1"/>
        <v>-2000</v>
      </c>
      <c r="R22" s="1397">
        <f t="shared" si="2"/>
        <v>1909</v>
      </c>
      <c r="S22" s="1372">
        <f t="shared" si="3"/>
        <v>-91</v>
      </c>
    </row>
    <row r="23" spans="1:19" ht="15.75">
      <c r="A23" s="1374" t="s">
        <v>209</v>
      </c>
      <c r="B23" s="1518"/>
      <c r="C23" s="1518"/>
      <c r="D23" s="1395">
        <v>1</v>
      </c>
      <c r="P23" s="1396" t="s">
        <v>1492</v>
      </c>
      <c r="Q23" s="1397">
        <f t="shared" si="1"/>
        <v>-1414</v>
      </c>
      <c r="R23" s="1397">
        <f t="shared" si="2"/>
        <v>1332</v>
      </c>
      <c r="S23" s="1372">
        <f t="shared" si="3"/>
        <v>-82</v>
      </c>
    </row>
    <row r="24" spans="1:19">
      <c r="A24" s="1374"/>
      <c r="B24" s="1398">
        <f>SUM(B4:B22)</f>
        <v>246449</v>
      </c>
      <c r="C24" s="1398">
        <f>SUM(C4:C22)</f>
        <v>220689</v>
      </c>
      <c r="D24" s="1398">
        <f>SUM(D4:D23)</f>
        <v>467139</v>
      </c>
      <c r="P24" s="1396"/>
      <c r="Q24" s="1398">
        <f>SUM(Q5:Q23)</f>
        <v>-246449</v>
      </c>
      <c r="R24" s="1398">
        <f>SUM(R5:R23)</f>
        <v>220689</v>
      </c>
      <c r="S24" s="1398">
        <f>SUM(S5:S23)</f>
        <v>-25760</v>
      </c>
    </row>
    <row r="43" spans="4:5">
      <c r="E43" s="1399"/>
    </row>
    <row r="44" spans="4:5">
      <c r="D44" s="1400"/>
      <c r="E44" s="1399"/>
    </row>
    <row r="45" spans="4:5">
      <c r="D45" s="1400"/>
      <c r="E45" s="1399"/>
    </row>
    <row r="46" spans="4:5">
      <c r="D46" s="1400"/>
      <c r="E46" s="1399"/>
    </row>
    <row r="47" spans="4:5">
      <c r="D47" s="1400"/>
      <c r="E47" s="1399"/>
    </row>
    <row r="48" spans="4:5">
      <c r="D48" s="1400"/>
      <c r="E48" s="1399"/>
    </row>
    <row r="49" spans="4:5">
      <c r="D49" s="1400"/>
      <c r="E49" s="1399"/>
    </row>
    <row r="50" spans="4:5">
      <c r="D50" s="1400"/>
      <c r="E50" s="1399"/>
    </row>
    <row r="51" spans="4:5">
      <c r="D51" s="1400"/>
      <c r="E51" s="1399"/>
    </row>
    <row r="52" spans="4:5">
      <c r="D52" s="1400"/>
      <c r="E52" s="1399"/>
    </row>
    <row r="53" spans="4:5">
      <c r="D53" s="1400"/>
      <c r="E53" s="1399"/>
    </row>
    <row r="54" spans="4:5">
      <c r="D54" s="1400"/>
      <c r="E54" s="1399"/>
    </row>
    <row r="55" spans="4:5">
      <c r="D55" s="1400"/>
      <c r="E55" s="1399"/>
    </row>
    <row r="56" spans="4:5">
      <c r="D56" s="1400"/>
      <c r="E56" s="1399"/>
    </row>
    <row r="57" spans="4:5">
      <c r="D57" s="1400"/>
      <c r="E57" s="1399"/>
    </row>
    <row r="58" spans="4:5">
      <c r="D58" s="1400"/>
      <c r="E58" s="1399"/>
    </row>
    <row r="59" spans="4:5">
      <c r="D59" s="1400"/>
      <c r="E59" s="1399"/>
    </row>
    <row r="60" spans="4:5">
      <c r="D60" s="1400"/>
      <c r="E60" s="1399"/>
    </row>
    <row r="61" spans="4:5">
      <c r="D61" s="1400"/>
      <c r="E61" s="1399"/>
    </row>
    <row r="62" spans="4:5">
      <c r="D62" s="1400"/>
    </row>
  </sheetData>
  <mergeCells count="1">
    <mergeCell ref="A1:M1"/>
  </mergeCells>
  <pageMargins left="0.7" right="0.7" top="0.75" bottom="0.75" header="0.3" footer="0.3"/>
  <pageSetup scale="5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T45"/>
  <sheetViews>
    <sheetView showGridLines="0" view="pageBreakPreview" zoomScale="70" zoomScaleNormal="70" zoomScaleSheetLayoutView="70" workbookViewId="0">
      <selection activeCell="M42" sqref="M42"/>
    </sheetView>
  </sheetViews>
  <sheetFormatPr baseColWidth="10" defaultColWidth="11.42578125" defaultRowHeight="15"/>
  <cols>
    <col min="1" max="1" width="15.85546875" style="151" customWidth="1"/>
    <col min="2" max="2" width="27.140625" style="151" customWidth="1"/>
    <col min="3" max="3" width="33" style="128" hidden="1" customWidth="1"/>
    <col min="4" max="4" width="29.42578125" style="128" customWidth="1"/>
    <col min="5" max="5" width="29" style="128" hidden="1" customWidth="1"/>
    <col min="6" max="6" width="27.140625" style="128" customWidth="1"/>
    <col min="7" max="7" width="25.42578125" style="128" hidden="1" customWidth="1"/>
    <col min="8" max="8" width="28.7109375" style="128" customWidth="1"/>
    <col min="9" max="9" width="34.140625" style="128" customWidth="1"/>
    <col min="10" max="10" width="26.5703125" style="128" customWidth="1"/>
    <col min="11" max="11" width="27.7109375" style="128" customWidth="1"/>
    <col min="12" max="12" width="11.42578125" style="128"/>
    <col min="13" max="13" width="47.42578125" style="128" customWidth="1"/>
    <col min="14" max="19" width="11.42578125" style="128"/>
    <col min="20" max="20" width="26.5703125" style="128" customWidth="1"/>
    <col min="21" max="16384" width="11.42578125" style="128"/>
  </cols>
  <sheetData>
    <row r="1" spans="1:20" ht="93" customHeight="1">
      <c r="A1" s="2376" t="s">
        <v>1892</v>
      </c>
      <c r="B1" s="2377"/>
      <c r="C1" s="2377"/>
      <c r="D1" s="2377"/>
      <c r="E1" s="2377"/>
      <c r="F1" s="2377"/>
      <c r="G1" s="2377"/>
      <c r="H1" s="2377"/>
      <c r="I1" s="2377"/>
      <c r="J1" s="2377"/>
      <c r="K1" s="2378"/>
    </row>
    <row r="2" spans="1:20" ht="6" customHeight="1">
      <c r="A2" s="128"/>
      <c r="B2" s="128"/>
    </row>
    <row r="3" spans="1:20" ht="24" customHeight="1">
      <c r="A3" s="614" t="s">
        <v>25</v>
      </c>
      <c r="B3" s="614" t="s">
        <v>1240</v>
      </c>
      <c r="C3" s="614" t="s">
        <v>1240</v>
      </c>
      <c r="D3" s="614" t="s">
        <v>1911</v>
      </c>
      <c r="E3" s="614" t="s">
        <v>1445</v>
      </c>
      <c r="F3" s="614" t="s">
        <v>1631</v>
      </c>
      <c r="G3" s="614" t="s">
        <v>1639</v>
      </c>
    </row>
    <row r="4" spans="1:20" ht="18.75">
      <c r="A4" s="1600">
        <v>2007</v>
      </c>
      <c r="B4" s="1696">
        <v>2032181578</v>
      </c>
      <c r="C4" s="1326">
        <v>2032181575.4169822</v>
      </c>
      <c r="D4" s="1326">
        <v>1364210300000</v>
      </c>
      <c r="E4" s="1326">
        <v>27463200000</v>
      </c>
      <c r="F4" s="1630">
        <f t="shared" ref="F4:G10" si="0">+B4/D4</f>
        <v>1.4896395211207538E-3</v>
      </c>
      <c r="G4" s="1201">
        <f t="shared" si="0"/>
        <v>7.3996532647942787E-2</v>
      </c>
    </row>
    <row r="5" spans="1:20" ht="18.75">
      <c r="A5" s="1600">
        <v>2008</v>
      </c>
      <c r="B5" s="1696">
        <v>9869270716</v>
      </c>
      <c r="C5" s="1326">
        <v>9869270722.4109993</v>
      </c>
      <c r="D5" s="1326">
        <v>1576162800000</v>
      </c>
      <c r="E5" s="1326">
        <v>30271700000</v>
      </c>
      <c r="F5" s="1630">
        <f t="shared" si="0"/>
        <v>6.2615807935576199E-3</v>
      </c>
      <c r="G5" s="1201">
        <f t="shared" si="0"/>
        <v>0.32602300902859765</v>
      </c>
    </row>
    <row r="6" spans="1:20" ht="18.75">
      <c r="A6" s="1600">
        <v>2009</v>
      </c>
      <c r="B6" s="1696">
        <v>13535189361</v>
      </c>
      <c r="C6" s="1326">
        <v>13535189358.604</v>
      </c>
      <c r="D6" s="1326">
        <v>1678762600000</v>
      </c>
      <c r="E6" s="1326">
        <v>33127100000</v>
      </c>
      <c r="F6" s="1630">
        <f t="shared" si="0"/>
        <v>8.0625988218941732E-3</v>
      </c>
      <c r="G6" s="1201">
        <f t="shared" si="0"/>
        <v>0.40858358741344702</v>
      </c>
    </row>
    <row r="7" spans="1:20" ht="18.75">
      <c r="A7" s="1600">
        <v>2010</v>
      </c>
      <c r="B7" s="1696">
        <v>18477437875.700005</v>
      </c>
      <c r="C7" s="1326">
        <v>18641500102.290001</v>
      </c>
      <c r="D7" s="1326">
        <v>1901896700000</v>
      </c>
      <c r="E7" s="1326">
        <v>37812200000</v>
      </c>
      <c r="F7" s="1630">
        <f t="shared" si="0"/>
        <v>9.715268907980126E-3</v>
      </c>
      <c r="G7" s="1201">
        <f t="shared" si="0"/>
        <v>0.49300226123552721</v>
      </c>
    </row>
    <row r="8" spans="1:20" ht="18.75">
      <c r="A8" s="1600">
        <v>2011</v>
      </c>
      <c r="B8" s="1696">
        <v>20062748973.299999</v>
      </c>
      <c r="C8" s="1326">
        <v>20063500652.219997</v>
      </c>
      <c r="D8" s="1326">
        <v>2119301800000</v>
      </c>
      <c r="E8" s="1326">
        <v>42757300000</v>
      </c>
      <c r="F8" s="1630">
        <f t="shared" si="0"/>
        <v>9.4666785888163733E-3</v>
      </c>
      <c r="G8" s="1201">
        <f t="shared" si="0"/>
        <v>0.46924152489095422</v>
      </c>
    </row>
    <row r="9" spans="1:20" ht="18.75">
      <c r="A9" s="1600">
        <v>2012</v>
      </c>
      <c r="B9" s="1696">
        <v>22215762752.369999</v>
      </c>
      <c r="C9" s="1326">
        <v>22203096637.91</v>
      </c>
      <c r="D9" s="1326">
        <v>2316783700000</v>
      </c>
      <c r="E9" s="1326">
        <v>45008500000</v>
      </c>
      <c r="F9" s="1630">
        <f t="shared" si="0"/>
        <v>9.5890534590561908E-3</v>
      </c>
      <c r="G9" s="1201">
        <f t="shared" si="0"/>
        <v>0.49330896692646942</v>
      </c>
      <c r="T9" s="72"/>
    </row>
    <row r="10" spans="1:20" ht="21" customHeight="1">
      <c r="A10" s="1600" t="s">
        <v>1643</v>
      </c>
      <c r="B10" s="1696">
        <v>24571820259.939999</v>
      </c>
      <c r="C10" s="1605">
        <v>22674493751.91</v>
      </c>
      <c r="D10" s="1326">
        <f>2534067.8*1000000</f>
        <v>2534067800000</v>
      </c>
      <c r="E10" s="1609" t="s">
        <v>1653</v>
      </c>
      <c r="F10" s="1630">
        <f t="shared" si="0"/>
        <v>9.6965914881756519E-3</v>
      </c>
      <c r="G10" s="1201" t="e">
        <f t="shared" si="0"/>
        <v>#VALUE!</v>
      </c>
      <c r="M10" s="1944"/>
      <c r="T10" s="72"/>
    </row>
    <row r="11" spans="1:20" ht="21" hidden="1" customHeight="1">
      <c r="A11" s="1600" t="s">
        <v>1891</v>
      </c>
      <c r="B11" s="1696">
        <f>6503136272.97+1996372892.71+2276653744.7+2228477760.26+2475432972.13</f>
        <v>15480073642.77</v>
      </c>
      <c r="C11" s="1605">
        <v>22674493751.91</v>
      </c>
      <c r="D11" s="1326">
        <f>2534067.8*1000000</f>
        <v>2534067800000</v>
      </c>
      <c r="E11" s="1609" t="s">
        <v>1653</v>
      </c>
      <c r="F11" s="1630">
        <f>+B11/D11</f>
        <v>6.1087843201235578E-3</v>
      </c>
      <c r="G11" s="1201"/>
      <c r="I11" s="1943"/>
      <c r="M11" s="1944"/>
      <c r="T11" s="72"/>
    </row>
    <row r="12" spans="1:20" s="347" customFormat="1" ht="21.75" customHeight="1">
      <c r="A12" s="613" t="s">
        <v>23</v>
      </c>
      <c r="B12" s="1308">
        <f>SUM(B4:C10)</f>
        <v>219783644317.07202</v>
      </c>
      <c r="C12" s="1308">
        <f>SUM(C4:C10)</f>
        <v>109019232800.76199</v>
      </c>
      <c r="D12" s="1202"/>
      <c r="E12" s="1202"/>
      <c r="F12" s="1308"/>
      <c r="G12" s="1308"/>
      <c r="H12" s="128"/>
      <c r="I12" s="128"/>
      <c r="T12" s="72"/>
    </row>
    <row r="13" spans="1:20" s="347" customFormat="1" ht="21.75" customHeight="1">
      <c r="A13" s="1977" t="s">
        <v>1920</v>
      </c>
      <c r="B13" s="1977"/>
      <c r="C13" s="1977"/>
      <c r="D13" s="1977"/>
      <c r="E13" s="1977"/>
      <c r="F13" s="1977"/>
      <c r="G13" s="1763"/>
      <c r="H13" s="128"/>
      <c r="I13" s="128"/>
      <c r="T13" s="72"/>
    </row>
    <row r="14" spans="1:20">
      <c r="C14" s="1"/>
      <c r="D14" s="1"/>
      <c r="E14" s="1"/>
      <c r="F14" s="1"/>
      <c r="G14" s="1"/>
      <c r="H14" s="1"/>
      <c r="I14" s="1"/>
    </row>
    <row r="15" spans="1:20">
      <c r="C15" s="1"/>
      <c r="D15" s="1"/>
      <c r="E15" s="1"/>
      <c r="F15" s="1"/>
      <c r="G15" s="1"/>
      <c r="H15" s="1"/>
      <c r="I15" s="1"/>
    </row>
    <row r="16" spans="1:20">
      <c r="C16" s="1"/>
      <c r="D16" s="1"/>
      <c r="E16" s="1"/>
      <c r="F16" s="1"/>
      <c r="G16" s="1"/>
      <c r="H16" s="1"/>
      <c r="I16" s="1"/>
    </row>
    <row r="17" spans="1:9">
      <c r="C17" s="1"/>
      <c r="D17" s="1"/>
      <c r="E17" s="1"/>
      <c r="F17" s="1"/>
      <c r="G17" s="1"/>
      <c r="H17" s="1"/>
      <c r="I17" s="1"/>
    </row>
    <row r="18" spans="1:9">
      <c r="A18" s="128"/>
      <c r="B18" s="128"/>
      <c r="C18" s="1"/>
      <c r="D18" s="1"/>
      <c r="E18" s="1"/>
      <c r="F18" s="1"/>
      <c r="G18" s="1"/>
      <c r="H18" s="1"/>
      <c r="I18" s="1"/>
    </row>
    <row r="19" spans="1:9">
      <c r="A19" s="128"/>
      <c r="B19" s="128"/>
      <c r="C19" s="1"/>
      <c r="D19" s="1"/>
      <c r="E19" s="1"/>
      <c r="F19" s="1"/>
      <c r="G19" s="1"/>
      <c r="H19" s="1"/>
      <c r="I19" s="1"/>
    </row>
    <row r="20" spans="1:9">
      <c r="A20" s="128"/>
      <c r="B20" s="128"/>
      <c r="C20" s="1"/>
      <c r="D20" s="1"/>
      <c r="E20" s="1"/>
      <c r="F20" s="1"/>
      <c r="G20" s="1"/>
      <c r="H20" s="1"/>
      <c r="I20" s="1"/>
    </row>
    <row r="21" spans="1:9">
      <c r="A21" s="128"/>
      <c r="B21" s="128"/>
      <c r="C21" s="1"/>
      <c r="D21" s="1"/>
      <c r="E21" s="1"/>
      <c r="F21" s="1"/>
      <c r="G21" s="1"/>
      <c r="H21" s="1"/>
      <c r="I21" s="1"/>
    </row>
    <row r="22" spans="1:9">
      <c r="A22" s="128"/>
      <c r="B22" s="128"/>
      <c r="C22" s="1"/>
      <c r="D22" s="1"/>
      <c r="E22" s="1"/>
      <c r="F22" s="1"/>
      <c r="G22" s="1"/>
      <c r="H22" s="1"/>
      <c r="I22" s="1"/>
    </row>
    <row r="23" spans="1:9">
      <c r="A23" s="128"/>
      <c r="B23" s="128"/>
      <c r="C23" s="1"/>
      <c r="D23" s="1"/>
      <c r="E23" s="1"/>
      <c r="F23" s="1"/>
      <c r="G23" s="1"/>
      <c r="H23" s="1"/>
      <c r="I23" s="1"/>
    </row>
    <row r="24" spans="1:9">
      <c r="A24" s="128"/>
      <c r="B24" s="128"/>
      <c r="C24" s="1"/>
      <c r="D24" s="1"/>
      <c r="E24" s="1"/>
      <c r="F24" s="1"/>
      <c r="G24" s="1"/>
      <c r="H24" s="1"/>
      <c r="I24" s="1"/>
    </row>
    <row r="25" spans="1:9">
      <c r="A25" s="128"/>
      <c r="B25" s="128"/>
      <c r="C25" s="1"/>
      <c r="D25" s="1"/>
      <c r="E25" s="1"/>
      <c r="F25" s="1"/>
      <c r="G25" s="1"/>
      <c r="H25" s="1"/>
      <c r="I25" s="1"/>
    </row>
    <row r="26" spans="1:9">
      <c r="A26" s="128"/>
      <c r="B26" s="128"/>
      <c r="C26" s="1"/>
      <c r="D26" s="1"/>
      <c r="E26" s="1"/>
      <c r="F26" s="1"/>
      <c r="G26" s="1"/>
      <c r="H26" s="1"/>
      <c r="I26" s="1"/>
    </row>
    <row r="27" spans="1:9">
      <c r="A27" s="128"/>
      <c r="B27" s="128"/>
      <c r="C27" s="1"/>
      <c r="D27" s="1"/>
      <c r="E27" s="1"/>
      <c r="F27" s="1"/>
      <c r="G27" s="1"/>
      <c r="H27" s="1"/>
      <c r="I27" s="1"/>
    </row>
    <row r="28" spans="1:9">
      <c r="A28" s="128"/>
      <c r="B28" s="128"/>
      <c r="C28" s="1"/>
      <c r="D28" s="1"/>
      <c r="E28" s="1"/>
      <c r="F28" s="1"/>
      <c r="G28" s="1"/>
      <c r="H28" s="1"/>
      <c r="I28" s="1"/>
    </row>
    <row r="29" spans="1:9">
      <c r="A29" s="128"/>
      <c r="B29" s="128"/>
      <c r="C29" s="1"/>
      <c r="D29" s="1"/>
      <c r="E29" s="1"/>
      <c r="F29" s="1"/>
      <c r="G29" s="1"/>
      <c r="H29" s="1"/>
      <c r="I29" s="1"/>
    </row>
    <row r="30" spans="1:9">
      <c r="A30" s="128"/>
      <c r="B30" s="128"/>
      <c r="C30" s="1"/>
      <c r="D30" s="1"/>
      <c r="E30" s="1"/>
      <c r="F30" s="1"/>
      <c r="G30" s="1"/>
      <c r="H30" s="1"/>
      <c r="I30" s="1"/>
    </row>
    <row r="31" spans="1:9">
      <c r="A31" s="128"/>
      <c r="B31" s="128"/>
      <c r="C31" s="1"/>
      <c r="D31" s="1"/>
      <c r="E31" s="1"/>
      <c r="F31" s="1"/>
      <c r="G31" s="1"/>
      <c r="H31" s="1"/>
      <c r="I31" s="1"/>
    </row>
    <row r="32" spans="1:9">
      <c r="A32" s="128"/>
      <c r="B32" s="128"/>
      <c r="C32" s="1"/>
      <c r="D32" s="1"/>
      <c r="E32" s="1"/>
      <c r="F32" s="1"/>
      <c r="G32" s="1"/>
      <c r="H32" s="1"/>
      <c r="I32" s="1"/>
    </row>
    <row r="33" spans="1:9">
      <c r="A33" s="128"/>
      <c r="B33" s="128"/>
      <c r="C33" s="1"/>
      <c r="D33" s="1"/>
      <c r="E33" s="1"/>
      <c r="F33" s="1"/>
      <c r="G33" s="1"/>
      <c r="H33" s="1"/>
      <c r="I33" s="1"/>
    </row>
    <row r="34" spans="1:9">
      <c r="A34" s="128"/>
      <c r="B34" s="128"/>
      <c r="C34" s="1"/>
      <c r="D34" s="1"/>
      <c r="E34" s="1"/>
      <c r="F34" s="1"/>
      <c r="G34" s="1"/>
      <c r="H34" s="1"/>
      <c r="I34" s="1"/>
    </row>
    <row r="35" spans="1:9">
      <c r="A35" s="128"/>
      <c r="B35" s="128"/>
      <c r="C35" s="1"/>
      <c r="D35" s="1"/>
      <c r="E35" s="1"/>
      <c r="F35" s="1"/>
      <c r="G35" s="1"/>
      <c r="H35" s="1"/>
      <c r="I35" s="1"/>
    </row>
    <row r="36" spans="1:9">
      <c r="A36" s="128"/>
      <c r="B36" s="128"/>
      <c r="C36" s="1"/>
      <c r="D36" s="1"/>
      <c r="E36" s="1"/>
      <c r="F36" s="1"/>
      <c r="G36" s="1"/>
      <c r="H36" s="1"/>
      <c r="I36" s="1"/>
    </row>
    <row r="37" spans="1:9">
      <c r="A37" s="128"/>
      <c r="B37" s="128"/>
      <c r="C37" s="1"/>
      <c r="D37" s="1"/>
      <c r="E37" s="1"/>
      <c r="F37" s="1"/>
      <c r="G37" s="1"/>
      <c r="H37" s="1"/>
      <c r="I37" s="1"/>
    </row>
    <row r="38" spans="1:9">
      <c r="A38" s="128"/>
      <c r="B38" s="128"/>
      <c r="C38" s="1"/>
      <c r="D38" s="1"/>
      <c r="E38" s="1"/>
      <c r="F38" s="1"/>
      <c r="G38" s="1"/>
      <c r="H38" s="1"/>
      <c r="I38" s="1"/>
    </row>
    <row r="39" spans="1:9">
      <c r="A39" s="128"/>
      <c r="B39" s="128"/>
      <c r="C39" s="1"/>
      <c r="D39" s="1"/>
      <c r="E39" s="1"/>
      <c r="F39" s="1"/>
      <c r="G39" s="1"/>
      <c r="H39" s="1"/>
      <c r="I39" s="1"/>
    </row>
    <row r="40" spans="1:9">
      <c r="A40" s="128"/>
      <c r="B40" s="128"/>
      <c r="C40" s="1"/>
      <c r="D40" s="1"/>
      <c r="E40" s="1"/>
      <c r="F40" s="1"/>
      <c r="G40" s="1"/>
      <c r="H40" s="1"/>
      <c r="I40" s="1"/>
    </row>
    <row r="41" spans="1:9">
      <c r="A41" s="128"/>
      <c r="B41" s="128"/>
      <c r="C41" s="1"/>
      <c r="D41" s="1"/>
      <c r="E41" s="1"/>
      <c r="F41" s="1"/>
      <c r="G41" s="1"/>
      <c r="H41" s="1"/>
      <c r="I41" s="1"/>
    </row>
    <row r="42" spans="1:9">
      <c r="A42" s="128"/>
      <c r="B42" s="128"/>
      <c r="C42" s="1"/>
      <c r="D42" s="1"/>
      <c r="E42" s="1"/>
      <c r="F42" s="1"/>
      <c r="G42" s="1"/>
      <c r="H42" s="1"/>
      <c r="I42" s="1"/>
    </row>
    <row r="43" spans="1:9">
      <c r="A43" s="128"/>
      <c r="B43" s="128"/>
      <c r="C43" s="1"/>
      <c r="D43" s="1"/>
      <c r="E43" s="1"/>
      <c r="F43" s="1"/>
      <c r="G43" s="1"/>
      <c r="H43" s="1"/>
      <c r="I43" s="1"/>
    </row>
    <row r="44" spans="1:9">
      <c r="A44" s="128"/>
      <c r="B44" s="128"/>
      <c r="C44" s="1"/>
      <c r="D44" s="1"/>
      <c r="E44" s="1"/>
      <c r="F44" s="1"/>
      <c r="G44" s="1"/>
      <c r="H44" s="1"/>
      <c r="I44" s="1"/>
    </row>
    <row r="45" spans="1:9">
      <c r="A45" s="128"/>
      <c r="B45" s="128"/>
    </row>
  </sheetData>
  <mergeCells count="1">
    <mergeCell ref="A1:K1"/>
  </mergeCells>
  <pageMargins left="0.7" right="0.7" top="0.75" bottom="0.75" header="0.3" footer="0.3"/>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55" zoomScaleNormal="100" zoomScaleSheetLayoutView="55" workbookViewId="0">
      <selection activeCell="S28" sqref="S28"/>
    </sheetView>
  </sheetViews>
  <sheetFormatPr baseColWidth="10" defaultColWidth="11.5703125" defaultRowHeight="15"/>
  <cols>
    <col min="7" max="7" width="12.5703125" customWidth="1"/>
  </cols>
  <sheetData/>
  <pageMargins left="0.7" right="0.7" top="0.75" bottom="0.75" header="0.3" footer="0.3"/>
  <pageSetup scale="6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7" tint="-0.249977111117893"/>
    <pageSetUpPr fitToPage="1"/>
  </sheetPr>
  <dimension ref="A1:P30"/>
  <sheetViews>
    <sheetView showGridLines="0" view="pageBreakPreview" zoomScale="85" zoomScaleNormal="100" zoomScaleSheetLayoutView="85" workbookViewId="0">
      <pane ySplit="1" topLeftCell="A2" activePane="bottomLeft" state="frozen"/>
      <selection pane="bottomLeft" activeCell="J8" sqref="J8"/>
    </sheetView>
  </sheetViews>
  <sheetFormatPr baseColWidth="10" defaultColWidth="11.42578125" defaultRowHeight="15"/>
  <cols>
    <col min="1" max="1" width="11" style="128" customWidth="1"/>
    <col min="2" max="2" width="12" style="128" customWidth="1"/>
    <col min="3" max="3" width="13.5703125" style="128" bestFit="1" customWidth="1"/>
    <col min="4" max="4" width="10.5703125" style="128" bestFit="1" customWidth="1"/>
    <col min="5" max="5" width="11.28515625" style="128" bestFit="1" customWidth="1"/>
    <col min="6" max="6" width="12.7109375" style="128" bestFit="1" customWidth="1"/>
    <col min="7" max="7" width="13.7109375" style="128" bestFit="1" customWidth="1"/>
    <col min="8" max="8" width="13.5703125" style="128" bestFit="1" customWidth="1"/>
    <col min="9" max="9" width="13.7109375" style="128" bestFit="1" customWidth="1"/>
    <col min="10" max="10" width="10.28515625" style="128" customWidth="1"/>
    <col min="11" max="11" width="11.140625" style="128" customWidth="1"/>
    <col min="12" max="12" width="15.140625" style="128" customWidth="1"/>
    <col min="13" max="13" width="19.85546875" style="128" customWidth="1"/>
    <col min="14" max="14" width="25.7109375" style="128" customWidth="1"/>
    <col min="15" max="15" width="14.28515625" style="128" customWidth="1"/>
    <col min="16" max="16384" width="11.42578125" style="128"/>
  </cols>
  <sheetData>
    <row r="1" spans="1:16" ht="71.25" customHeight="1">
      <c r="A1" s="2379" t="s">
        <v>2029</v>
      </c>
      <c r="B1" s="2379"/>
      <c r="C1" s="2379"/>
      <c r="D1" s="2379"/>
      <c r="E1" s="2379"/>
      <c r="F1" s="2379"/>
      <c r="G1" s="2379"/>
      <c r="H1" s="2379"/>
      <c r="I1" s="2379"/>
      <c r="J1" s="2379"/>
      <c r="K1" s="2379"/>
      <c r="L1" s="2379"/>
      <c r="M1" s="2379"/>
      <c r="N1" s="2379"/>
      <c r="O1"/>
      <c r="P1" s="418"/>
    </row>
    <row r="2" spans="1:16" s="59" customFormat="1" ht="3" customHeight="1">
      <c r="A2" s="694"/>
      <c r="B2" s="694"/>
      <c r="C2" s="694"/>
      <c r="D2" s="694"/>
      <c r="E2" s="694"/>
      <c r="F2" s="694"/>
      <c r="G2" s="694"/>
      <c r="H2" s="694"/>
      <c r="I2" s="694"/>
      <c r="J2" s="694"/>
      <c r="K2" s="694"/>
      <c r="L2" s="694"/>
      <c r="M2" s="694"/>
      <c r="N2" s="694"/>
      <c r="P2" s="690"/>
    </row>
    <row r="3" spans="1:16" ht="53.25" customHeight="1">
      <c r="A3" s="748" t="s">
        <v>25</v>
      </c>
      <c r="B3" s="1211" t="s">
        <v>1264</v>
      </c>
      <c r="C3" s="1211" t="s">
        <v>1282</v>
      </c>
      <c r="D3" s="1211" t="s">
        <v>191</v>
      </c>
      <c r="E3" s="1211" t="s">
        <v>199</v>
      </c>
      <c r="F3" s="1211" t="s">
        <v>201</v>
      </c>
      <c r="G3" s="844" t="s">
        <v>1283</v>
      </c>
      <c r="H3" s="844" t="s">
        <v>1284</v>
      </c>
      <c r="I3" s="844" t="s">
        <v>1285</v>
      </c>
      <c r="J3" s="844" t="s">
        <v>734</v>
      </c>
      <c r="K3" s="844" t="s">
        <v>735</v>
      </c>
      <c r="L3" s="749" t="s">
        <v>1286</v>
      </c>
      <c r="M3" s="749" t="s">
        <v>1287</v>
      </c>
      <c r="N3" s="749" t="s">
        <v>1288</v>
      </c>
    </row>
    <row r="4" spans="1:16" hidden="1">
      <c r="A4" s="622" t="s">
        <v>28</v>
      </c>
      <c r="B4" s="369">
        <v>38517</v>
      </c>
      <c r="C4" s="369">
        <v>13533</v>
      </c>
      <c r="D4" s="850">
        <f>B4+C4</f>
        <v>52050</v>
      </c>
      <c r="E4" s="851">
        <f>B4/D4</f>
        <v>0.74</v>
      </c>
      <c r="F4" s="851">
        <f>C4/D4</f>
        <v>0.26</v>
      </c>
      <c r="G4" s="1631" t="s">
        <v>963</v>
      </c>
      <c r="H4" s="1631" t="s">
        <v>963</v>
      </c>
      <c r="I4" s="854">
        <v>44000</v>
      </c>
      <c r="J4" s="854" t="s">
        <v>963</v>
      </c>
      <c r="K4" s="854" t="s">
        <v>963</v>
      </c>
      <c r="L4" s="890">
        <f>I4/D4</f>
        <v>0.84534101825168106</v>
      </c>
      <c r="M4" s="416" t="s">
        <v>963</v>
      </c>
      <c r="N4" s="416" t="s">
        <v>963</v>
      </c>
    </row>
    <row r="5" spans="1:16" hidden="1">
      <c r="A5" s="622" t="s">
        <v>29</v>
      </c>
      <c r="B5" s="804">
        <v>52578</v>
      </c>
      <c r="C5" s="369">
        <v>14840</v>
      </c>
      <c r="D5" s="852">
        <f t="shared" ref="D5:D14" si="0">B5+C5</f>
        <v>67418</v>
      </c>
      <c r="E5" s="851">
        <f t="shared" ref="E5:E11" si="1">B5/D5</f>
        <v>0.77988074401495144</v>
      </c>
      <c r="F5" s="851">
        <f>C5/D5</f>
        <v>0.2201192559850485</v>
      </c>
      <c r="G5" s="1631" t="s">
        <v>963</v>
      </c>
      <c r="H5" s="1631" t="s">
        <v>963</v>
      </c>
      <c r="I5" s="854">
        <v>65017</v>
      </c>
      <c r="J5" s="854" t="s">
        <v>963</v>
      </c>
      <c r="K5" s="854" t="s">
        <v>963</v>
      </c>
      <c r="L5" s="890">
        <f t="shared" ref="L5:L12" si="2">I5/D5</f>
        <v>0.9643863656590228</v>
      </c>
      <c r="M5" s="416" t="s">
        <v>963</v>
      </c>
      <c r="N5" s="416" t="s">
        <v>963</v>
      </c>
    </row>
    <row r="6" spans="1:16">
      <c r="A6" s="622" t="s">
        <v>30</v>
      </c>
      <c r="B6" s="804">
        <v>106192</v>
      </c>
      <c r="C6" s="369">
        <v>147182</v>
      </c>
      <c r="D6" s="852">
        <f t="shared" si="0"/>
        <v>253374</v>
      </c>
      <c r="E6" s="851">
        <f t="shared" si="1"/>
        <v>0.41911166891630552</v>
      </c>
      <c r="F6" s="851">
        <f>C6/D6</f>
        <v>0.58088833108369442</v>
      </c>
      <c r="G6" s="2140" t="s">
        <v>963</v>
      </c>
      <c r="H6" s="2140" t="s">
        <v>963</v>
      </c>
      <c r="I6" s="854">
        <v>266531</v>
      </c>
      <c r="J6" s="854" t="s">
        <v>963</v>
      </c>
      <c r="K6" s="854" t="s">
        <v>963</v>
      </c>
      <c r="L6" s="890">
        <f t="shared" si="2"/>
        <v>1.0519271906351875</v>
      </c>
      <c r="M6" s="416" t="s">
        <v>963</v>
      </c>
      <c r="N6" s="416" t="s">
        <v>963</v>
      </c>
    </row>
    <row r="7" spans="1:16">
      <c r="A7" s="622" t="s">
        <v>31</v>
      </c>
      <c r="B7" s="804">
        <v>258701</v>
      </c>
      <c r="C7" s="369">
        <v>255339</v>
      </c>
      <c r="D7" s="852">
        <f t="shared" si="0"/>
        <v>514040</v>
      </c>
      <c r="E7" s="851">
        <f t="shared" si="1"/>
        <v>0.50327017352735193</v>
      </c>
      <c r="F7" s="851">
        <f>C7/D7</f>
        <v>0.49672982647264802</v>
      </c>
      <c r="G7" s="249">
        <v>254831</v>
      </c>
      <c r="H7" s="249">
        <v>258585</v>
      </c>
      <c r="I7" s="854">
        <f t="shared" ref="I7:I15" si="3">G7+H7</f>
        <v>513416</v>
      </c>
      <c r="J7" s="855">
        <f t="shared" ref="J7:J12" si="4">G7/I7</f>
        <v>0.49634409523661127</v>
      </c>
      <c r="K7" s="855">
        <f t="shared" ref="K7:K12" si="5">H7/I7</f>
        <v>0.50365590476338873</v>
      </c>
      <c r="L7" s="890">
        <f t="shared" si="2"/>
        <v>0.998786086685861</v>
      </c>
      <c r="M7" s="890">
        <f>G7/B7</f>
        <v>0.9850406453782552</v>
      </c>
      <c r="N7" s="890">
        <f>H7/C7</f>
        <v>1.0127125116022229</v>
      </c>
    </row>
    <row r="8" spans="1:16">
      <c r="A8" s="622" t="s">
        <v>32</v>
      </c>
      <c r="B8" s="804">
        <v>387426</v>
      </c>
      <c r="C8" s="249">
        <v>585001</v>
      </c>
      <c r="D8" s="850">
        <f t="shared" si="0"/>
        <v>972427</v>
      </c>
      <c r="E8" s="851">
        <f t="shared" si="1"/>
        <v>0.39841139746222598</v>
      </c>
      <c r="F8" s="853">
        <f t="shared" ref="F8:F13" si="6">+C8/D8</f>
        <v>0.60158860253777402</v>
      </c>
      <c r="G8" s="249">
        <v>473647</v>
      </c>
      <c r="H8" s="249">
        <v>608289</v>
      </c>
      <c r="I8" s="854">
        <f t="shared" si="3"/>
        <v>1081936</v>
      </c>
      <c r="J8" s="855">
        <f t="shared" si="4"/>
        <v>0.43777728072640154</v>
      </c>
      <c r="K8" s="855">
        <f t="shared" si="5"/>
        <v>0.56222271927359846</v>
      </c>
      <c r="L8" s="890">
        <f t="shared" si="2"/>
        <v>1.1126141088225645</v>
      </c>
      <c r="M8" s="890">
        <f t="shared" ref="M8:N11" si="7">G8/B8</f>
        <v>1.2225483059990812</v>
      </c>
      <c r="N8" s="890">
        <f t="shared" si="7"/>
        <v>1.0398084789598649</v>
      </c>
    </row>
    <row r="9" spans="1:16">
      <c r="A9" s="622" t="s">
        <v>33</v>
      </c>
      <c r="B9" s="249">
        <v>496472</v>
      </c>
      <c r="C9" s="249">
        <v>746209</v>
      </c>
      <c r="D9" s="850">
        <f t="shared" si="0"/>
        <v>1242681</v>
      </c>
      <c r="E9" s="851">
        <f t="shared" si="1"/>
        <v>0.39951685106636375</v>
      </c>
      <c r="F9" s="853">
        <f t="shared" si="6"/>
        <v>0.60048314893363619</v>
      </c>
      <c r="G9" s="249">
        <v>489949</v>
      </c>
      <c r="H9" s="249">
        <v>734694</v>
      </c>
      <c r="I9" s="854">
        <f t="shared" si="3"/>
        <v>1224643</v>
      </c>
      <c r="J9" s="855">
        <f t="shared" si="4"/>
        <v>0.40007496062117692</v>
      </c>
      <c r="K9" s="855">
        <f t="shared" si="5"/>
        <v>0.59992503937882302</v>
      </c>
      <c r="L9" s="890">
        <f t="shared" si="2"/>
        <v>0.98548460948545924</v>
      </c>
      <c r="M9" s="890">
        <f t="shared" si="7"/>
        <v>0.98686129328542194</v>
      </c>
      <c r="N9" s="890">
        <f t="shared" si="7"/>
        <v>0.98456866641919361</v>
      </c>
      <c r="O9" s="22"/>
    </row>
    <row r="10" spans="1:16">
      <c r="A10" s="622" t="s">
        <v>34</v>
      </c>
      <c r="B10" s="249">
        <v>617444</v>
      </c>
      <c r="C10" s="249">
        <v>793708</v>
      </c>
      <c r="D10" s="850">
        <f t="shared" si="0"/>
        <v>1411152</v>
      </c>
      <c r="E10" s="851">
        <f t="shared" si="1"/>
        <v>0.43754606165742599</v>
      </c>
      <c r="F10" s="853">
        <f t="shared" si="6"/>
        <v>0.56245393834257396</v>
      </c>
      <c r="G10" s="249">
        <v>575190</v>
      </c>
      <c r="H10" s="249">
        <v>770976</v>
      </c>
      <c r="I10" s="854">
        <f t="shared" si="3"/>
        <v>1346166</v>
      </c>
      <c r="J10" s="855">
        <f t="shared" si="4"/>
        <v>0.42728014227071548</v>
      </c>
      <c r="K10" s="855">
        <f t="shared" si="5"/>
        <v>0.57271985772928447</v>
      </c>
      <c r="L10" s="890">
        <f t="shared" si="2"/>
        <v>0.95394826354637918</v>
      </c>
      <c r="M10" s="890">
        <f t="shared" si="7"/>
        <v>0.93156626349919991</v>
      </c>
      <c r="N10" s="890">
        <f t="shared" si="7"/>
        <v>0.97135974438962436</v>
      </c>
    </row>
    <row r="11" spans="1:16" ht="15" customHeight="1">
      <c r="A11" s="622" t="s">
        <v>359</v>
      </c>
      <c r="B11" s="805">
        <v>871911</v>
      </c>
      <c r="C11" s="805">
        <v>1151449</v>
      </c>
      <c r="D11" s="850">
        <f t="shared" si="0"/>
        <v>2023360</v>
      </c>
      <c r="E11" s="851">
        <f t="shared" si="1"/>
        <v>0.4309223272180927</v>
      </c>
      <c r="F11" s="853">
        <f t="shared" si="6"/>
        <v>0.56907767278190735</v>
      </c>
      <c r="G11" s="249">
        <v>880620</v>
      </c>
      <c r="H11" s="249">
        <v>967213</v>
      </c>
      <c r="I11" s="854">
        <f t="shared" si="3"/>
        <v>1847833</v>
      </c>
      <c r="J11" s="855">
        <f t="shared" si="4"/>
        <v>0.47656904060053046</v>
      </c>
      <c r="K11" s="855">
        <f t="shared" si="5"/>
        <v>0.52343095939946949</v>
      </c>
      <c r="L11" s="890">
        <f t="shared" si="2"/>
        <v>0.91324974300173967</v>
      </c>
      <c r="M11" s="890">
        <f t="shared" si="7"/>
        <v>1.0099884047798457</v>
      </c>
      <c r="N11" s="890">
        <f t="shared" si="7"/>
        <v>0.83999638716087299</v>
      </c>
    </row>
    <row r="12" spans="1:16">
      <c r="A12" s="622" t="s">
        <v>477</v>
      </c>
      <c r="B12" s="805">
        <v>842157</v>
      </c>
      <c r="C12" s="805">
        <v>1175266</v>
      </c>
      <c r="D12" s="850">
        <f t="shared" si="0"/>
        <v>2017423</v>
      </c>
      <c r="E12" s="851">
        <f>B12/D12</f>
        <v>0.41744195441412141</v>
      </c>
      <c r="F12" s="853">
        <f t="shared" si="6"/>
        <v>0.58255804558587865</v>
      </c>
      <c r="G12" s="249">
        <v>885431</v>
      </c>
      <c r="H12" s="249">
        <v>1110904</v>
      </c>
      <c r="I12" s="854">
        <f t="shared" si="3"/>
        <v>1996335</v>
      </c>
      <c r="J12" s="855">
        <f t="shared" si="4"/>
        <v>0.44352826554661418</v>
      </c>
      <c r="K12" s="855">
        <f t="shared" si="5"/>
        <v>0.55647173445338582</v>
      </c>
      <c r="L12" s="890">
        <f t="shared" si="2"/>
        <v>0.98954706078001486</v>
      </c>
      <c r="M12" s="890">
        <f t="shared" ref="M12:N14" si="8">G12/B12</f>
        <v>1.0513847180513847</v>
      </c>
      <c r="N12" s="890">
        <f t="shared" si="8"/>
        <v>0.94523622737320745</v>
      </c>
    </row>
    <row r="13" spans="1:16">
      <c r="A13" s="622" t="s">
        <v>1057</v>
      </c>
      <c r="B13" s="813">
        <v>1112659</v>
      </c>
      <c r="C13" s="813">
        <v>1222633</v>
      </c>
      <c r="D13" s="850">
        <f t="shared" si="0"/>
        <v>2335292</v>
      </c>
      <c r="E13" s="851">
        <f>B13/D13</f>
        <v>0.47645390811941291</v>
      </c>
      <c r="F13" s="853">
        <f t="shared" si="6"/>
        <v>0.52354609188058709</v>
      </c>
      <c r="G13" s="813">
        <v>1170009</v>
      </c>
      <c r="H13" s="813">
        <v>1124347</v>
      </c>
      <c r="I13" s="854">
        <f t="shared" si="3"/>
        <v>2294356</v>
      </c>
      <c r="J13" s="855">
        <f>G13/I13</f>
        <v>0.50995094048177358</v>
      </c>
      <c r="K13" s="855">
        <f>H13/I13</f>
        <v>0.49004905951822647</v>
      </c>
      <c r="L13" s="891">
        <f>I13/D13</f>
        <v>0.98247071458301571</v>
      </c>
      <c r="M13" s="891">
        <f t="shared" si="8"/>
        <v>1.051543195174802</v>
      </c>
      <c r="N13" s="891">
        <f t="shared" si="8"/>
        <v>0.9196111997631341</v>
      </c>
    </row>
    <row r="14" spans="1:16">
      <c r="A14" s="622" t="s">
        <v>1640</v>
      </c>
      <c r="B14" s="813">
        <v>1568225</v>
      </c>
      <c r="C14" s="813">
        <v>1183528</v>
      </c>
      <c r="D14" s="850">
        <f t="shared" si="0"/>
        <v>2751753</v>
      </c>
      <c r="E14" s="851">
        <f>B14/D14</f>
        <v>0.56990035079456625</v>
      </c>
      <c r="F14" s="853">
        <f>+C14/D14</f>
        <v>0.43009964920543375</v>
      </c>
      <c r="G14" s="813">
        <v>1467184</v>
      </c>
      <c r="H14" s="813">
        <v>1179715</v>
      </c>
      <c r="I14" s="854">
        <f t="shared" si="3"/>
        <v>2646899</v>
      </c>
      <c r="J14" s="855">
        <f>G14/I14</f>
        <v>0.55430297869318024</v>
      </c>
      <c r="K14" s="855">
        <f>H14/I14</f>
        <v>0.44569702130681982</v>
      </c>
      <c r="L14" s="891">
        <f>I14/D14</f>
        <v>0.9618955625741118</v>
      </c>
      <c r="M14" s="891">
        <f t="shared" si="8"/>
        <v>0.93556983213505718</v>
      </c>
      <c r="N14" s="891">
        <f t="shared" si="8"/>
        <v>0.99677827647508133</v>
      </c>
    </row>
    <row r="15" spans="1:16">
      <c r="A15" s="622" t="s">
        <v>1922</v>
      </c>
      <c r="B15" s="813">
        <v>1795214</v>
      </c>
      <c r="C15" s="813">
        <v>1220432</v>
      </c>
      <c r="D15" s="850">
        <f>B15+C15</f>
        <v>3015646</v>
      </c>
      <c r="E15" s="851">
        <f>B15/D15</f>
        <v>0.5952999788436707</v>
      </c>
      <c r="F15" s="853">
        <f>+C15/D15</f>
        <v>0.40470002115632936</v>
      </c>
      <c r="G15" s="813">
        <v>1795214</v>
      </c>
      <c r="H15" s="813">
        <v>1220432</v>
      </c>
      <c r="I15" s="854">
        <f t="shared" si="3"/>
        <v>3015646</v>
      </c>
      <c r="J15" s="855">
        <f>G15/I15</f>
        <v>0.5952999788436707</v>
      </c>
      <c r="K15" s="855">
        <f>H15/I15</f>
        <v>0.40470002115632936</v>
      </c>
      <c r="L15" s="891">
        <f>I15/D15</f>
        <v>1</v>
      </c>
      <c r="M15" s="891">
        <f>G15/B15</f>
        <v>1</v>
      </c>
      <c r="N15" s="891">
        <f>H15/C15</f>
        <v>1</v>
      </c>
    </row>
    <row r="30" spans="15:15">
      <c r="O30" s="128" t="s">
        <v>36</v>
      </c>
    </row>
  </sheetData>
  <mergeCells count="1">
    <mergeCell ref="A1:N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41"/>
  <sheetViews>
    <sheetView showGridLines="0" view="pageBreakPreview" zoomScale="70" zoomScaleNormal="70" zoomScaleSheetLayoutView="70" workbookViewId="0">
      <selection activeCell="P58" sqref="P58"/>
    </sheetView>
  </sheetViews>
  <sheetFormatPr baseColWidth="10" defaultColWidth="11.42578125" defaultRowHeight="15"/>
  <cols>
    <col min="1" max="1" width="11.42578125" style="128" customWidth="1"/>
    <col min="2" max="2" width="15" style="128" customWidth="1"/>
    <col min="3" max="3" width="15.85546875" style="128" customWidth="1"/>
    <col min="4" max="4" width="17" style="128" customWidth="1"/>
    <col min="5" max="5" width="11.140625" style="128" customWidth="1"/>
    <col min="6" max="6" width="11.85546875" style="128" customWidth="1"/>
    <col min="7" max="7" width="14.5703125" style="128" customWidth="1"/>
    <col min="8" max="8" width="13.5703125" style="128" customWidth="1"/>
    <col min="9" max="9" width="15.28515625" style="128" customWidth="1"/>
    <col min="10" max="10" width="11" style="128" customWidth="1"/>
    <col min="11" max="11" width="11.42578125" style="128" customWidth="1"/>
    <col min="12" max="12" width="14.140625" style="128" customWidth="1"/>
    <col min="13" max="13" width="11.42578125" style="128"/>
    <col min="14" max="14" width="4.5703125" style="128" customWidth="1"/>
    <col min="15" max="15" width="20" style="128" customWidth="1"/>
    <col min="16" max="16384" width="11.42578125" style="128"/>
  </cols>
  <sheetData>
    <row r="1" spans="1:14" ht="60.75" customHeight="1">
      <c r="A1" s="2380" t="s">
        <v>1946</v>
      </c>
      <c r="B1" s="2380"/>
      <c r="C1" s="2380"/>
      <c r="D1" s="2380"/>
      <c r="E1" s="2380"/>
      <c r="F1" s="2380"/>
      <c r="G1" s="2380"/>
      <c r="H1" s="2380"/>
      <c r="I1" s="2380"/>
      <c r="J1" s="2380"/>
      <c r="K1" s="2380"/>
      <c r="L1" s="2380"/>
      <c r="M1" s="2380"/>
      <c r="N1" s="2380"/>
    </row>
    <row r="2" spans="1:14" s="59" customFormat="1" ht="3" customHeight="1">
      <c r="A2" s="694"/>
      <c r="B2" s="694"/>
      <c r="C2" s="694"/>
      <c r="D2" s="694"/>
      <c r="E2" s="694"/>
      <c r="F2" s="694"/>
      <c r="G2" s="694"/>
      <c r="H2" s="694"/>
      <c r="I2" s="694"/>
      <c r="J2" s="694"/>
      <c r="K2" s="694"/>
      <c r="L2" s="694"/>
    </row>
    <row r="3" spans="1:14" ht="59.25" customHeight="1">
      <c r="A3" s="1327" t="s">
        <v>494</v>
      </c>
      <c r="B3" s="856" t="s">
        <v>1264</v>
      </c>
      <c r="C3" s="856" t="s">
        <v>1282</v>
      </c>
      <c r="D3" s="856" t="s">
        <v>191</v>
      </c>
      <c r="E3" s="856" t="s">
        <v>199</v>
      </c>
      <c r="F3" s="856" t="s">
        <v>201</v>
      </c>
      <c r="G3" s="844" t="s">
        <v>1283</v>
      </c>
      <c r="H3" s="844" t="s">
        <v>1284</v>
      </c>
      <c r="I3" s="844" t="s">
        <v>1285</v>
      </c>
      <c r="J3" s="857" t="s">
        <v>1289</v>
      </c>
      <c r="K3" s="857" t="s">
        <v>1290</v>
      </c>
      <c r="L3" s="857" t="s">
        <v>1291</v>
      </c>
    </row>
    <row r="4" spans="1:14" hidden="1">
      <c r="A4" s="858" t="s">
        <v>1030</v>
      </c>
      <c r="B4" s="514">
        <v>846161</v>
      </c>
      <c r="C4" s="514">
        <v>1164478</v>
      </c>
      <c r="D4" s="511">
        <f t="shared" ref="D4:D9" si="0">B4+C4</f>
        <v>2010639</v>
      </c>
      <c r="E4" s="815">
        <f t="shared" ref="E4:E9" si="1">B4/D4</f>
        <v>0.42084183187533913</v>
      </c>
      <c r="F4" s="816">
        <f t="shared" ref="F4:F9" si="2">C4/D4</f>
        <v>0.57915816812466092</v>
      </c>
      <c r="G4" s="512">
        <v>887644</v>
      </c>
      <c r="H4" s="512">
        <v>1109580</v>
      </c>
      <c r="I4" s="513">
        <f t="shared" ref="I4:I9" si="3">G4+H4</f>
        <v>1997224</v>
      </c>
      <c r="J4" s="817">
        <f t="shared" ref="J4:J9" si="4">G4/I4</f>
        <v>0.44443888116705987</v>
      </c>
      <c r="K4" s="817">
        <f t="shared" ref="K4:K9" si="5">H4/I4</f>
        <v>0.55556111883294013</v>
      </c>
      <c r="L4" s="817">
        <f t="shared" ref="L4:L9" si="6">I4/D4</f>
        <v>0.9933279917478971</v>
      </c>
    </row>
    <row r="5" spans="1:14" hidden="1">
      <c r="A5" s="858" t="s">
        <v>946</v>
      </c>
      <c r="B5" s="515">
        <v>842157</v>
      </c>
      <c r="C5" s="515">
        <v>1175266</v>
      </c>
      <c r="D5" s="516">
        <f t="shared" si="0"/>
        <v>2017423</v>
      </c>
      <c r="E5" s="816">
        <f t="shared" si="1"/>
        <v>0.41744195441412141</v>
      </c>
      <c r="F5" s="816">
        <f t="shared" si="2"/>
        <v>0.58255804558587865</v>
      </c>
      <c r="G5" s="512">
        <v>885431</v>
      </c>
      <c r="H5" s="512">
        <v>1110904</v>
      </c>
      <c r="I5" s="513">
        <f t="shared" si="3"/>
        <v>1996335</v>
      </c>
      <c r="J5" s="818">
        <f t="shared" si="4"/>
        <v>0.44352826554661418</v>
      </c>
      <c r="K5" s="818">
        <f t="shared" si="5"/>
        <v>0.55647173445338582</v>
      </c>
      <c r="L5" s="818">
        <f t="shared" si="6"/>
        <v>0.98954706078001486</v>
      </c>
    </row>
    <row r="6" spans="1:14" hidden="1">
      <c r="A6" s="858" t="s">
        <v>1031</v>
      </c>
      <c r="B6" s="515">
        <v>838987</v>
      </c>
      <c r="C6" s="515">
        <f>+'[7]IV.2.1.1 fil anual SFS RS '!C12</f>
        <v>1206294</v>
      </c>
      <c r="D6" s="516">
        <f t="shared" si="0"/>
        <v>2045281</v>
      </c>
      <c r="E6" s="816">
        <f t="shared" si="1"/>
        <v>0.41020622594156991</v>
      </c>
      <c r="F6" s="816">
        <f t="shared" si="2"/>
        <v>0.58979377405843014</v>
      </c>
      <c r="G6" s="512">
        <v>883775</v>
      </c>
      <c r="H6" s="512">
        <f>+'[7]IV.2.1.1 fil anual SFS RS '!H12</f>
        <v>1133486</v>
      </c>
      <c r="I6" s="513">
        <f t="shared" si="3"/>
        <v>2017261</v>
      </c>
      <c r="J6" s="818">
        <f t="shared" si="4"/>
        <v>0.43810642252043736</v>
      </c>
      <c r="K6" s="818">
        <f t="shared" si="5"/>
        <v>0.56189357747956259</v>
      </c>
      <c r="L6" s="818">
        <f t="shared" si="6"/>
        <v>0.98630017097895106</v>
      </c>
    </row>
    <row r="7" spans="1:14" hidden="1">
      <c r="A7" s="858" t="s">
        <v>1032</v>
      </c>
      <c r="B7" s="515">
        <v>873387</v>
      </c>
      <c r="C7" s="515">
        <v>1184802</v>
      </c>
      <c r="D7" s="516">
        <f t="shared" si="0"/>
        <v>2058189</v>
      </c>
      <c r="E7" s="816">
        <f t="shared" si="1"/>
        <v>0.42434732670323277</v>
      </c>
      <c r="F7" s="816">
        <f t="shared" si="2"/>
        <v>0.57565267329676717</v>
      </c>
      <c r="G7" s="517">
        <v>881739</v>
      </c>
      <c r="H7" s="517">
        <v>1118483</v>
      </c>
      <c r="I7" s="513">
        <f t="shared" si="3"/>
        <v>2000222</v>
      </c>
      <c r="J7" s="818">
        <f t="shared" si="4"/>
        <v>0.44082056891685023</v>
      </c>
      <c r="K7" s="818">
        <f t="shared" si="5"/>
        <v>0.55917943108314982</v>
      </c>
      <c r="L7" s="818">
        <f t="shared" si="6"/>
        <v>0.97183591983049178</v>
      </c>
    </row>
    <row r="8" spans="1:14" hidden="1">
      <c r="A8" s="858" t="s">
        <v>943</v>
      </c>
      <c r="B8" s="515">
        <v>953495</v>
      </c>
      <c r="C8" s="515">
        <v>1198586</v>
      </c>
      <c r="D8" s="516">
        <f t="shared" si="0"/>
        <v>2152081</v>
      </c>
      <c r="E8" s="816">
        <f t="shared" si="1"/>
        <v>0.44305720834857054</v>
      </c>
      <c r="F8" s="816">
        <f t="shared" si="2"/>
        <v>0.55694279165142946</v>
      </c>
      <c r="G8" s="517">
        <v>924686</v>
      </c>
      <c r="H8" s="517">
        <v>1121010</v>
      </c>
      <c r="I8" s="513">
        <f t="shared" si="3"/>
        <v>2045696</v>
      </c>
      <c r="J8" s="818">
        <f t="shared" si="4"/>
        <v>0.45201535320986108</v>
      </c>
      <c r="K8" s="818">
        <f t="shared" si="5"/>
        <v>0.54798464679013892</v>
      </c>
      <c r="L8" s="818">
        <f t="shared" si="6"/>
        <v>0.95056645172742105</v>
      </c>
    </row>
    <row r="9" spans="1:14" hidden="1">
      <c r="A9" s="858" t="s">
        <v>957</v>
      </c>
      <c r="B9" s="515">
        <v>1001323</v>
      </c>
      <c r="C9" s="515">
        <v>1206294</v>
      </c>
      <c r="D9" s="516">
        <f t="shared" si="0"/>
        <v>2207617</v>
      </c>
      <c r="E9" s="816">
        <f t="shared" si="1"/>
        <v>0.45357641293757023</v>
      </c>
      <c r="F9" s="816">
        <f t="shared" si="2"/>
        <v>0.54642358706242977</v>
      </c>
      <c r="G9" s="517">
        <v>1012989</v>
      </c>
      <c r="H9" s="517">
        <v>1133486</v>
      </c>
      <c r="I9" s="513">
        <f t="shared" si="3"/>
        <v>2146475</v>
      </c>
      <c r="J9" s="818">
        <f t="shared" si="4"/>
        <v>0.47193142244843289</v>
      </c>
      <c r="K9" s="818">
        <f t="shared" si="5"/>
        <v>0.52806857755156711</v>
      </c>
      <c r="L9" s="818">
        <f t="shared" si="6"/>
        <v>0.97230407267202601</v>
      </c>
    </row>
    <row r="10" spans="1:14" hidden="1">
      <c r="A10" s="858" t="s">
        <v>1033</v>
      </c>
      <c r="B10" s="515">
        <v>1096860</v>
      </c>
      <c r="C10" s="515">
        <v>1236076</v>
      </c>
      <c r="D10" s="1281">
        <f t="shared" ref="D10:D18" si="7">B10+C10</f>
        <v>2332936</v>
      </c>
      <c r="E10" s="1282">
        <f t="shared" ref="E10:E19" si="8">B10/D10</f>
        <v>0.47016291917137892</v>
      </c>
      <c r="F10" s="1282">
        <f t="shared" ref="F10:F19" si="9">C10/D10</f>
        <v>0.52983708082862113</v>
      </c>
      <c r="G10" s="517">
        <v>1076541</v>
      </c>
      <c r="H10" s="517">
        <v>1140472</v>
      </c>
      <c r="I10" s="1283">
        <f t="shared" ref="I10:I18" si="10">G10+H10</f>
        <v>2217013</v>
      </c>
      <c r="J10" s="1284">
        <f>G10/I10</f>
        <v>0.48558172640394981</v>
      </c>
      <c r="K10" s="1284">
        <f>H10/I10</f>
        <v>0.51441827359605019</v>
      </c>
      <c r="L10" s="1284">
        <f t="shared" ref="L10:L26" si="11">I10/D10</f>
        <v>0.95031025283162507</v>
      </c>
    </row>
    <row r="11" spans="1:14" hidden="1">
      <c r="A11" s="858" t="s">
        <v>1034</v>
      </c>
      <c r="B11" s="515">
        <v>1096881</v>
      </c>
      <c r="C11" s="515">
        <v>1248700</v>
      </c>
      <c r="D11" s="1281">
        <f t="shared" si="7"/>
        <v>2345581</v>
      </c>
      <c r="E11" s="1282">
        <f t="shared" si="8"/>
        <v>0.46763722932612434</v>
      </c>
      <c r="F11" s="1282">
        <f t="shared" si="9"/>
        <v>0.53236277067387572</v>
      </c>
      <c r="G11" s="517">
        <v>1138379</v>
      </c>
      <c r="H11" s="517">
        <v>1152697</v>
      </c>
      <c r="I11" s="1283">
        <f t="shared" si="10"/>
        <v>2291076</v>
      </c>
      <c r="J11" s="1284">
        <f>G11/I11</f>
        <v>0.49687526734163334</v>
      </c>
      <c r="K11" s="1284">
        <f>H11/I11</f>
        <v>0.50312473265836666</v>
      </c>
      <c r="L11" s="1284">
        <f t="shared" si="11"/>
        <v>0.976762686941956</v>
      </c>
    </row>
    <row r="12" spans="1:14" hidden="1">
      <c r="A12" s="858" t="s">
        <v>1035</v>
      </c>
      <c r="B12" s="515">
        <v>1084285</v>
      </c>
      <c r="C12" s="515">
        <v>1251614</v>
      </c>
      <c r="D12" s="1281">
        <f t="shared" si="7"/>
        <v>2335899</v>
      </c>
      <c r="E12" s="1282">
        <f t="shared" si="8"/>
        <v>0.46418316887844896</v>
      </c>
      <c r="F12" s="1282">
        <f t="shared" si="9"/>
        <v>0.5358168311215511</v>
      </c>
      <c r="G12" s="517">
        <v>1134584</v>
      </c>
      <c r="H12" s="517">
        <v>1145172</v>
      </c>
      <c r="I12" s="1283">
        <f t="shared" si="10"/>
        <v>2279756</v>
      </c>
      <c r="J12" s="1284">
        <f>G12/I12</f>
        <v>0.49767782166161639</v>
      </c>
      <c r="K12" s="1284">
        <f>H12/I12</f>
        <v>0.50232217833838355</v>
      </c>
      <c r="L12" s="1284">
        <f t="shared" si="11"/>
        <v>0.97596514232849962</v>
      </c>
    </row>
    <row r="13" spans="1:14" hidden="1">
      <c r="A13" s="858" t="s">
        <v>1022</v>
      </c>
      <c r="B13" s="515">
        <v>1083846</v>
      </c>
      <c r="C13" s="515">
        <v>1259929</v>
      </c>
      <c r="D13" s="1281">
        <f t="shared" si="7"/>
        <v>2343775</v>
      </c>
      <c r="E13" s="1282">
        <f t="shared" si="8"/>
        <v>0.4624360273490416</v>
      </c>
      <c r="F13" s="1282">
        <f t="shared" si="9"/>
        <v>0.53756397265095834</v>
      </c>
      <c r="G13" s="517">
        <v>1144798</v>
      </c>
      <c r="H13" s="517">
        <v>1157281</v>
      </c>
      <c r="I13" s="1283">
        <f t="shared" si="10"/>
        <v>2302079</v>
      </c>
      <c r="J13" s="1284">
        <f>G13/I13</f>
        <v>0.49728875507747561</v>
      </c>
      <c r="K13" s="1284">
        <f>H13/I13</f>
        <v>0.50271124492252439</v>
      </c>
      <c r="L13" s="1284">
        <f t="shared" si="11"/>
        <v>0.98220989642777146</v>
      </c>
    </row>
    <row r="14" spans="1:14" hidden="1">
      <c r="A14" s="858" t="s">
        <v>1038</v>
      </c>
      <c r="B14" s="515">
        <v>1080519</v>
      </c>
      <c r="C14" s="515">
        <v>1210740</v>
      </c>
      <c r="D14" s="1281">
        <f t="shared" si="7"/>
        <v>2291259</v>
      </c>
      <c r="E14" s="1282">
        <f t="shared" si="8"/>
        <v>0.47158309034465329</v>
      </c>
      <c r="F14" s="1282">
        <f t="shared" si="9"/>
        <v>0.52841690965534671</v>
      </c>
      <c r="G14" s="517">
        <v>1143232</v>
      </c>
      <c r="H14" s="517">
        <v>1106238</v>
      </c>
      <c r="I14" s="1283">
        <f t="shared" si="10"/>
        <v>2249470</v>
      </c>
      <c r="J14" s="1284">
        <f>G14/I14</f>
        <v>0.50822282582119349</v>
      </c>
      <c r="K14" s="1284">
        <f>H14/I14</f>
        <v>0.49177717417880656</v>
      </c>
      <c r="L14" s="1284">
        <f t="shared" si="11"/>
        <v>0.98176155554653577</v>
      </c>
    </row>
    <row r="15" spans="1:14" hidden="1">
      <c r="A15" s="858" t="s">
        <v>1051</v>
      </c>
      <c r="B15" s="515">
        <v>1087248</v>
      </c>
      <c r="C15" s="515">
        <v>1216986</v>
      </c>
      <c r="D15" s="1281">
        <f t="shared" si="7"/>
        <v>2304234</v>
      </c>
      <c r="E15" s="1282">
        <f t="shared" si="8"/>
        <v>0.47184791127984399</v>
      </c>
      <c r="F15" s="1282">
        <f t="shared" si="9"/>
        <v>0.52815208872015607</v>
      </c>
      <c r="G15" s="814">
        <v>1108730</v>
      </c>
      <c r="H15" s="814">
        <v>1141397</v>
      </c>
      <c r="I15" s="1283">
        <f t="shared" si="10"/>
        <v>2250127</v>
      </c>
      <c r="J15" s="1284">
        <f t="shared" ref="J15:J26" si="12">G15/I15</f>
        <v>0.49274107639257697</v>
      </c>
      <c r="K15" s="1284">
        <f t="shared" ref="K15:K26" si="13">H15/I15</f>
        <v>0.50725892360742308</v>
      </c>
      <c r="L15" s="1284">
        <f t="shared" si="11"/>
        <v>0.97651844387332187</v>
      </c>
      <c r="M15" s="111"/>
    </row>
    <row r="16" spans="1:14" hidden="1">
      <c r="A16" s="858" t="s">
        <v>1050</v>
      </c>
      <c r="B16" s="515">
        <v>1099083</v>
      </c>
      <c r="C16" s="515">
        <v>1222513</v>
      </c>
      <c r="D16" s="1281">
        <f t="shared" si="7"/>
        <v>2321596</v>
      </c>
      <c r="E16" s="1282">
        <f t="shared" si="8"/>
        <v>0.47341699417125116</v>
      </c>
      <c r="F16" s="1282">
        <f t="shared" si="9"/>
        <v>0.52658300582874884</v>
      </c>
      <c r="G16" s="814">
        <v>1148491</v>
      </c>
      <c r="H16" s="814">
        <v>1116147</v>
      </c>
      <c r="I16" s="1283">
        <f t="shared" si="10"/>
        <v>2264638</v>
      </c>
      <c r="J16" s="1284">
        <f t="shared" si="12"/>
        <v>0.50714109716431499</v>
      </c>
      <c r="K16" s="1284">
        <f t="shared" si="13"/>
        <v>0.49285890283568501</v>
      </c>
      <c r="L16" s="1284">
        <f t="shared" si="11"/>
        <v>0.97546601562028878</v>
      </c>
      <c r="M16" s="111"/>
    </row>
    <row r="17" spans="1:12" hidden="1">
      <c r="A17" s="858" t="s">
        <v>1060</v>
      </c>
      <c r="B17" s="515">
        <v>1112659</v>
      </c>
      <c r="C17" s="515">
        <v>1222633</v>
      </c>
      <c r="D17" s="1281">
        <f t="shared" si="7"/>
        <v>2335292</v>
      </c>
      <c r="E17" s="1282">
        <f t="shared" si="8"/>
        <v>0.47645390811941291</v>
      </c>
      <c r="F17" s="1282">
        <f t="shared" si="9"/>
        <v>0.52354609188058709</v>
      </c>
      <c r="G17" s="814">
        <v>1170009</v>
      </c>
      <c r="H17" s="814">
        <v>1124347</v>
      </c>
      <c r="I17" s="1283">
        <f t="shared" si="10"/>
        <v>2294356</v>
      </c>
      <c r="J17" s="1284">
        <f t="shared" si="12"/>
        <v>0.50995094048177358</v>
      </c>
      <c r="K17" s="1284">
        <f t="shared" si="13"/>
        <v>0.49004905951822647</v>
      </c>
      <c r="L17" s="1284">
        <f t="shared" si="11"/>
        <v>0.98247071458301571</v>
      </c>
    </row>
    <row r="18" spans="1:12" hidden="1">
      <c r="A18" s="858" t="s">
        <v>1123</v>
      </c>
      <c r="B18" s="986">
        <v>1111005</v>
      </c>
      <c r="C18" s="986">
        <v>1223172</v>
      </c>
      <c r="D18" s="1281">
        <f t="shared" si="7"/>
        <v>2334177</v>
      </c>
      <c r="E18" s="1282">
        <f t="shared" si="8"/>
        <v>0.47597290179793561</v>
      </c>
      <c r="F18" s="1282">
        <f t="shared" si="9"/>
        <v>0.52402709820206439</v>
      </c>
      <c r="G18" s="814">
        <v>1178040</v>
      </c>
      <c r="H18" s="814">
        <v>1125311</v>
      </c>
      <c r="I18" s="1283">
        <f t="shared" si="10"/>
        <v>2303351</v>
      </c>
      <c r="J18" s="1284">
        <f t="shared" si="12"/>
        <v>0.51144614954472856</v>
      </c>
      <c r="K18" s="1284">
        <f t="shared" si="13"/>
        <v>0.4885538504552715</v>
      </c>
      <c r="L18" s="1284">
        <f t="shared" si="11"/>
        <v>0.9867936321881331</v>
      </c>
    </row>
    <row r="19" spans="1:12" hidden="1">
      <c r="A19" s="858" t="s">
        <v>1232</v>
      </c>
      <c r="B19" s="986">
        <v>1132226</v>
      </c>
      <c r="C19" s="986">
        <v>1224863</v>
      </c>
      <c r="D19" s="1281">
        <f>B19+C19</f>
        <v>2357089</v>
      </c>
      <c r="E19" s="1282">
        <f t="shared" si="8"/>
        <v>0.48034927828350987</v>
      </c>
      <c r="F19" s="1282">
        <f t="shared" si="9"/>
        <v>0.51965072171649018</v>
      </c>
      <c r="G19" s="814">
        <v>1188572</v>
      </c>
      <c r="H19" s="814">
        <v>1127338</v>
      </c>
      <c r="I19" s="1283">
        <f>G19+H19</f>
        <v>2315910</v>
      </c>
      <c r="J19" s="1284">
        <f t="shared" si="12"/>
        <v>0.51322028921676577</v>
      </c>
      <c r="K19" s="1284">
        <f t="shared" si="13"/>
        <v>0.48677971078323423</v>
      </c>
      <c r="L19" s="1284">
        <f t="shared" si="11"/>
        <v>0.98252972204274003</v>
      </c>
    </row>
    <row r="20" spans="1:12" hidden="1">
      <c r="A20" s="858" t="s">
        <v>1309</v>
      </c>
      <c r="B20" s="986">
        <v>1128997</v>
      </c>
      <c r="C20" s="986">
        <v>1225192</v>
      </c>
      <c r="D20" s="1281">
        <f t="shared" ref="D20:D31" si="14">B20+C20</f>
        <v>2354189</v>
      </c>
      <c r="E20" s="1282">
        <f t="shared" ref="E20:E25" si="15">B20/D20</f>
        <v>0.4795693973593454</v>
      </c>
      <c r="F20" s="1282">
        <f t="shared" ref="F20:F25" si="16">C20/D20</f>
        <v>0.52043060264065455</v>
      </c>
      <c r="G20" s="814">
        <v>1198908</v>
      </c>
      <c r="H20" s="814">
        <v>1127924</v>
      </c>
      <c r="I20" s="1283">
        <f t="shared" ref="I20:I31" si="17">G20+H20</f>
        <v>2326832</v>
      </c>
      <c r="J20" s="1284">
        <f t="shared" si="12"/>
        <v>0.51525335735454902</v>
      </c>
      <c r="K20" s="1284">
        <f t="shared" si="13"/>
        <v>0.48474664264545098</v>
      </c>
      <c r="L20" s="1284">
        <f t="shared" si="11"/>
        <v>0.98837943767471514</v>
      </c>
    </row>
    <row r="21" spans="1:12" hidden="1">
      <c r="A21" s="858" t="s">
        <v>1317</v>
      </c>
      <c r="B21" s="986">
        <v>1152495</v>
      </c>
      <c r="C21" s="986">
        <v>1215777</v>
      </c>
      <c r="D21" s="1281">
        <f t="shared" si="14"/>
        <v>2368272</v>
      </c>
      <c r="E21" s="1282">
        <f t="shared" si="15"/>
        <v>0.48663962585378706</v>
      </c>
      <c r="F21" s="1282">
        <f t="shared" si="16"/>
        <v>0.51336037414621294</v>
      </c>
      <c r="G21" s="814">
        <v>1207220</v>
      </c>
      <c r="H21" s="814">
        <v>1129213</v>
      </c>
      <c r="I21" s="1283">
        <f t="shared" si="17"/>
        <v>2336433</v>
      </c>
      <c r="J21" s="1284">
        <f t="shared" si="12"/>
        <v>0.51669360944653664</v>
      </c>
      <c r="K21" s="1284">
        <f t="shared" si="13"/>
        <v>0.48330639055346336</v>
      </c>
      <c r="L21" s="1284">
        <f t="shared" si="11"/>
        <v>0.98655602059222924</v>
      </c>
    </row>
    <row r="22" spans="1:12" hidden="1">
      <c r="A22" s="858" t="s">
        <v>1331</v>
      </c>
      <c r="B22" s="986">
        <v>1157102</v>
      </c>
      <c r="C22" s="986">
        <v>1228479</v>
      </c>
      <c r="D22" s="1281">
        <f t="shared" si="14"/>
        <v>2385581</v>
      </c>
      <c r="E22" s="1282">
        <f t="shared" si="15"/>
        <v>0.48503991270889563</v>
      </c>
      <c r="F22" s="1282">
        <f t="shared" si="16"/>
        <v>0.51496008729110432</v>
      </c>
      <c r="G22" s="814">
        <v>1217545</v>
      </c>
      <c r="H22" s="814">
        <v>1132373</v>
      </c>
      <c r="I22" s="1283">
        <f t="shared" si="17"/>
        <v>2349918</v>
      </c>
      <c r="J22" s="1284">
        <f t="shared" si="12"/>
        <v>0.5181223344814585</v>
      </c>
      <c r="K22" s="1284">
        <f t="shared" si="13"/>
        <v>0.4818776655185415</v>
      </c>
      <c r="L22" s="1284">
        <f t="shared" si="11"/>
        <v>0.98505060192883831</v>
      </c>
    </row>
    <row r="23" spans="1:12" hidden="1">
      <c r="A23" s="858" t="s">
        <v>1403</v>
      </c>
      <c r="B23" s="986">
        <v>1156074</v>
      </c>
      <c r="C23" s="986">
        <v>1245719</v>
      </c>
      <c r="D23" s="1281">
        <f t="shared" si="14"/>
        <v>2401793</v>
      </c>
      <c r="E23" s="1282">
        <f t="shared" si="15"/>
        <v>0.4813379004768521</v>
      </c>
      <c r="F23" s="1282">
        <f t="shared" si="16"/>
        <v>0.5186620995231479</v>
      </c>
      <c r="G23" s="814">
        <v>1214608</v>
      </c>
      <c r="H23" s="814">
        <v>1147039</v>
      </c>
      <c r="I23" s="1283">
        <f t="shared" si="17"/>
        <v>2361647</v>
      </c>
      <c r="J23" s="1284">
        <f t="shared" si="12"/>
        <v>0.51430548257212017</v>
      </c>
      <c r="K23" s="1284">
        <f t="shared" si="13"/>
        <v>0.48569451742787978</v>
      </c>
      <c r="L23" s="1284">
        <f t="shared" si="11"/>
        <v>0.9832849875072498</v>
      </c>
    </row>
    <row r="24" spans="1:12" hidden="1">
      <c r="A24" s="858" t="s">
        <v>1425</v>
      </c>
      <c r="B24" s="986">
        <v>1154801</v>
      </c>
      <c r="C24" s="986">
        <v>1253355</v>
      </c>
      <c r="D24" s="1281">
        <f t="shared" si="14"/>
        <v>2408156</v>
      </c>
      <c r="E24" s="1282">
        <f t="shared" si="15"/>
        <v>0.47953745521469537</v>
      </c>
      <c r="F24" s="1282">
        <f t="shared" si="16"/>
        <v>0.52046254478530463</v>
      </c>
      <c r="G24" s="814">
        <v>1214168</v>
      </c>
      <c r="H24" s="814">
        <v>1159169</v>
      </c>
      <c r="I24" s="1283">
        <f t="shared" si="17"/>
        <v>2373337</v>
      </c>
      <c r="J24" s="1284">
        <f t="shared" si="12"/>
        <v>0.51158685007649563</v>
      </c>
      <c r="K24" s="1284">
        <f t="shared" si="13"/>
        <v>0.48841314992350432</v>
      </c>
      <c r="L24" s="1284">
        <f t="shared" si="11"/>
        <v>0.98554121909045755</v>
      </c>
    </row>
    <row r="25" spans="1:12" hidden="1">
      <c r="A25" s="858" t="s">
        <v>1436</v>
      </c>
      <c r="B25" s="986">
        <v>1203705</v>
      </c>
      <c r="C25" s="986">
        <v>1244428</v>
      </c>
      <c r="D25" s="1281">
        <f t="shared" si="14"/>
        <v>2448133</v>
      </c>
      <c r="E25" s="1282">
        <f t="shared" si="15"/>
        <v>0.49168284566238846</v>
      </c>
      <c r="F25" s="1282">
        <f t="shared" si="16"/>
        <v>0.5083171543376116</v>
      </c>
      <c r="G25" s="814">
        <v>1244149</v>
      </c>
      <c r="H25" s="814">
        <v>1153813</v>
      </c>
      <c r="I25" s="1283">
        <f t="shared" si="17"/>
        <v>2397962</v>
      </c>
      <c r="J25" s="1284">
        <f t="shared" si="12"/>
        <v>0.51883599489900178</v>
      </c>
      <c r="K25" s="1284">
        <f t="shared" si="13"/>
        <v>0.48116400510099827</v>
      </c>
      <c r="L25" s="1284">
        <f t="shared" si="11"/>
        <v>0.97950642387484665</v>
      </c>
    </row>
    <row r="26" spans="1:12" hidden="1">
      <c r="A26" s="858" t="s">
        <v>1442</v>
      </c>
      <c r="B26" s="986">
        <v>1255349</v>
      </c>
      <c r="C26" s="986">
        <v>1245492</v>
      </c>
      <c r="D26" s="1281">
        <f t="shared" si="14"/>
        <v>2500841</v>
      </c>
      <c r="E26" s="1282">
        <v>0.50197073704405837</v>
      </c>
      <c r="F26" s="1282">
        <v>0.49802926295594163</v>
      </c>
      <c r="G26" s="814">
        <v>1265630</v>
      </c>
      <c r="H26" s="814">
        <v>1155763</v>
      </c>
      <c r="I26" s="1283">
        <f t="shared" si="17"/>
        <v>2421393</v>
      </c>
      <c r="J26" s="1284">
        <f t="shared" si="12"/>
        <v>0.52268673445409319</v>
      </c>
      <c r="K26" s="1284">
        <f t="shared" si="13"/>
        <v>0.47731326554590686</v>
      </c>
      <c r="L26" s="1284">
        <f t="shared" si="11"/>
        <v>0.96823148692779748</v>
      </c>
    </row>
    <row r="27" spans="1:12" hidden="1">
      <c r="A27" s="858" t="s">
        <v>1625</v>
      </c>
      <c r="B27" s="986">
        <v>1321271</v>
      </c>
      <c r="C27" s="986">
        <v>1165303</v>
      </c>
      <c r="D27" s="1281">
        <f t="shared" si="14"/>
        <v>2486574</v>
      </c>
      <c r="E27" s="1282">
        <v>0.50197073704405837</v>
      </c>
      <c r="F27" s="1282">
        <v>0.49802926295594163</v>
      </c>
      <c r="G27" s="814">
        <v>1319856</v>
      </c>
      <c r="H27" s="814">
        <v>1157813</v>
      </c>
      <c r="I27" s="1283">
        <f t="shared" si="17"/>
        <v>2477669</v>
      </c>
      <c r="J27" s="1284">
        <f t="shared" ref="J27:J32" si="18">G27/I27</f>
        <v>0.53270069569421907</v>
      </c>
      <c r="K27" s="1284">
        <f t="shared" ref="K27:K32" si="19">H27/I27</f>
        <v>0.46729930430578098</v>
      </c>
      <c r="L27" s="1284">
        <f t="shared" ref="L27:L32" si="20">I27/D27</f>
        <v>0.99641876734816659</v>
      </c>
    </row>
    <row r="28" spans="1:12" hidden="1">
      <c r="A28" s="858" t="s">
        <v>1628</v>
      </c>
      <c r="B28" s="986">
        <v>1467184</v>
      </c>
      <c r="C28" s="986">
        <v>1179715</v>
      </c>
      <c r="D28" s="1281">
        <f t="shared" si="14"/>
        <v>2646899</v>
      </c>
      <c r="E28" s="1282">
        <v>0.50197073704405837</v>
      </c>
      <c r="F28" s="1282">
        <v>0.49802926295594163</v>
      </c>
      <c r="G28" s="814">
        <v>1321271</v>
      </c>
      <c r="H28" s="814">
        <v>1165303</v>
      </c>
      <c r="I28" s="1283">
        <f t="shared" si="17"/>
        <v>2486574</v>
      </c>
      <c r="J28" s="1284">
        <f t="shared" si="18"/>
        <v>0.53136202662780196</v>
      </c>
      <c r="K28" s="1284">
        <f t="shared" si="19"/>
        <v>0.46863797337219804</v>
      </c>
      <c r="L28" s="1284">
        <f t="shared" si="20"/>
        <v>0.93942912064268413</v>
      </c>
    </row>
    <row r="29" spans="1:12">
      <c r="A29" s="858" t="s">
        <v>1644</v>
      </c>
      <c r="B29" s="986">
        <v>1568225</v>
      </c>
      <c r="C29" s="986">
        <v>1183528</v>
      </c>
      <c r="D29" s="1281">
        <f t="shared" si="14"/>
        <v>2751753</v>
      </c>
      <c r="E29" s="1282">
        <v>0.50197073704405837</v>
      </c>
      <c r="F29" s="1282">
        <v>0.49802926295594163</v>
      </c>
      <c r="G29" s="814">
        <v>1467184</v>
      </c>
      <c r="H29" s="814">
        <v>1179715</v>
      </c>
      <c r="I29" s="1283">
        <f t="shared" si="17"/>
        <v>2646899</v>
      </c>
      <c r="J29" s="1284">
        <f t="shared" si="18"/>
        <v>0.55430297869318024</v>
      </c>
      <c r="K29" s="1284">
        <f t="shared" si="19"/>
        <v>0.44569702130681982</v>
      </c>
      <c r="L29" s="1284">
        <f t="shared" si="20"/>
        <v>0.9618955625741118</v>
      </c>
    </row>
    <row r="30" spans="1:12">
      <c r="A30" s="858" t="s">
        <v>1657</v>
      </c>
      <c r="B30" s="986">
        <v>1556255</v>
      </c>
      <c r="C30" s="986">
        <v>1185229</v>
      </c>
      <c r="D30" s="1281">
        <f t="shared" si="14"/>
        <v>2741484</v>
      </c>
      <c r="E30" s="1282">
        <v>0.50197073704405837</v>
      </c>
      <c r="F30" s="1282">
        <v>0.49802926295594163</v>
      </c>
      <c r="G30" s="814">
        <v>1568225</v>
      </c>
      <c r="H30" s="814">
        <v>1183528</v>
      </c>
      <c r="I30" s="1283">
        <f t="shared" si="17"/>
        <v>2751753</v>
      </c>
      <c r="J30" s="1284">
        <f t="shared" si="18"/>
        <v>0.56990035079456625</v>
      </c>
      <c r="K30" s="1284">
        <f t="shared" si="19"/>
        <v>0.43009964920543375</v>
      </c>
      <c r="L30" s="1284">
        <f t="shared" si="20"/>
        <v>1.0037457814818544</v>
      </c>
    </row>
    <row r="31" spans="1:12">
      <c r="A31" s="858" t="s">
        <v>1733</v>
      </c>
      <c r="B31" s="986">
        <v>1565351</v>
      </c>
      <c r="C31" s="986">
        <v>1186190</v>
      </c>
      <c r="D31" s="1281">
        <f t="shared" si="14"/>
        <v>2751541</v>
      </c>
      <c r="E31" s="1282">
        <v>0.50197073704405837</v>
      </c>
      <c r="F31" s="1282">
        <v>0.49802926295594163</v>
      </c>
      <c r="G31" s="814">
        <v>1556255</v>
      </c>
      <c r="H31" s="814">
        <v>1185229</v>
      </c>
      <c r="I31" s="1283">
        <f t="shared" si="17"/>
        <v>2741484</v>
      </c>
      <c r="J31" s="1284">
        <f t="shared" si="18"/>
        <v>0.56766882462199308</v>
      </c>
      <c r="K31" s="1284">
        <f t="shared" si="19"/>
        <v>0.43233117537800697</v>
      </c>
      <c r="L31" s="1284">
        <f t="shared" si="20"/>
        <v>0.99634495724395888</v>
      </c>
    </row>
    <row r="32" spans="1:12">
      <c r="A32" s="858" t="s">
        <v>1750</v>
      </c>
      <c r="B32" s="986">
        <v>1559939</v>
      </c>
      <c r="C32" s="986">
        <v>1185744</v>
      </c>
      <c r="D32" s="1281">
        <f t="shared" ref="D32:D37" si="21">B32+C32</f>
        <v>2745683</v>
      </c>
      <c r="E32" s="1282">
        <v>0.50197073704405837</v>
      </c>
      <c r="F32" s="1282">
        <v>0.49802926295594163</v>
      </c>
      <c r="G32" s="814">
        <v>1565351</v>
      </c>
      <c r="H32" s="814">
        <v>1186190</v>
      </c>
      <c r="I32" s="1283">
        <f t="shared" ref="I32:I37" si="22">G32+H32</f>
        <v>2751541</v>
      </c>
      <c r="J32" s="1284">
        <f t="shared" si="18"/>
        <v>0.56889975471926457</v>
      </c>
      <c r="K32" s="1284">
        <f t="shared" si="19"/>
        <v>0.43110024528073543</v>
      </c>
      <c r="L32" s="1284">
        <f t="shared" si="20"/>
        <v>1.0021335310740533</v>
      </c>
    </row>
    <row r="33" spans="1:12">
      <c r="A33" s="858" t="s">
        <v>1756</v>
      </c>
      <c r="B33" s="986">
        <v>1555584</v>
      </c>
      <c r="C33" s="986">
        <v>1195316</v>
      </c>
      <c r="D33" s="1281">
        <f t="shared" si="21"/>
        <v>2750900</v>
      </c>
      <c r="E33" s="1282">
        <v>0.50197073704405837</v>
      </c>
      <c r="F33" s="1282">
        <v>0.49802926295594163</v>
      </c>
      <c r="G33" s="814">
        <v>1559939</v>
      </c>
      <c r="H33" s="814">
        <v>1185744</v>
      </c>
      <c r="I33" s="1283">
        <f t="shared" si="22"/>
        <v>2745683</v>
      </c>
      <c r="J33" s="1284">
        <f t="shared" ref="J33:J38" si="23">G33/I33</f>
        <v>0.56814242576437268</v>
      </c>
      <c r="K33" s="1284">
        <f t="shared" ref="K33:K38" si="24">H33/I33</f>
        <v>0.43185757423562737</v>
      </c>
      <c r="L33" s="1284">
        <f t="shared" ref="L33:L38" si="25">I33/D33</f>
        <v>0.99810352975389871</v>
      </c>
    </row>
    <row r="34" spans="1:12">
      <c r="A34" s="858" t="s">
        <v>1852</v>
      </c>
      <c r="B34" s="986">
        <v>1550134</v>
      </c>
      <c r="C34" s="986">
        <v>1208033</v>
      </c>
      <c r="D34" s="1281">
        <f t="shared" si="21"/>
        <v>2758167</v>
      </c>
      <c r="E34" s="1282">
        <v>0.50197073704405837</v>
      </c>
      <c r="F34" s="1282">
        <v>0.49802926295594163</v>
      </c>
      <c r="G34" s="814">
        <v>1555584</v>
      </c>
      <c r="H34" s="814">
        <v>1195316</v>
      </c>
      <c r="I34" s="1283">
        <f t="shared" si="22"/>
        <v>2750900</v>
      </c>
      <c r="J34" s="1284">
        <f t="shared" si="23"/>
        <v>0.56548184230615439</v>
      </c>
      <c r="K34" s="1284">
        <f t="shared" si="24"/>
        <v>0.43451815769384566</v>
      </c>
      <c r="L34" s="1284">
        <f t="shared" si="25"/>
        <v>0.99736527918722828</v>
      </c>
    </row>
    <row r="35" spans="1:12">
      <c r="A35" s="858" t="s">
        <v>1868</v>
      </c>
      <c r="B35" s="986">
        <v>1545541</v>
      </c>
      <c r="C35" s="986">
        <v>1209278</v>
      </c>
      <c r="D35" s="1281">
        <f t="shared" si="21"/>
        <v>2754819</v>
      </c>
      <c r="E35" s="1282">
        <v>0.50197073704405837</v>
      </c>
      <c r="F35" s="1282">
        <v>0.49802926295594163</v>
      </c>
      <c r="G35" s="814">
        <v>1550134</v>
      </c>
      <c r="H35" s="814">
        <v>1208033</v>
      </c>
      <c r="I35" s="1283">
        <f t="shared" si="22"/>
        <v>2758167</v>
      </c>
      <c r="J35" s="1284">
        <f t="shared" si="23"/>
        <v>0.56201600555731401</v>
      </c>
      <c r="K35" s="1284">
        <f t="shared" si="24"/>
        <v>0.43798399444268604</v>
      </c>
      <c r="L35" s="1284">
        <f t="shared" si="25"/>
        <v>1.0012153248543734</v>
      </c>
    </row>
    <row r="36" spans="1:12">
      <c r="A36" s="858" t="s">
        <v>1872</v>
      </c>
      <c r="B36" s="986">
        <v>1539520</v>
      </c>
      <c r="C36" s="986">
        <v>1211525</v>
      </c>
      <c r="D36" s="1281">
        <f t="shared" si="21"/>
        <v>2751045</v>
      </c>
      <c r="E36" s="1282">
        <v>0.50197073704405837</v>
      </c>
      <c r="F36" s="1282">
        <v>0.49802926295594163</v>
      </c>
      <c r="G36" s="814">
        <v>1545541</v>
      </c>
      <c r="H36" s="814">
        <v>1209278</v>
      </c>
      <c r="I36" s="1283">
        <f t="shared" si="22"/>
        <v>2754819</v>
      </c>
      <c r="J36" s="1284">
        <f t="shared" si="23"/>
        <v>0.56103177740533949</v>
      </c>
      <c r="K36" s="1284">
        <f t="shared" si="24"/>
        <v>0.43896822259466051</v>
      </c>
      <c r="L36" s="1284">
        <f t="shared" si="25"/>
        <v>1.0013718423362759</v>
      </c>
    </row>
    <row r="37" spans="1:12">
      <c r="A37" s="858" t="s">
        <v>1874</v>
      </c>
      <c r="B37" s="986">
        <v>1534933</v>
      </c>
      <c r="C37" s="986">
        <v>1213460</v>
      </c>
      <c r="D37" s="1281">
        <f t="shared" si="21"/>
        <v>2748393</v>
      </c>
      <c r="E37" s="1282">
        <v>0.50197073704405837</v>
      </c>
      <c r="F37" s="1282">
        <v>0.49802926295594163</v>
      </c>
      <c r="G37" s="814">
        <v>1539520</v>
      </c>
      <c r="H37" s="814">
        <v>1211525</v>
      </c>
      <c r="I37" s="1283">
        <f t="shared" si="22"/>
        <v>2751045</v>
      </c>
      <c r="J37" s="1284">
        <f t="shared" si="23"/>
        <v>0.55961280168081584</v>
      </c>
      <c r="K37" s="1284">
        <f t="shared" si="24"/>
        <v>0.44038719831918416</v>
      </c>
      <c r="L37" s="1284">
        <f t="shared" si="25"/>
        <v>1.0009649275049093</v>
      </c>
    </row>
    <row r="38" spans="1:12">
      <c r="A38" s="858" t="s">
        <v>1887</v>
      </c>
      <c r="B38" s="814">
        <v>1538413</v>
      </c>
      <c r="C38" s="814">
        <v>1213532</v>
      </c>
      <c r="D38" s="1281">
        <f>B38+C38</f>
        <v>2751945</v>
      </c>
      <c r="E38" s="1282">
        <v>0.50197073704405837</v>
      </c>
      <c r="F38" s="1282">
        <v>0.49802926295594163</v>
      </c>
      <c r="G38" s="814">
        <v>1534933</v>
      </c>
      <c r="H38" s="814">
        <v>1213460</v>
      </c>
      <c r="I38" s="1283">
        <f>G38+H38</f>
        <v>2748393</v>
      </c>
      <c r="J38" s="1284">
        <f t="shared" si="23"/>
        <v>0.55848381217678844</v>
      </c>
      <c r="K38" s="1284">
        <f t="shared" si="24"/>
        <v>0.44151618782321161</v>
      </c>
      <c r="L38" s="1284">
        <f t="shared" si="25"/>
        <v>0.99870927652987251</v>
      </c>
    </row>
    <row r="39" spans="1:12">
      <c r="A39" s="858" t="s">
        <v>1901</v>
      </c>
      <c r="B39" s="814">
        <v>1598142</v>
      </c>
      <c r="C39" s="814">
        <v>1240613</v>
      </c>
      <c r="D39" s="1281">
        <f>B39+C39</f>
        <v>2838755</v>
      </c>
      <c r="E39" s="1282">
        <v>0.50197073704405837</v>
      </c>
      <c r="F39" s="1282">
        <v>0.49802926295594163</v>
      </c>
      <c r="G39" s="814">
        <v>1538413</v>
      </c>
      <c r="H39" s="814">
        <v>1213532</v>
      </c>
      <c r="I39" s="1283">
        <f>G39+H39</f>
        <v>2751945</v>
      </c>
      <c r="J39" s="1284">
        <f>G39/I39</f>
        <v>0.55902752416926937</v>
      </c>
      <c r="K39" s="1284">
        <f>H39/I39</f>
        <v>0.44097247583073063</v>
      </c>
      <c r="L39" s="1284">
        <f>I39/D39</f>
        <v>0.96941969278785944</v>
      </c>
    </row>
    <row r="40" spans="1:12">
      <c r="A40" s="858" t="s">
        <v>1906</v>
      </c>
      <c r="B40" s="814">
        <v>1627454</v>
      </c>
      <c r="C40" s="814">
        <v>1204555</v>
      </c>
      <c r="D40" s="1281">
        <f>B40+C40</f>
        <v>2832009</v>
      </c>
      <c r="E40" s="1282">
        <v>0.50197073704405837</v>
      </c>
      <c r="F40" s="1282">
        <v>0.49802926295594163</v>
      </c>
      <c r="G40" s="814">
        <v>1636967</v>
      </c>
      <c r="H40" s="814">
        <v>1211292</v>
      </c>
      <c r="I40" s="1283">
        <f>G40+H40</f>
        <v>2848259</v>
      </c>
      <c r="J40" s="1284">
        <f>G40/I40</f>
        <v>0.57472547264837925</v>
      </c>
      <c r="K40" s="1284">
        <f>H40/I40</f>
        <v>0.42527452735162075</v>
      </c>
      <c r="L40" s="1284">
        <f>I40/D40</f>
        <v>1.005737976115189</v>
      </c>
    </row>
    <row r="41" spans="1:12">
      <c r="A41" s="858" t="s">
        <v>1927</v>
      </c>
      <c r="B41" s="814">
        <v>1795214</v>
      </c>
      <c r="C41" s="814">
        <v>1220432</v>
      </c>
      <c r="D41" s="1281">
        <f>B41+C41</f>
        <v>3015646</v>
      </c>
      <c r="E41" s="1282">
        <v>0.50197073704405837</v>
      </c>
      <c r="F41" s="1282">
        <v>0.49802926295594163</v>
      </c>
      <c r="G41" s="814">
        <v>1795214</v>
      </c>
      <c r="H41" s="814">
        <v>1220432</v>
      </c>
      <c r="I41" s="1283">
        <f>G41+H41</f>
        <v>3015646</v>
      </c>
      <c r="J41" s="1284">
        <f>G41/I41</f>
        <v>0.5952999788436707</v>
      </c>
      <c r="K41" s="1284">
        <f>H41/I41</f>
        <v>0.40470002115632936</v>
      </c>
      <c r="L41" s="1284">
        <f>I41/D41</f>
        <v>1</v>
      </c>
    </row>
  </sheetData>
  <mergeCells count="1">
    <mergeCell ref="A1:N1"/>
  </mergeCells>
  <printOptions horizontalCentered="1" verticalCentered="1"/>
  <pageMargins left="0.4" right="0.4" top="0.25" bottom="0.25" header="0.31496062992126" footer="0.31496062992126"/>
  <pageSetup scale="73" orientation="landscape"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1">
    <tabColor rgb="FF7030A0"/>
    <pageSetUpPr fitToPage="1"/>
  </sheetPr>
  <dimension ref="A1:O32"/>
  <sheetViews>
    <sheetView showGridLines="0" view="pageBreakPreview" zoomScale="55" zoomScaleNormal="70" zoomScaleSheetLayoutView="55" workbookViewId="0">
      <selection activeCell="O45" sqref="O45"/>
    </sheetView>
  </sheetViews>
  <sheetFormatPr baseColWidth="10" defaultColWidth="11.5703125" defaultRowHeight="15"/>
  <cols>
    <col min="1" max="1" width="18.85546875" bestFit="1" customWidth="1"/>
    <col min="2" max="2" width="19" customWidth="1"/>
    <col min="3" max="3" width="21" style="128" customWidth="1"/>
    <col min="4" max="4" width="23.85546875" style="128" customWidth="1"/>
    <col min="5" max="5" width="22.42578125" customWidth="1"/>
    <col min="6" max="6" width="19.28515625" customWidth="1"/>
    <col min="7" max="7" width="26" customWidth="1"/>
    <col min="8" max="8" width="20.42578125" customWidth="1"/>
    <col min="9" max="9" width="21.5703125" customWidth="1"/>
    <col min="10" max="10" width="13.5703125" customWidth="1"/>
    <col min="11" max="11" width="10.5703125" customWidth="1"/>
    <col min="12" max="12" width="8.140625" customWidth="1"/>
    <col min="13" max="13" width="6.28515625" customWidth="1"/>
    <col min="14" max="14" width="18.42578125" customWidth="1"/>
    <col min="15" max="15" width="17" customWidth="1"/>
  </cols>
  <sheetData>
    <row r="1" spans="1:15" ht="99.75" customHeight="1">
      <c r="A1" s="2381" t="s">
        <v>1947</v>
      </c>
      <c r="B1" s="2381"/>
      <c r="C1" s="2381"/>
      <c r="D1" s="2381"/>
      <c r="E1" s="2381"/>
      <c r="F1" s="2381"/>
      <c r="G1" s="2381"/>
      <c r="H1" s="2381"/>
      <c r="I1" s="2381"/>
      <c r="J1" s="2381"/>
      <c r="K1" s="2381"/>
      <c r="L1" s="2381"/>
      <c r="M1" s="2381"/>
    </row>
    <row r="2" spans="1:15" ht="4.5" customHeight="1">
      <c r="A2" s="2382"/>
      <c r="B2" s="2382"/>
      <c r="C2" s="2382"/>
      <c r="D2" s="2382"/>
      <c r="E2" s="2382"/>
      <c r="F2" s="2382"/>
      <c r="G2" s="2382"/>
      <c r="H2" s="2382"/>
      <c r="I2" s="2382"/>
      <c r="J2" s="2382"/>
      <c r="K2" s="2382"/>
      <c r="L2" s="2382"/>
      <c r="M2" s="2382"/>
    </row>
    <row r="3" spans="1:15" ht="84" hidden="1" customHeight="1">
      <c r="A3" s="2382"/>
      <c r="B3" s="2382"/>
      <c r="C3" s="2382"/>
      <c r="D3" s="2382"/>
      <c r="E3" s="2382"/>
      <c r="F3" s="2382"/>
      <c r="G3" s="2382"/>
      <c r="H3" s="2382"/>
      <c r="I3" s="2382"/>
      <c r="J3" s="2382"/>
      <c r="K3" s="2382"/>
      <c r="L3" s="2382"/>
      <c r="M3" s="2382"/>
    </row>
    <row r="4" spans="1:15" ht="90.75" customHeight="1">
      <c r="A4" s="621" t="s">
        <v>25</v>
      </c>
      <c r="B4" s="1571" t="s">
        <v>1422</v>
      </c>
      <c r="C4" s="1572" t="s">
        <v>1423</v>
      </c>
      <c r="D4" s="620" t="s">
        <v>1008</v>
      </c>
      <c r="E4" s="620" t="s">
        <v>1871</v>
      </c>
      <c r="F4" s="620" t="s">
        <v>1292</v>
      </c>
      <c r="G4" s="620" t="s">
        <v>1293</v>
      </c>
      <c r="H4" s="620" t="s">
        <v>363</v>
      </c>
      <c r="I4" s="275"/>
      <c r="J4" s="275"/>
      <c r="K4" s="275"/>
      <c r="L4" s="275"/>
      <c r="M4" s="276"/>
    </row>
    <row r="5" spans="1:15" ht="16.5" hidden="1" customHeight="1">
      <c r="A5" s="1633" t="s">
        <v>29</v>
      </c>
      <c r="B5" s="314">
        <v>64713</v>
      </c>
      <c r="C5" s="314">
        <v>65017</v>
      </c>
      <c r="D5" s="882">
        <v>0.499</v>
      </c>
      <c r="E5" s="2041">
        <f>H5*D5</f>
        <v>4418657.9740000004</v>
      </c>
      <c r="F5" s="315">
        <f>B5/E5</f>
        <v>1.4645396946489255E-2</v>
      </c>
      <c r="G5" s="315">
        <f>C5/E5</f>
        <v>1.4714196116234634E-2</v>
      </c>
      <c r="H5" s="2041">
        <f>+'I.1.1 Cobertura SDSS '!E5</f>
        <v>8855026</v>
      </c>
      <c r="I5" s="275"/>
      <c r="J5" s="275"/>
      <c r="K5" s="275"/>
      <c r="L5" s="275"/>
      <c r="M5" s="276"/>
    </row>
    <row r="6" spans="1:15" ht="18.75">
      <c r="A6" s="1633" t="s">
        <v>30</v>
      </c>
      <c r="B6" s="314">
        <v>258191</v>
      </c>
      <c r="C6" s="314">
        <v>266531</v>
      </c>
      <c r="D6" s="882">
        <v>0.47899999999999998</v>
      </c>
      <c r="E6" s="2041">
        <f t="shared" ref="E6:E12" si="0">H6*D6</f>
        <v>4295740.9759999998</v>
      </c>
      <c r="F6" s="315">
        <f>B6/E6</f>
        <v>6.0103949805748257E-2</v>
      </c>
      <c r="G6" s="315">
        <f>C6/E6</f>
        <v>6.2045407646571286E-2</v>
      </c>
      <c r="H6" s="2041">
        <f>+'I.1.1 Cobertura SDSS '!E6</f>
        <v>8968144</v>
      </c>
      <c r="J6" s="275"/>
      <c r="K6" s="275"/>
      <c r="L6" s="275"/>
      <c r="M6" s="276"/>
    </row>
    <row r="7" spans="1:15" ht="20.25" customHeight="1">
      <c r="A7" s="1633" t="s">
        <v>31</v>
      </c>
      <c r="B7" s="314">
        <v>513906</v>
      </c>
      <c r="C7" s="314">
        <v>513416</v>
      </c>
      <c r="D7" s="882">
        <v>0.442</v>
      </c>
      <c r="E7" s="2041">
        <f t="shared" si="0"/>
        <v>4009960.1359999999</v>
      </c>
      <c r="F7" s="315">
        <f>B7/E7</f>
        <v>0.12815738375709379</v>
      </c>
      <c r="G7" s="315">
        <f>C7/E7</f>
        <v>0.12803518802861236</v>
      </c>
      <c r="H7" s="2041">
        <f>+'I.1.1 Cobertura SDSS '!E7</f>
        <v>9072308</v>
      </c>
      <c r="I7" s="275"/>
      <c r="J7" s="275"/>
      <c r="K7" s="275"/>
      <c r="L7" s="275"/>
      <c r="M7" s="276"/>
      <c r="N7" s="275"/>
      <c r="O7" s="275"/>
    </row>
    <row r="8" spans="1:15" ht="20.25" customHeight="1">
      <c r="A8" s="1633" t="s">
        <v>32</v>
      </c>
      <c r="B8" s="314">
        <v>972427</v>
      </c>
      <c r="C8" s="314">
        <v>1081936</v>
      </c>
      <c r="D8" s="882">
        <v>0.436</v>
      </c>
      <c r="E8" s="2041">
        <f t="shared" si="0"/>
        <v>4000415.54</v>
      </c>
      <c r="F8" s="315">
        <f>B8/E8</f>
        <v>0.24308149747863442</v>
      </c>
      <c r="G8" s="315">
        <f>C8/E8</f>
        <v>0.2704559036884453</v>
      </c>
      <c r="H8" s="2041">
        <f>+'I.1.1 Cobertura SDSS '!E8</f>
        <v>9175265</v>
      </c>
      <c r="J8" s="275"/>
      <c r="K8" s="275"/>
      <c r="L8" s="275"/>
      <c r="M8" s="276"/>
      <c r="N8" s="275"/>
      <c r="O8" s="275"/>
    </row>
    <row r="9" spans="1:15" ht="20.25" customHeight="1">
      <c r="A9" s="1633" t="s">
        <v>33</v>
      </c>
      <c r="B9" s="314">
        <v>1242681</v>
      </c>
      <c r="C9" s="314">
        <v>1224643</v>
      </c>
      <c r="D9" s="882">
        <v>0.442</v>
      </c>
      <c r="E9" s="2041">
        <f t="shared" si="0"/>
        <v>4100514.0019999999</v>
      </c>
      <c r="F9" s="315">
        <f t="shared" ref="F9:F15" si="1">B9/E9</f>
        <v>0.30305493394093769</v>
      </c>
      <c r="G9" s="315">
        <f t="shared" ref="G9:G14" si="2">C9/E9</f>
        <v>0.29865597322742665</v>
      </c>
      <c r="H9" s="2041">
        <f>+'I.1.1 Cobertura SDSS '!E9</f>
        <v>9277181</v>
      </c>
      <c r="J9" s="275"/>
      <c r="K9" s="275"/>
      <c r="L9" s="275"/>
      <c r="M9" s="276"/>
      <c r="N9" s="275"/>
      <c r="O9" s="275"/>
    </row>
    <row r="10" spans="1:15" ht="18.75" customHeight="1">
      <c r="A10" s="1633" t="s">
        <v>34</v>
      </c>
      <c r="B10" s="314">
        <v>1411152</v>
      </c>
      <c r="C10" s="314">
        <v>1346166</v>
      </c>
      <c r="D10" s="882">
        <v>0.42099999999999999</v>
      </c>
      <c r="E10" s="2041">
        <f t="shared" si="0"/>
        <v>3948329.5549999997</v>
      </c>
      <c r="F10" s="315">
        <f t="shared" si="1"/>
        <v>0.35740481647814226</v>
      </c>
      <c r="G10" s="315">
        <f t="shared" si="2"/>
        <v>0.34094570406243613</v>
      </c>
      <c r="H10" s="2041">
        <f>+'I.1.1 Cobertura SDSS '!E10</f>
        <v>9378455</v>
      </c>
      <c r="I10" s="275"/>
      <c r="J10" s="275"/>
      <c r="K10" s="275"/>
      <c r="L10" s="275"/>
      <c r="M10" s="276"/>
    </row>
    <row r="11" spans="1:15" ht="20.25" customHeight="1">
      <c r="A11" s="1633" t="s">
        <v>359</v>
      </c>
      <c r="B11" s="314">
        <v>2023360</v>
      </c>
      <c r="C11" s="314">
        <v>1847833</v>
      </c>
      <c r="D11" s="882">
        <v>0.41599999999999998</v>
      </c>
      <c r="E11" s="2041">
        <f t="shared" si="0"/>
        <v>3943102.5919999997</v>
      </c>
      <c r="F11" s="315">
        <f t="shared" si="1"/>
        <v>0.51313907076755061</v>
      </c>
      <c r="G11" s="315">
        <f t="shared" si="2"/>
        <v>0.46862412450261709</v>
      </c>
      <c r="H11" s="2041">
        <f>+'I.1.1 Cobertura SDSS '!E11</f>
        <v>9478612</v>
      </c>
      <c r="I11" s="275"/>
      <c r="J11" s="275"/>
      <c r="K11" s="275"/>
      <c r="L11" s="275"/>
      <c r="M11" s="276"/>
      <c r="N11" s="328"/>
    </row>
    <row r="12" spans="1:15" ht="18.75">
      <c r="A12" s="1633" t="s">
        <v>477</v>
      </c>
      <c r="B12" s="314">
        <v>2017423</v>
      </c>
      <c r="C12" s="314">
        <v>1996335</v>
      </c>
      <c r="D12" s="882">
        <v>0.40400000000000003</v>
      </c>
      <c r="E12" s="2041">
        <f t="shared" si="0"/>
        <v>3870313.1320000002</v>
      </c>
      <c r="F12" s="315">
        <f t="shared" si="1"/>
        <v>0.52125575662594736</v>
      </c>
      <c r="G12" s="315">
        <f t="shared" si="2"/>
        <v>0.51580710188386891</v>
      </c>
      <c r="H12" s="2041">
        <f>+'I.1.1 Cobertura SDSS '!E12</f>
        <v>9579983</v>
      </c>
      <c r="I12" s="28"/>
      <c r="J12" s="28"/>
      <c r="K12" s="28"/>
      <c r="L12" s="28"/>
      <c r="M12" s="28"/>
    </row>
    <row r="13" spans="1:15" ht="18.75">
      <c r="A13" s="1633" t="s">
        <v>1057</v>
      </c>
      <c r="B13" s="790">
        <v>2335292</v>
      </c>
      <c r="C13" s="314">
        <v>2294356</v>
      </c>
      <c r="D13" s="882">
        <v>0.40899999999999997</v>
      </c>
      <c r="E13" s="2041">
        <f>H13*D13</f>
        <v>3959338.406</v>
      </c>
      <c r="F13" s="315">
        <f t="shared" si="1"/>
        <v>0.5898187425609005</v>
      </c>
      <c r="G13" s="315">
        <f t="shared" si="2"/>
        <v>0.5794796414782637</v>
      </c>
      <c r="H13" s="2041">
        <f>+'I.1.1 Cobertura SDSS '!E13</f>
        <v>9680534</v>
      </c>
      <c r="I13" s="28"/>
      <c r="J13" s="28"/>
      <c r="K13" s="28"/>
      <c r="L13" s="28"/>
      <c r="M13" s="28"/>
    </row>
    <row r="14" spans="1:15" ht="18.75">
      <c r="A14" s="1633" t="s">
        <v>1640</v>
      </c>
      <c r="B14" s="314">
        <v>2751753</v>
      </c>
      <c r="C14" s="314">
        <v>2646899</v>
      </c>
      <c r="D14" s="882">
        <v>0.41199999999999998</v>
      </c>
      <c r="E14" s="2041">
        <f>H14*D14</f>
        <v>4029666.1159999999</v>
      </c>
      <c r="F14" s="315">
        <f t="shared" si="1"/>
        <v>0.68287369741974924</v>
      </c>
      <c r="G14" s="315">
        <f t="shared" si="2"/>
        <v>0.65685317934663345</v>
      </c>
      <c r="H14" s="2041">
        <f>+'I.1.1 Cobertura SDSS '!E14</f>
        <v>9780743</v>
      </c>
      <c r="I14" s="28"/>
      <c r="J14" s="28"/>
      <c r="K14" s="28"/>
      <c r="L14" s="28"/>
      <c r="M14" s="28"/>
    </row>
    <row r="15" spans="1:15" ht="18.75" customHeight="1">
      <c r="A15" s="1633" t="s">
        <v>1922</v>
      </c>
      <c r="B15" s="314">
        <v>3015646</v>
      </c>
      <c r="C15" s="314">
        <v>3015646</v>
      </c>
      <c r="D15" s="882">
        <v>0.40799999999999997</v>
      </c>
      <c r="E15" s="2041">
        <f>H15*D15</f>
        <v>4031246.0399999996</v>
      </c>
      <c r="F15" s="315">
        <f t="shared" si="1"/>
        <v>0.74806795965249506</v>
      </c>
      <c r="G15" s="315">
        <f>C15/E15</f>
        <v>0.74806795965249506</v>
      </c>
      <c r="H15" s="2041">
        <f>+'I.1.1 Cobertura SDSS '!E15</f>
        <v>9880505</v>
      </c>
      <c r="I15" s="1632"/>
      <c r="J15" s="1632"/>
      <c r="K15" s="1632"/>
      <c r="L15" s="1632"/>
      <c r="M15" s="28"/>
      <c r="N15" t="s">
        <v>36</v>
      </c>
    </row>
    <row r="16" spans="1:15" ht="23.25" customHeight="1">
      <c r="A16" s="2383" t="s">
        <v>1921</v>
      </c>
      <c r="B16" s="2383"/>
      <c r="C16" s="2383"/>
      <c r="D16" s="2383"/>
      <c r="E16" s="2383"/>
      <c r="F16" s="2383"/>
      <c r="G16" s="2383"/>
      <c r="H16" s="2383"/>
      <c r="I16" s="28"/>
      <c r="J16" s="28"/>
      <c r="K16" s="28"/>
      <c r="L16" s="28"/>
      <c r="M16" s="28"/>
    </row>
    <row r="17" spans="1:13" ht="23.25">
      <c r="A17" s="28"/>
      <c r="B17" s="28"/>
      <c r="C17" s="28"/>
      <c r="D17" s="28"/>
      <c r="E17" s="42"/>
      <c r="F17" s="28"/>
      <c r="G17" s="28"/>
      <c r="H17" s="28"/>
      <c r="I17" s="28"/>
      <c r="J17" s="28"/>
      <c r="K17" s="28"/>
      <c r="L17" s="28"/>
      <c r="M17" s="28"/>
    </row>
    <row r="18" spans="1:13" ht="23.25">
      <c r="A18" s="28"/>
      <c r="B18" s="28"/>
      <c r="C18" s="28"/>
      <c r="D18" s="28"/>
      <c r="E18" s="42"/>
      <c r="F18" s="28"/>
      <c r="G18" s="28"/>
      <c r="H18" s="28"/>
      <c r="I18" s="28"/>
      <c r="J18" s="28"/>
      <c r="K18" s="28"/>
      <c r="L18" s="28"/>
      <c r="M18" s="28"/>
    </row>
    <row r="19" spans="1:13" ht="23.25">
      <c r="A19" s="28"/>
      <c r="B19" s="28"/>
      <c r="C19" s="28"/>
      <c r="D19" s="28"/>
      <c r="E19" s="42"/>
      <c r="F19" s="28"/>
      <c r="G19" s="28"/>
      <c r="H19" s="28"/>
      <c r="I19" s="28"/>
      <c r="J19" s="28"/>
      <c r="K19" s="28"/>
      <c r="L19" s="28"/>
      <c r="M19" s="28"/>
    </row>
    <row r="32" spans="1:13">
      <c r="A32" s="74"/>
    </row>
  </sheetData>
  <mergeCells count="3">
    <mergeCell ref="A1:M1"/>
    <mergeCell ref="A2:M3"/>
    <mergeCell ref="A16:H16"/>
  </mergeCells>
  <printOptions horizontalCentered="1" verticalCentered="1"/>
  <pageMargins left="0.4" right="0.4" top="0.25" bottom="0.25" header="0.31496062992126" footer="0.31496062992126"/>
  <pageSetup scale="56" orientation="landscape" r:id="rId1"/>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7030A0"/>
  </sheetPr>
  <dimension ref="A1:W34"/>
  <sheetViews>
    <sheetView showGridLines="0" view="pageBreakPreview" zoomScale="85" zoomScaleNormal="78" zoomScaleSheetLayoutView="85" workbookViewId="0">
      <selection activeCell="N30" sqref="N30"/>
    </sheetView>
  </sheetViews>
  <sheetFormatPr baseColWidth="10" defaultColWidth="11.42578125" defaultRowHeight="15"/>
  <cols>
    <col min="1" max="1" width="11.5703125" style="128" bestFit="1" customWidth="1"/>
    <col min="2" max="3" width="12.140625" style="128" bestFit="1" customWidth="1"/>
    <col min="4" max="4" width="15.85546875" style="128" customWidth="1"/>
    <col min="5" max="5" width="14.140625" style="128" customWidth="1"/>
    <col min="6" max="6" width="13.5703125" style="128" customWidth="1"/>
    <col min="7" max="7" width="14.85546875" style="128" customWidth="1"/>
    <col min="8" max="8" width="13.28515625" style="128" bestFit="1" customWidth="1"/>
    <col min="9" max="9" width="13.5703125" style="128" customWidth="1"/>
    <col min="10" max="10" width="8.85546875" style="128" customWidth="1"/>
    <col min="11" max="11" width="9.140625" style="128" customWidth="1"/>
    <col min="12" max="12" width="0.28515625" style="128" customWidth="1"/>
    <col min="13" max="16" width="11.42578125" style="128" customWidth="1"/>
    <col min="17" max="17" width="11.42578125" style="128"/>
    <col min="18" max="18" width="16.85546875" style="128" customWidth="1"/>
    <col min="19" max="20" width="11.7109375" style="128" bestFit="1" customWidth="1"/>
    <col min="21" max="22" width="11.5703125" style="128" bestFit="1" customWidth="1"/>
    <col min="23" max="23" width="11.7109375" style="128" bestFit="1" customWidth="1"/>
    <col min="24" max="16384" width="11.42578125" style="128"/>
  </cols>
  <sheetData>
    <row r="1" spans="1:23" ht="53.25" customHeight="1">
      <c r="A1" s="2385" t="s">
        <v>1003</v>
      </c>
      <c r="B1" s="2385"/>
      <c r="C1" s="2385"/>
      <c r="D1" s="2385"/>
      <c r="E1" s="2385"/>
      <c r="F1" s="2385"/>
      <c r="G1" s="2385"/>
      <c r="H1" s="2385"/>
      <c r="I1" s="2385"/>
      <c r="J1" s="2385"/>
      <c r="K1" s="2385"/>
      <c r="L1" s="2385"/>
      <c r="M1"/>
    </row>
    <row r="2" spans="1:23" ht="4.5" customHeight="1"/>
    <row r="3" spans="1:23" ht="63.75" customHeight="1">
      <c r="A3" s="648" t="s">
        <v>25</v>
      </c>
      <c r="B3" s="650" t="s">
        <v>498</v>
      </c>
      <c r="C3" s="651" t="s">
        <v>747</v>
      </c>
      <c r="D3" s="649" t="s">
        <v>198</v>
      </c>
      <c r="E3" s="649" t="s">
        <v>499</v>
      </c>
      <c r="F3" s="649" t="s">
        <v>748</v>
      </c>
      <c r="G3" s="649" t="s">
        <v>757</v>
      </c>
      <c r="H3" s="649" t="s">
        <v>363</v>
      </c>
      <c r="I3" s="148"/>
      <c r="J3" s="148"/>
      <c r="K3" s="148"/>
      <c r="L3" s="148"/>
      <c r="M3"/>
      <c r="R3" s="329"/>
      <c r="T3" s="128">
        <v>9953622</v>
      </c>
    </row>
    <row r="4" spans="1:23" ht="15.75">
      <c r="A4" s="622" t="s">
        <v>29</v>
      </c>
      <c r="B4" s="168">
        <v>67418</v>
      </c>
      <c r="C4" s="168">
        <v>65017</v>
      </c>
      <c r="D4" s="168">
        <f t="shared" ref="D4:D10" si="0">H4*G4</f>
        <v>3807661.18</v>
      </c>
      <c r="E4" s="169">
        <f>B4/D4</f>
        <v>1.7705882118429453E-2</v>
      </c>
      <c r="F4" s="169">
        <f>C4/D4</f>
        <v>1.7075311306979261E-2</v>
      </c>
      <c r="G4" s="169">
        <v>0.43</v>
      </c>
      <c r="H4" s="168">
        <f>+'IV.2.1.3 Afil. SFS RS Vs pob.'!H5</f>
        <v>8855026</v>
      </c>
      <c r="I4" s="148"/>
      <c r="J4" s="148"/>
      <c r="K4" s="148"/>
      <c r="L4" s="148"/>
      <c r="M4"/>
      <c r="R4" s="329"/>
    </row>
    <row r="5" spans="1:23" ht="15.75">
      <c r="A5" s="622" t="s">
        <v>30</v>
      </c>
      <c r="B5" s="168">
        <v>253374</v>
      </c>
      <c r="C5" s="168">
        <v>266531</v>
      </c>
      <c r="D5" s="168">
        <f t="shared" si="0"/>
        <v>3632098.3200000003</v>
      </c>
      <c r="E5" s="169">
        <f t="shared" ref="E5:E11" si="1">B5/D5</f>
        <v>6.9759675448433339E-2</v>
      </c>
      <c r="F5" s="169">
        <f t="shared" ref="F5:F11" si="2">C5/D5</f>
        <v>7.3382099414092947E-2</v>
      </c>
      <c r="G5" s="169">
        <v>0.40500000000000003</v>
      </c>
      <c r="H5" s="168">
        <f>+'IV.2.1.3 Afil. SFS RS Vs pob.'!H6</f>
        <v>8968144</v>
      </c>
      <c r="I5" s="148"/>
      <c r="J5" s="148"/>
      <c r="K5" s="148"/>
      <c r="L5" s="148"/>
      <c r="M5"/>
      <c r="R5" s="330"/>
    </row>
    <row r="6" spans="1:23" ht="15.75">
      <c r="A6" s="622" t="s">
        <v>31</v>
      </c>
      <c r="B6" s="168">
        <v>514040</v>
      </c>
      <c r="C6" s="168">
        <v>513416</v>
      </c>
      <c r="D6" s="168">
        <f t="shared" si="0"/>
        <v>3356753.96</v>
      </c>
      <c r="E6" s="169">
        <f t="shared" si="1"/>
        <v>0.15313603741157128</v>
      </c>
      <c r="F6" s="169">
        <f t="shared" si="2"/>
        <v>0.15295014353688288</v>
      </c>
      <c r="G6" s="169">
        <v>0.37</v>
      </c>
      <c r="H6" s="168">
        <f>+'IV.2.1.3 Afil. SFS RS Vs pob.'!H7</f>
        <v>9072308</v>
      </c>
      <c r="I6" s="148"/>
      <c r="J6" s="148"/>
      <c r="K6" s="148"/>
      <c r="L6" s="148"/>
      <c r="M6"/>
      <c r="R6" s="329"/>
    </row>
    <row r="7" spans="1:23" ht="15.75">
      <c r="A7" s="622" t="s">
        <v>32</v>
      </c>
      <c r="B7" s="168">
        <v>972427</v>
      </c>
      <c r="C7" s="168">
        <v>1081936</v>
      </c>
      <c r="D7" s="168">
        <f t="shared" si="0"/>
        <v>3284744.8699999996</v>
      </c>
      <c r="E7" s="169">
        <f t="shared" si="1"/>
        <v>0.29604338799073915</v>
      </c>
      <c r="F7" s="169">
        <f t="shared" si="2"/>
        <v>0.32938205030212897</v>
      </c>
      <c r="G7" s="169">
        <v>0.35799999999999998</v>
      </c>
      <c r="H7" s="168">
        <f>+'IV.2.1.3 Afil. SFS RS Vs pob.'!H8</f>
        <v>9175265</v>
      </c>
      <c r="I7" s="148"/>
      <c r="J7" s="148"/>
      <c r="K7" s="148"/>
      <c r="L7" s="148"/>
      <c r="M7"/>
      <c r="R7" s="329"/>
    </row>
    <row r="8" spans="1:23" ht="15.75">
      <c r="A8" s="622" t="s">
        <v>33</v>
      </c>
      <c r="B8" s="168">
        <v>1242681</v>
      </c>
      <c r="C8" s="168">
        <v>1224643</v>
      </c>
      <c r="D8" s="168">
        <f t="shared" si="0"/>
        <v>3386171.0649999999</v>
      </c>
      <c r="E8" s="169">
        <f t="shared" si="1"/>
        <v>0.36698707069012182</v>
      </c>
      <c r="F8" s="169">
        <f t="shared" si="2"/>
        <v>0.36166011004526732</v>
      </c>
      <c r="G8" s="169">
        <v>0.36499999999999999</v>
      </c>
      <c r="H8" s="168">
        <f>+'IV.2.1.3 Afil. SFS RS Vs pob.'!H9</f>
        <v>9277181</v>
      </c>
      <c r="I8" s="148"/>
      <c r="J8" s="148"/>
      <c r="K8" s="148"/>
      <c r="L8" s="148"/>
      <c r="M8"/>
    </row>
    <row r="9" spans="1:23" ht="15.75">
      <c r="A9" s="622" t="s">
        <v>34</v>
      </c>
      <c r="B9" s="168">
        <v>1411152</v>
      </c>
      <c r="C9" s="168">
        <v>1346166</v>
      </c>
      <c r="D9" s="168">
        <f t="shared" si="0"/>
        <v>3141782.4250000003</v>
      </c>
      <c r="E9" s="169">
        <f t="shared" si="1"/>
        <v>0.44915650070835184</v>
      </c>
      <c r="F9" s="169">
        <f t="shared" si="2"/>
        <v>0.42847206391130027</v>
      </c>
      <c r="G9" s="169">
        <v>0.33500000000000002</v>
      </c>
      <c r="H9" s="168">
        <f>+'IV.2.1.3 Afil. SFS RS Vs pob.'!H10</f>
        <v>9378455</v>
      </c>
      <c r="I9" s="148"/>
      <c r="J9" s="148"/>
      <c r="K9" s="148"/>
      <c r="L9" s="148"/>
      <c r="M9"/>
    </row>
    <row r="10" spans="1:23" ht="15.75">
      <c r="A10" s="622" t="s">
        <v>359</v>
      </c>
      <c r="B10" s="168">
        <v>2023360</v>
      </c>
      <c r="C10" s="168">
        <v>1847833</v>
      </c>
      <c r="D10" s="168">
        <f t="shared" si="0"/>
        <v>3127941.96</v>
      </c>
      <c r="E10" s="169">
        <f t="shared" si="1"/>
        <v>0.64686622254333648</v>
      </c>
      <c r="F10" s="169">
        <f t="shared" si="2"/>
        <v>0.59075041149420815</v>
      </c>
      <c r="G10" s="169">
        <v>0.33</v>
      </c>
      <c r="H10" s="168">
        <f>+'IV.2.1.3 Afil. SFS RS Vs pob.'!H11</f>
        <v>9478612</v>
      </c>
      <c r="I10" s="148"/>
      <c r="J10" s="148"/>
      <c r="K10" s="148"/>
      <c r="L10" s="148"/>
      <c r="M10"/>
    </row>
    <row r="11" spans="1:23" ht="15.75" customHeight="1">
      <c r="A11" s="622" t="s">
        <v>477</v>
      </c>
      <c r="B11" s="168">
        <v>2017423</v>
      </c>
      <c r="C11" s="168">
        <v>1996335</v>
      </c>
      <c r="D11" s="168">
        <f>10072848*0.33</f>
        <v>3324039.8400000003</v>
      </c>
      <c r="E11" s="169">
        <f t="shared" si="1"/>
        <v>0.60691901935808323</v>
      </c>
      <c r="F11" s="169">
        <f t="shared" si="2"/>
        <v>0.60057493173728016</v>
      </c>
      <c r="G11" s="169">
        <v>0.33</v>
      </c>
      <c r="H11" s="168">
        <f>+'IV.2.1.3 Afil. SFS RS Vs pob.'!H12</f>
        <v>9579983</v>
      </c>
      <c r="I11" s="148"/>
      <c r="J11" s="148"/>
      <c r="K11" s="148"/>
      <c r="L11" s="148"/>
      <c r="M11"/>
      <c r="R11" s="247"/>
      <c r="S11" s="247"/>
      <c r="T11" s="247"/>
      <c r="U11" s="247"/>
      <c r="V11" s="247"/>
      <c r="W11" s="247"/>
    </row>
    <row r="12" spans="1:23" ht="15.75" customHeight="1">
      <c r="A12" s="622" t="s">
        <v>999</v>
      </c>
      <c r="B12" s="709">
        <f>+'IV.2.1.3 Afil. SFS RS Vs pob.'!B13</f>
        <v>2335292</v>
      </c>
      <c r="C12" s="669">
        <f>+'IV.2.1.3 Afil. SFS RS Vs pob.'!C13</f>
        <v>2294356</v>
      </c>
      <c r="D12" s="168">
        <f>H12*0.33</f>
        <v>3194576.22</v>
      </c>
      <c r="E12" s="169">
        <f>B12/D12</f>
        <v>0.73101777487093411</v>
      </c>
      <c r="F12" s="169">
        <f>C12/D12</f>
        <v>0.71820355565033278</v>
      </c>
      <c r="G12" s="169">
        <v>0.33</v>
      </c>
      <c r="H12" s="168">
        <f>+'IV.2.1.3 Afil. SFS RS Vs pob.'!H13</f>
        <v>9680534</v>
      </c>
      <c r="I12" s="148"/>
      <c r="J12" s="148"/>
      <c r="K12" s="148"/>
      <c r="L12" s="148"/>
      <c r="M12"/>
    </row>
    <row r="13" spans="1:23">
      <c r="A13" s="2384" t="s">
        <v>387</v>
      </c>
      <c r="B13" s="2384"/>
      <c r="C13" s="2384"/>
      <c r="D13" s="2384"/>
      <c r="E13" s="2384"/>
      <c r="F13" s="2384"/>
      <c r="G13" s="2384"/>
      <c r="H13" s="2384"/>
      <c r="I13" s="148"/>
      <c r="J13" s="148"/>
      <c r="K13" s="148"/>
      <c r="L13" s="148"/>
      <c r="M13"/>
    </row>
    <row r="14" spans="1:23">
      <c r="A14" s="148"/>
      <c r="B14" s="148"/>
      <c r="C14" s="148"/>
      <c r="D14" s="148"/>
      <c r="E14" s="148"/>
      <c r="F14" s="148"/>
      <c r="G14" s="148"/>
      <c r="H14" s="148"/>
      <c r="I14" s="148"/>
      <c r="J14" s="148"/>
      <c r="K14" s="148"/>
      <c r="L14" s="148"/>
      <c r="M14"/>
    </row>
    <row r="15" spans="1:23">
      <c r="A15" s="148"/>
      <c r="B15" s="148"/>
      <c r="C15" s="148"/>
      <c r="D15" s="148"/>
      <c r="E15" s="148"/>
      <c r="F15" s="148"/>
      <c r="G15" s="148"/>
      <c r="H15" s="148"/>
      <c r="I15" s="148"/>
      <c r="J15" s="148"/>
      <c r="K15" s="148"/>
      <c r="L15" s="148"/>
      <c r="M15"/>
    </row>
    <row r="16" spans="1:23">
      <c r="A16" s="148"/>
      <c r="B16" s="148"/>
      <c r="C16" s="148"/>
      <c r="D16" s="148"/>
      <c r="E16" s="148"/>
      <c r="F16" s="148"/>
      <c r="G16" s="148"/>
      <c r="H16" s="148"/>
      <c r="I16" s="148"/>
      <c r="J16" s="148"/>
      <c r="K16" s="148"/>
      <c r="L16" s="148"/>
      <c r="M16"/>
    </row>
    <row r="17" spans="1:13">
      <c r="A17" s="148"/>
      <c r="B17" s="148"/>
      <c r="C17" s="148"/>
      <c r="D17" s="148"/>
      <c r="E17" s="148"/>
      <c r="F17" s="148"/>
      <c r="G17" s="148"/>
      <c r="H17" s="148"/>
      <c r="I17" s="148"/>
      <c r="J17" s="148"/>
      <c r="K17" s="148"/>
      <c r="L17" s="148"/>
      <c r="M17"/>
    </row>
    <row r="18" spans="1:13">
      <c r="A18" s="148"/>
      <c r="B18" s="148"/>
      <c r="C18" s="148"/>
      <c r="D18" s="148"/>
      <c r="E18" s="148"/>
      <c r="F18" s="148"/>
      <c r="G18" s="148"/>
      <c r="H18" s="148"/>
      <c r="I18" s="148"/>
      <c r="J18" s="148"/>
      <c r="K18" s="148"/>
      <c r="L18" s="148"/>
      <c r="M18"/>
    </row>
    <row r="19" spans="1:13">
      <c r="A19" s="148"/>
      <c r="B19" s="148"/>
      <c r="C19" s="148"/>
      <c r="D19" s="148"/>
      <c r="E19" s="148"/>
      <c r="F19" s="148"/>
      <c r="G19" s="148"/>
      <c r="H19" s="148"/>
      <c r="I19" s="148"/>
      <c r="J19" s="148"/>
      <c r="K19" s="148"/>
      <c r="L19" s="148"/>
      <c r="M19"/>
    </row>
    <row r="20" spans="1:13">
      <c r="A20" s="148"/>
      <c r="B20" s="148"/>
      <c r="C20" s="148"/>
      <c r="D20" s="148"/>
      <c r="E20" s="148"/>
      <c r="F20" s="148"/>
      <c r="G20" s="148"/>
      <c r="H20" s="148"/>
      <c r="I20" s="148"/>
      <c r="J20" s="148"/>
      <c r="K20" s="148"/>
      <c r="L20" s="148"/>
      <c r="M20"/>
    </row>
    <row r="21" spans="1:13">
      <c r="A21" s="148"/>
      <c r="B21" s="148"/>
      <c r="C21" s="148"/>
      <c r="D21" s="148"/>
      <c r="E21" s="148"/>
      <c r="F21" s="148"/>
      <c r="G21" s="148"/>
      <c r="H21" s="148"/>
      <c r="I21" s="148"/>
      <c r="J21" s="148"/>
      <c r="K21" s="148"/>
      <c r="L21" s="148"/>
      <c r="M21"/>
    </row>
    <row r="22" spans="1:13">
      <c r="A22" s="148"/>
      <c r="B22" s="148"/>
      <c r="C22" s="148"/>
      <c r="D22" s="148"/>
      <c r="E22" s="148"/>
      <c r="F22" s="148"/>
      <c r="G22" s="148"/>
      <c r="H22" s="148"/>
      <c r="I22" s="148"/>
      <c r="J22" s="148"/>
      <c r="K22" s="148"/>
      <c r="L22" s="148"/>
      <c r="M22"/>
    </row>
    <row r="23" spans="1:13">
      <c r="A23" s="148"/>
      <c r="B23" s="148"/>
      <c r="C23" s="148"/>
      <c r="D23" s="148"/>
      <c r="E23" s="148"/>
      <c r="F23" s="148"/>
      <c r="G23" s="148"/>
      <c r="H23" s="148"/>
      <c r="I23" s="148"/>
      <c r="J23" s="148"/>
      <c r="K23" s="148"/>
      <c r="L23" s="148"/>
      <c r="M23"/>
    </row>
    <row r="24" spans="1:13">
      <c r="A24" s="148"/>
      <c r="B24" s="148"/>
      <c r="C24" s="148"/>
      <c r="D24" s="148"/>
      <c r="E24" s="148"/>
      <c r="F24" s="148"/>
      <c r="G24" s="148"/>
      <c r="H24" s="148"/>
      <c r="I24" s="148"/>
      <c r="J24" s="148"/>
      <c r="K24" s="148"/>
      <c r="L24" s="148"/>
      <c r="M24"/>
    </row>
    <row r="25" spans="1:13">
      <c r="A25" s="148"/>
      <c r="B25" s="148"/>
      <c r="C25" s="148"/>
      <c r="D25" s="148"/>
      <c r="E25" s="148"/>
      <c r="F25" s="148"/>
      <c r="G25" s="148"/>
      <c r="H25" s="148"/>
      <c r="I25" s="148"/>
      <c r="J25" s="148"/>
      <c r="K25" s="148"/>
      <c r="L25" s="148"/>
      <c r="M25"/>
    </row>
    <row r="26" spans="1:13">
      <c r="A26" s="148"/>
      <c r="B26" s="148"/>
      <c r="C26" s="148"/>
      <c r="D26" s="148"/>
      <c r="E26" s="148"/>
      <c r="F26" s="148"/>
      <c r="G26" s="148"/>
      <c r="H26" s="148"/>
      <c r="I26" s="148"/>
      <c r="J26" s="148"/>
      <c r="K26" s="148"/>
      <c r="L26" s="148"/>
      <c r="M26"/>
    </row>
    <row r="27" spans="1:13">
      <c r="A27" s="148"/>
      <c r="B27" s="148"/>
      <c r="C27" s="148"/>
      <c r="D27" s="148"/>
      <c r="E27" s="148"/>
      <c r="F27" s="148"/>
      <c r="G27" s="148"/>
      <c r="H27" s="148"/>
      <c r="I27" s="148"/>
      <c r="J27" s="148"/>
      <c r="K27" s="148"/>
      <c r="L27" s="148"/>
      <c r="M27"/>
    </row>
    <row r="28" spans="1:13">
      <c r="A28" s="148"/>
      <c r="B28" s="148"/>
      <c r="C28" s="148"/>
      <c r="D28" s="148"/>
      <c r="E28" s="148"/>
      <c r="F28" s="148"/>
      <c r="G28" s="148"/>
      <c r="H28" s="148"/>
      <c r="I28" s="148"/>
      <c r="J28" s="148"/>
      <c r="K28" s="148"/>
      <c r="L28" s="148"/>
      <c r="M28"/>
    </row>
    <row r="29" spans="1:13">
      <c r="A29" s="148"/>
      <c r="B29" s="148"/>
      <c r="C29" s="148"/>
      <c r="D29" s="148"/>
      <c r="E29" s="148"/>
      <c r="F29" s="148"/>
      <c r="G29" s="148"/>
      <c r="H29" s="148"/>
      <c r="I29" s="148"/>
      <c r="J29" s="148"/>
      <c r="K29" s="148"/>
      <c r="L29" s="148"/>
      <c r="M29"/>
    </row>
    <row r="30" spans="1:13">
      <c r="A30" s="148"/>
      <c r="B30" s="148"/>
      <c r="C30" s="148"/>
      <c r="D30" s="148"/>
      <c r="E30" s="148"/>
      <c r="F30" s="148"/>
      <c r="G30" s="148"/>
      <c r="H30" s="148"/>
      <c r="I30" s="148"/>
      <c r="J30" s="148"/>
      <c r="K30" s="148"/>
      <c r="L30" s="148"/>
      <c r="M30"/>
    </row>
    <row r="31" spans="1:13">
      <c r="A31" s="148"/>
      <c r="B31" s="148"/>
      <c r="C31" s="148"/>
      <c r="D31" s="148"/>
      <c r="E31" s="148"/>
      <c r="F31" s="148"/>
      <c r="G31" s="148"/>
      <c r="H31" s="148"/>
      <c r="I31" s="148"/>
      <c r="J31" s="148"/>
      <c r="K31" s="148"/>
      <c r="L31" s="148"/>
      <c r="M31"/>
    </row>
    <row r="32" spans="1:13">
      <c r="A32" s="148"/>
      <c r="B32" s="148"/>
      <c r="C32" s="148"/>
      <c r="D32" s="148"/>
      <c r="E32" s="148"/>
      <c r="F32" s="148"/>
      <c r="G32" s="148"/>
      <c r="H32" s="148"/>
      <c r="I32" s="148"/>
      <c r="J32" s="148"/>
      <c r="K32" s="148"/>
      <c r="L32" s="148"/>
      <c r="M32"/>
    </row>
    <row r="33" spans="1:12">
      <c r="A33" s="148"/>
      <c r="B33" s="148"/>
      <c r="C33" s="148"/>
      <c r="D33" s="148"/>
      <c r="E33" s="148"/>
      <c r="F33" s="148"/>
      <c r="G33" s="148"/>
      <c r="H33" s="148"/>
      <c r="I33" s="148"/>
      <c r="J33" s="148"/>
      <c r="K33" s="148"/>
      <c r="L33" s="148"/>
    </row>
    <row r="34" spans="1:12">
      <c r="A34" s="148"/>
      <c r="B34" s="148"/>
      <c r="C34" s="148"/>
      <c r="D34" s="148"/>
      <c r="E34" s="148"/>
      <c r="F34" s="148"/>
      <c r="G34" s="148"/>
      <c r="H34" s="148"/>
      <c r="I34" s="148"/>
      <c r="J34" s="148"/>
      <c r="K34" s="148"/>
      <c r="L34" s="148"/>
    </row>
  </sheetData>
  <mergeCells count="2">
    <mergeCell ref="A13:H13"/>
    <mergeCell ref="A1:L1"/>
  </mergeCells>
  <pageMargins left="0.70866141732283472" right="0.70866141732283472" top="0.74803149606299213" bottom="0.74803149606299213" header="0.31496062992125984" footer="0.31496062992125984"/>
  <pageSetup scale="8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7030A0"/>
    <pageSetUpPr fitToPage="1"/>
  </sheetPr>
  <dimension ref="A1:P32"/>
  <sheetViews>
    <sheetView showGridLines="0" view="pageBreakPreview" topLeftCell="B1" zoomScale="70" zoomScaleNormal="78" zoomScaleSheetLayoutView="70" workbookViewId="0">
      <selection activeCell="K10" sqref="K10"/>
    </sheetView>
  </sheetViews>
  <sheetFormatPr baseColWidth="10" defaultColWidth="11.42578125" defaultRowHeight="15"/>
  <cols>
    <col min="1" max="1" width="2.28515625" style="128" hidden="1" customWidth="1"/>
    <col min="2" max="2" width="14.28515625" style="128" customWidth="1"/>
    <col min="3" max="3" width="14.42578125" style="128" customWidth="1"/>
    <col min="4" max="4" width="16.5703125" style="128" customWidth="1"/>
    <col min="5" max="5" width="15.5703125" style="128" customWidth="1"/>
    <col min="6" max="7" width="19" style="128" customWidth="1"/>
    <col min="8" max="8" width="26.42578125" style="128" customWidth="1"/>
    <col min="9" max="9" width="17.85546875" style="128" customWidth="1"/>
    <col min="10" max="10" width="20" style="128" customWidth="1"/>
    <col min="11" max="11" width="19.85546875" style="128" customWidth="1"/>
    <col min="12" max="12" width="20.28515625" style="128" customWidth="1"/>
    <col min="13" max="13" width="20.5703125" style="128" customWidth="1"/>
    <col min="14" max="14" width="21.85546875" style="128" customWidth="1"/>
    <col min="15" max="15" width="5.42578125" style="128" customWidth="1"/>
    <col min="16" max="16" width="11.42578125" style="128"/>
    <col min="17" max="17" width="12.7109375" style="128" bestFit="1" customWidth="1"/>
    <col min="18" max="16384" width="11.42578125" style="128"/>
  </cols>
  <sheetData>
    <row r="1" spans="2:16" ht="65.25" customHeight="1">
      <c r="B1" s="2386" t="s">
        <v>1004</v>
      </c>
      <c r="C1" s="2386"/>
      <c r="D1" s="2386"/>
      <c r="E1" s="2386"/>
      <c r="F1" s="2386"/>
      <c r="G1" s="2386"/>
      <c r="H1" s="2386"/>
      <c r="I1" s="2386"/>
      <c r="J1" s="2386"/>
      <c r="K1" s="2386"/>
      <c r="L1" s="2386"/>
      <c r="M1" s="2386"/>
      <c r="N1"/>
      <c r="O1"/>
      <c r="P1"/>
    </row>
    <row r="2" spans="2:16" ht="6" customHeight="1">
      <c r="B2" s="148"/>
      <c r="C2" s="148"/>
      <c r="D2" s="148"/>
      <c r="E2" s="148"/>
      <c r="F2" s="148"/>
      <c r="G2" s="148"/>
      <c r="H2" s="148"/>
      <c r="I2" s="148"/>
      <c r="J2" s="148"/>
      <c r="K2" s="148"/>
      <c r="L2" s="148"/>
      <c r="M2" s="148"/>
    </row>
    <row r="3" spans="2:16" ht="64.5" customHeight="1">
      <c r="B3" s="648" t="s">
        <v>25</v>
      </c>
      <c r="C3" s="670" t="s">
        <v>498</v>
      </c>
      <c r="D3" s="671" t="s">
        <v>747</v>
      </c>
      <c r="E3" s="649" t="s">
        <v>198</v>
      </c>
      <c r="F3" s="649" t="s">
        <v>499</v>
      </c>
      <c r="G3" s="649" t="s">
        <v>748</v>
      </c>
      <c r="H3" s="649" t="s">
        <v>364</v>
      </c>
      <c r="I3" s="649" t="s">
        <v>363</v>
      </c>
      <c r="J3" s="148"/>
      <c r="K3" s="148"/>
      <c r="L3" s="148"/>
      <c r="M3" s="148"/>
      <c r="N3" s="148"/>
      <c r="O3" s="148"/>
    </row>
    <row r="4" spans="2:16" ht="15.75">
      <c r="B4" s="622" t="s">
        <v>29</v>
      </c>
      <c r="C4" s="168">
        <v>67418</v>
      </c>
      <c r="D4" s="168">
        <v>65017</v>
      </c>
      <c r="E4" s="168">
        <f t="shared" ref="E4:E10" si="0">I4*H4</f>
        <v>3116969.1519999998</v>
      </c>
      <c r="F4" s="169">
        <f>C4/E4</f>
        <v>2.1629344633308713E-2</v>
      </c>
      <c r="G4" s="169">
        <f>D4/E4</f>
        <v>2.0859045062503079E-2</v>
      </c>
      <c r="H4" s="169">
        <v>0.35199999999999998</v>
      </c>
      <c r="I4" s="168">
        <f>+'IV.2.1.4 Afil. SFS Rs Vs pob 3'!H4</f>
        <v>8855026</v>
      </c>
      <c r="J4" s="148"/>
      <c r="K4" s="148"/>
      <c r="L4" s="148"/>
      <c r="M4" s="148"/>
      <c r="N4" s="148"/>
      <c r="O4" s="148"/>
    </row>
    <row r="5" spans="2:16" ht="15.75">
      <c r="B5" s="622" t="s">
        <v>30</v>
      </c>
      <c r="C5" s="168">
        <v>253374</v>
      </c>
      <c r="D5" s="168">
        <v>266531</v>
      </c>
      <c r="E5" s="168">
        <f t="shared" si="0"/>
        <v>3264404.4159999997</v>
      </c>
      <c r="F5" s="169">
        <f t="shared" ref="F5:F11" si="1">C5/E5</f>
        <v>7.7617221309383255E-2</v>
      </c>
      <c r="G5" s="169">
        <f t="shared" ref="G5:G11" si="2">D5/E5</f>
        <v>8.164766555688914E-2</v>
      </c>
      <c r="H5" s="169">
        <v>0.36399999999999999</v>
      </c>
      <c r="I5" s="168">
        <f>+'IV.2.1.4 Afil. SFS Rs Vs pob 3'!H5</f>
        <v>8968144</v>
      </c>
      <c r="J5" s="148"/>
      <c r="K5" s="148"/>
      <c r="L5" s="206"/>
      <c r="M5" s="148"/>
      <c r="N5" s="148"/>
      <c r="O5" s="148"/>
    </row>
    <row r="6" spans="2:16" ht="15.75">
      <c r="B6" s="622" t="s">
        <v>31</v>
      </c>
      <c r="C6" s="168">
        <v>514040</v>
      </c>
      <c r="D6" s="168">
        <v>513416</v>
      </c>
      <c r="E6" s="168">
        <f t="shared" si="0"/>
        <v>3093657.0280000004</v>
      </c>
      <c r="F6" s="169">
        <f t="shared" si="1"/>
        <v>0.16615933678088377</v>
      </c>
      <c r="G6" s="169">
        <f t="shared" si="2"/>
        <v>0.16595763374969694</v>
      </c>
      <c r="H6" s="169">
        <v>0.34100000000000003</v>
      </c>
      <c r="I6" s="168">
        <f>+'IV.2.1.4 Afil. SFS Rs Vs pob 3'!H6</f>
        <v>9072308</v>
      </c>
      <c r="J6" s="148"/>
      <c r="K6" s="148"/>
      <c r="L6" s="206"/>
      <c r="M6" s="148"/>
      <c r="N6" s="148"/>
      <c r="O6" s="148"/>
    </row>
    <row r="7" spans="2:16" ht="15.75">
      <c r="B7" s="622" t="s">
        <v>32</v>
      </c>
      <c r="C7" s="168">
        <v>972427</v>
      </c>
      <c r="D7" s="168">
        <v>1081936</v>
      </c>
      <c r="E7" s="168">
        <f t="shared" si="0"/>
        <v>2715878.44</v>
      </c>
      <c r="F7" s="169">
        <f t="shared" si="1"/>
        <v>0.3580524760158264</v>
      </c>
      <c r="G7" s="169">
        <f t="shared" si="2"/>
        <v>0.39837423651406134</v>
      </c>
      <c r="H7" s="169">
        <v>0.29599999999999999</v>
      </c>
      <c r="I7" s="168">
        <f>+'IV.2.1.4 Afil. SFS Rs Vs pob 3'!H7</f>
        <v>9175265</v>
      </c>
      <c r="J7" s="148"/>
      <c r="K7" s="148"/>
      <c r="L7" s="148"/>
      <c r="M7" s="148"/>
      <c r="N7" s="148"/>
      <c r="O7" s="148"/>
    </row>
    <row r="8" spans="2:16" ht="15.75">
      <c r="B8" s="622" t="s">
        <v>33</v>
      </c>
      <c r="C8" s="168">
        <v>1242681</v>
      </c>
      <c r="D8" s="168">
        <v>1224643</v>
      </c>
      <c r="E8" s="168">
        <f t="shared" si="0"/>
        <v>2829540.2050000001</v>
      </c>
      <c r="F8" s="169">
        <f t="shared" si="1"/>
        <v>0.43918124853080148</v>
      </c>
      <c r="G8" s="169">
        <f t="shared" si="2"/>
        <v>0.43280636120171334</v>
      </c>
      <c r="H8" s="169">
        <v>0.30499999999999999</v>
      </c>
      <c r="I8" s="168">
        <f>+'IV.2.1.4 Afil. SFS Rs Vs pob 3'!H8</f>
        <v>9277181</v>
      </c>
      <c r="J8" s="148"/>
      <c r="K8" s="148"/>
      <c r="L8" s="148"/>
      <c r="M8" s="148"/>
      <c r="N8" s="148"/>
      <c r="O8" s="148"/>
    </row>
    <row r="9" spans="2:16" ht="15.75">
      <c r="B9" s="622" t="s">
        <v>34</v>
      </c>
      <c r="C9" s="168">
        <v>1411152</v>
      </c>
      <c r="D9" s="168">
        <v>1346166</v>
      </c>
      <c r="E9" s="168">
        <f t="shared" si="0"/>
        <v>2766644.2249999996</v>
      </c>
      <c r="F9" s="169">
        <f t="shared" si="1"/>
        <v>0.51005907707558606</v>
      </c>
      <c r="G9" s="169">
        <f t="shared" si="2"/>
        <v>0.48656997088232412</v>
      </c>
      <c r="H9" s="169">
        <v>0.29499999999999998</v>
      </c>
      <c r="I9" s="168">
        <f>+'IV.2.1.4 Afil. SFS Rs Vs pob 3'!H9</f>
        <v>9378455</v>
      </c>
      <c r="J9" s="148"/>
      <c r="K9" s="148"/>
      <c r="L9" s="148"/>
      <c r="N9" s="148"/>
      <c r="O9" s="148"/>
    </row>
    <row r="10" spans="2:16" ht="15.75">
      <c r="B10" s="622" t="s">
        <v>359</v>
      </c>
      <c r="C10" s="168">
        <v>2023360</v>
      </c>
      <c r="D10" s="168">
        <v>1847833</v>
      </c>
      <c r="E10" s="168">
        <f t="shared" si="0"/>
        <v>2843583.6</v>
      </c>
      <c r="F10" s="169">
        <f t="shared" si="1"/>
        <v>0.71155284479767011</v>
      </c>
      <c r="G10" s="169">
        <f t="shared" si="2"/>
        <v>0.64982545264362901</v>
      </c>
      <c r="H10" s="169">
        <v>0.3</v>
      </c>
      <c r="I10" s="168">
        <f>+'IV.2.1.4 Afil. SFS Rs Vs pob 3'!H10</f>
        <v>9478612</v>
      </c>
      <c r="J10" s="148"/>
      <c r="K10" s="148"/>
      <c r="L10" s="148"/>
      <c r="N10" s="148"/>
      <c r="O10" s="148"/>
    </row>
    <row r="11" spans="2:16" ht="15.75">
      <c r="B11" s="622" t="s">
        <v>477</v>
      </c>
      <c r="C11" s="669">
        <v>2017423</v>
      </c>
      <c r="D11" s="669">
        <v>1996335</v>
      </c>
      <c r="E11" s="669">
        <f>I11*H11</f>
        <v>2873994.9</v>
      </c>
      <c r="F11" s="169">
        <f t="shared" si="1"/>
        <v>0.70195775225627577</v>
      </c>
      <c r="G11" s="169">
        <f t="shared" si="2"/>
        <v>0.69462023053694355</v>
      </c>
      <c r="H11" s="169">
        <v>0.3</v>
      </c>
      <c r="I11" s="168">
        <f>+'IV.2.1.4 Afil. SFS Rs Vs pob 3'!H11</f>
        <v>9579983</v>
      </c>
      <c r="J11" s="148"/>
      <c r="K11" s="148"/>
      <c r="L11" s="148"/>
      <c r="M11" s="148"/>
      <c r="N11" s="148"/>
      <c r="O11" s="148"/>
    </row>
    <row r="12" spans="2:16" ht="15.75">
      <c r="B12" s="622" t="s">
        <v>999</v>
      </c>
      <c r="C12" s="709">
        <f>+'IV.2.1.4 Afil. SFS Rs Vs pob 3'!B12</f>
        <v>2335292</v>
      </c>
      <c r="D12" s="669">
        <f>+'IV.2.1.4 Afil. SFS Rs Vs pob 3'!C12</f>
        <v>2294356</v>
      </c>
      <c r="E12" s="669">
        <f>I12*H12</f>
        <v>2904160.1999999997</v>
      </c>
      <c r="F12" s="169">
        <f>C12/E12</f>
        <v>0.80411955235802768</v>
      </c>
      <c r="G12" s="169">
        <f>D12/E12</f>
        <v>0.79002391121536619</v>
      </c>
      <c r="H12" s="169">
        <v>0.3</v>
      </c>
      <c r="I12" s="168">
        <f>+'IV.2.1.4 Afil. SFS Rs Vs pob 3'!H12</f>
        <v>9680534</v>
      </c>
      <c r="J12" s="148"/>
      <c r="K12" s="148"/>
      <c r="L12" s="148"/>
      <c r="M12" s="148"/>
      <c r="N12" s="148"/>
      <c r="O12" s="148"/>
    </row>
    <row r="13" spans="2:16">
      <c r="B13" s="148"/>
      <c r="C13" s="148"/>
      <c r="D13" s="148"/>
      <c r="E13" s="148"/>
      <c r="F13" s="148"/>
      <c r="G13" s="148"/>
      <c r="H13" s="148"/>
      <c r="I13" s="148"/>
      <c r="J13" s="148"/>
      <c r="K13" s="148"/>
      <c r="L13" s="148"/>
      <c r="M13" s="148"/>
      <c r="N13" s="148"/>
      <c r="O13" s="148"/>
    </row>
    <row r="14" spans="2:16">
      <c r="B14" s="148"/>
      <c r="C14" s="148"/>
      <c r="D14" s="148"/>
      <c r="E14" s="148"/>
      <c r="F14" s="148"/>
      <c r="G14" s="148"/>
      <c r="H14" s="148"/>
      <c r="I14" s="148"/>
      <c r="J14" s="148"/>
      <c r="K14" s="148"/>
      <c r="L14" s="148"/>
      <c r="M14" s="148"/>
      <c r="N14" s="148"/>
      <c r="O14" s="148"/>
    </row>
    <row r="15" spans="2:16">
      <c r="B15" s="148"/>
      <c r="C15" s="148"/>
      <c r="D15" s="148"/>
      <c r="E15" s="148"/>
      <c r="F15" s="148"/>
      <c r="G15" s="148"/>
      <c r="H15" s="148"/>
      <c r="I15" s="148"/>
      <c r="J15" s="148"/>
      <c r="K15" s="148"/>
      <c r="L15" s="148"/>
      <c r="M15" s="148"/>
      <c r="N15" s="148"/>
      <c r="O15" s="148"/>
    </row>
    <row r="16" spans="2:16">
      <c r="B16" s="148"/>
      <c r="C16" s="148"/>
      <c r="D16" s="148"/>
      <c r="E16" s="148"/>
      <c r="F16" s="148"/>
      <c r="G16" s="148"/>
      <c r="H16" s="148"/>
      <c r="I16" s="148"/>
      <c r="J16" s="148"/>
      <c r="K16" s="148"/>
      <c r="L16" s="148"/>
      <c r="M16" s="148"/>
      <c r="N16" s="148"/>
      <c r="O16" s="148"/>
    </row>
    <row r="17" spans="2:15">
      <c r="B17" s="148"/>
      <c r="C17" s="148"/>
      <c r="D17" s="148"/>
      <c r="E17" s="148"/>
      <c r="F17" s="148"/>
      <c r="G17" s="148"/>
      <c r="H17" s="148"/>
      <c r="I17" s="148"/>
      <c r="J17" s="148"/>
      <c r="K17" s="148"/>
      <c r="L17" s="148"/>
      <c r="M17" s="148"/>
      <c r="N17" s="148"/>
      <c r="O17" s="148"/>
    </row>
    <row r="18" spans="2:15">
      <c r="B18" s="148"/>
      <c r="C18" s="148"/>
      <c r="D18" s="148"/>
      <c r="E18" s="148"/>
      <c r="F18" s="148"/>
      <c r="G18" s="148"/>
      <c r="H18" s="148"/>
      <c r="I18" s="148"/>
      <c r="J18" s="148"/>
      <c r="K18" s="148"/>
      <c r="L18" s="148"/>
      <c r="M18" s="148"/>
      <c r="N18" s="148"/>
      <c r="O18" s="148"/>
    </row>
    <row r="19" spans="2:15">
      <c r="B19" s="148"/>
      <c r="C19" s="148"/>
      <c r="D19" s="148"/>
      <c r="E19" s="148"/>
      <c r="F19" s="148"/>
      <c r="G19" s="148"/>
      <c r="H19" s="148"/>
      <c r="I19" s="148"/>
      <c r="J19" s="148"/>
      <c r="K19" s="148"/>
      <c r="L19" s="148"/>
      <c r="M19" s="148"/>
      <c r="N19" s="148"/>
      <c r="O19" s="148"/>
    </row>
    <row r="20" spans="2:15">
      <c r="B20" s="148"/>
      <c r="C20" s="148"/>
      <c r="D20" s="148"/>
      <c r="E20" s="148"/>
      <c r="F20" s="148"/>
      <c r="G20" s="148"/>
      <c r="H20" s="148"/>
      <c r="I20" s="148"/>
      <c r="J20" s="148"/>
      <c r="K20" s="148"/>
      <c r="L20" s="148"/>
      <c r="M20" s="148"/>
      <c r="N20" s="148"/>
      <c r="O20" s="148"/>
    </row>
    <row r="21" spans="2:15">
      <c r="B21" s="148"/>
      <c r="C21" s="148"/>
      <c r="D21" s="148"/>
      <c r="E21" s="148"/>
      <c r="F21" s="148"/>
      <c r="G21" s="148"/>
      <c r="H21" s="148"/>
      <c r="I21" s="148"/>
      <c r="J21" s="148"/>
      <c r="K21" s="148"/>
      <c r="L21" s="148"/>
      <c r="M21" s="148"/>
      <c r="N21" s="148"/>
      <c r="O21" s="148"/>
    </row>
    <row r="22" spans="2:15">
      <c r="B22" s="148"/>
      <c r="C22" s="148"/>
      <c r="D22" s="148"/>
      <c r="E22" s="148"/>
      <c r="F22" s="148"/>
      <c r="G22" s="148"/>
      <c r="H22" s="148"/>
      <c r="I22" s="148"/>
      <c r="J22" s="148"/>
      <c r="K22" s="148"/>
      <c r="L22" s="148"/>
      <c r="M22" s="148"/>
      <c r="N22" s="148"/>
      <c r="O22" s="148"/>
    </row>
    <row r="23" spans="2:15">
      <c r="B23" s="148"/>
      <c r="C23" s="148"/>
      <c r="D23" s="148"/>
      <c r="E23" s="148"/>
      <c r="F23" s="148"/>
      <c r="G23" s="148"/>
      <c r="H23" s="148"/>
      <c r="I23" s="148"/>
      <c r="J23" s="148"/>
      <c r="K23" s="148"/>
      <c r="L23" s="148"/>
      <c r="M23" s="148"/>
      <c r="N23" s="148"/>
      <c r="O23" s="148"/>
    </row>
    <row r="24" spans="2:15">
      <c r="B24" s="148"/>
      <c r="C24" s="148"/>
      <c r="D24" s="148"/>
      <c r="E24" s="148"/>
      <c r="F24" s="148"/>
      <c r="G24" s="148"/>
      <c r="H24" s="148"/>
      <c r="I24" s="148"/>
      <c r="J24" s="148"/>
      <c r="K24" s="148"/>
      <c r="L24" s="148"/>
      <c r="M24" s="148"/>
      <c r="N24" s="148"/>
      <c r="O24" s="148"/>
    </row>
    <row r="25" spans="2:15">
      <c r="B25" s="148"/>
      <c r="C25" s="148"/>
      <c r="D25" s="148"/>
      <c r="E25" s="148"/>
      <c r="F25" s="148"/>
      <c r="G25" s="148"/>
      <c r="H25" s="148"/>
      <c r="I25" s="148"/>
      <c r="J25" s="148"/>
      <c r="K25" s="148"/>
      <c r="L25" s="148"/>
      <c r="M25" s="148"/>
      <c r="N25" s="148"/>
      <c r="O25" s="148"/>
    </row>
    <row r="26" spans="2:15">
      <c r="B26" s="148"/>
      <c r="C26" s="148"/>
      <c r="D26" s="148"/>
      <c r="E26" s="148"/>
      <c r="F26" s="148"/>
      <c r="G26" s="148"/>
      <c r="H26" s="148"/>
      <c r="I26" s="148"/>
      <c r="J26" s="148"/>
      <c r="K26" s="148"/>
      <c r="L26" s="148"/>
      <c r="M26" s="148"/>
      <c r="N26" s="148"/>
      <c r="O26" s="148"/>
    </row>
    <row r="27" spans="2:15">
      <c r="B27" s="148"/>
      <c r="C27" s="148"/>
      <c r="D27" s="148"/>
      <c r="E27" s="148"/>
      <c r="F27" s="148"/>
      <c r="G27" s="148"/>
      <c r="H27" s="148"/>
      <c r="I27" s="148"/>
      <c r="J27" s="148"/>
      <c r="K27" s="148"/>
      <c r="L27" s="148"/>
      <c r="M27" s="148"/>
      <c r="N27" s="148"/>
      <c r="O27" s="148"/>
    </row>
    <row r="28" spans="2:15">
      <c r="B28" s="148"/>
      <c r="C28" s="148"/>
      <c r="D28" s="148"/>
      <c r="E28" s="148"/>
      <c r="F28" s="148"/>
      <c r="G28" s="148"/>
      <c r="H28" s="148"/>
      <c r="I28" s="148"/>
      <c r="J28" s="148"/>
      <c r="K28" s="148"/>
      <c r="L28" s="148"/>
      <c r="M28" s="148"/>
      <c r="N28" s="148"/>
      <c r="O28" s="148"/>
    </row>
    <row r="29" spans="2:15">
      <c r="B29" s="148"/>
      <c r="C29" s="148"/>
      <c r="D29" s="148"/>
      <c r="E29" s="148"/>
      <c r="F29" s="148"/>
      <c r="G29" s="148"/>
      <c r="H29" s="148"/>
      <c r="I29" s="148"/>
      <c r="J29" s="148"/>
      <c r="K29" s="148"/>
      <c r="L29" s="148"/>
      <c r="M29" s="148"/>
      <c r="N29" s="148"/>
      <c r="O29" s="148"/>
    </row>
    <row r="30" spans="2:15">
      <c r="B30" s="148"/>
      <c r="C30" s="148"/>
      <c r="D30" s="148"/>
      <c r="E30" s="148"/>
      <c r="F30" s="148"/>
      <c r="G30" s="148"/>
      <c r="H30" s="148"/>
      <c r="I30" s="148"/>
      <c r="J30" s="148"/>
      <c r="K30" s="148"/>
      <c r="L30" s="148"/>
      <c r="M30" s="148"/>
      <c r="N30" s="148"/>
      <c r="O30" s="148"/>
    </row>
    <row r="31" spans="2:15">
      <c r="B31" s="148"/>
      <c r="C31" s="148"/>
      <c r="D31" s="148"/>
      <c r="E31" s="148"/>
      <c r="F31" s="148"/>
      <c r="G31" s="148"/>
      <c r="H31" s="148"/>
      <c r="I31" s="148"/>
      <c r="J31" s="148"/>
      <c r="K31" s="148"/>
      <c r="L31" s="148"/>
      <c r="M31" s="148"/>
      <c r="N31" s="148"/>
      <c r="O31" s="148"/>
    </row>
    <row r="32" spans="2:15">
      <c r="B32" s="148"/>
      <c r="C32" s="148"/>
      <c r="D32" s="148"/>
      <c r="E32" s="148"/>
      <c r="F32" s="148"/>
      <c r="G32" s="148"/>
      <c r="H32" s="148"/>
      <c r="I32" s="148"/>
      <c r="J32" s="148"/>
      <c r="K32" s="148"/>
      <c r="L32" s="148"/>
      <c r="M32" s="148"/>
      <c r="N32" s="148"/>
      <c r="O32" s="148"/>
    </row>
  </sheetData>
  <mergeCells count="1">
    <mergeCell ref="B1:M1"/>
  </mergeCells>
  <pageMargins left="0.51181102362204722" right="0.70866141732283472" top="0.47244094488188981" bottom="0.74803149606299213" header="0.31496062992125984" footer="0.31496062992125984"/>
  <pageSetup scale="5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7030A0"/>
    <pageSetUpPr fitToPage="1"/>
  </sheetPr>
  <dimension ref="A1:U24"/>
  <sheetViews>
    <sheetView showGridLines="0" view="pageBreakPreview" zoomScale="85" zoomScaleNormal="70" zoomScaleSheetLayoutView="85" workbookViewId="0">
      <selection activeCell="P40" sqref="P40"/>
    </sheetView>
  </sheetViews>
  <sheetFormatPr baseColWidth="10" defaultColWidth="11.5703125" defaultRowHeight="15"/>
  <cols>
    <col min="1" max="1" width="16.7109375" customWidth="1"/>
    <col min="2" max="2" width="16.5703125" customWidth="1"/>
    <col min="3" max="3" width="21.85546875" customWidth="1"/>
    <col min="4" max="4" width="20.28515625" style="128" customWidth="1"/>
    <col min="5" max="5" width="22.5703125" customWidth="1"/>
    <col min="6" max="6" width="26.7109375" customWidth="1"/>
    <col min="7" max="7" width="28" customWidth="1"/>
    <col min="8" max="8" width="16.28515625" style="128" customWidth="1"/>
    <col min="9" max="9" width="24.140625" customWidth="1"/>
    <col min="10" max="10" width="29.85546875" customWidth="1"/>
    <col min="11" max="11" width="13.28515625" customWidth="1"/>
    <col min="12" max="12" width="20.140625" customWidth="1"/>
    <col min="13" max="13" width="12.42578125" bestFit="1" customWidth="1"/>
    <col min="14" max="14" width="13.42578125" customWidth="1"/>
    <col min="15" max="16" width="11.5703125" bestFit="1" customWidth="1"/>
    <col min="17" max="17" width="12.7109375" bestFit="1" customWidth="1"/>
    <col min="18" max="18" width="15.42578125" bestFit="1" customWidth="1"/>
    <col min="19" max="20" width="11.5703125" bestFit="1" customWidth="1"/>
  </cols>
  <sheetData>
    <row r="1" spans="1:13" ht="83.25" customHeight="1">
      <c r="A1" s="2387" t="s">
        <v>1948</v>
      </c>
      <c r="B1" s="2387"/>
      <c r="C1" s="2387"/>
      <c r="D1" s="2387"/>
      <c r="E1" s="2387"/>
      <c r="F1" s="2387"/>
      <c r="G1" s="2387"/>
      <c r="H1" s="2387"/>
      <c r="I1" s="2387"/>
      <c r="J1" s="2387"/>
      <c r="K1" s="2387"/>
      <c r="L1" s="2387"/>
      <c r="M1" s="2387"/>
    </row>
    <row r="2" spans="1:13" ht="24" customHeight="1">
      <c r="A2" s="2388" t="s">
        <v>1949</v>
      </c>
      <c r="B2" s="2388"/>
      <c r="C2" s="2388"/>
      <c r="D2" s="2388"/>
      <c r="E2" s="2388"/>
      <c r="F2" s="2388"/>
      <c r="G2" s="2388"/>
      <c r="H2" s="2388"/>
      <c r="I2" s="2388"/>
      <c r="J2" s="2388"/>
      <c r="K2" s="2388"/>
      <c r="L2" s="2388"/>
      <c r="M2" s="2388"/>
    </row>
    <row r="3" spans="1:13" ht="95.25" customHeight="1">
      <c r="A3" s="1019" t="s">
        <v>495</v>
      </c>
      <c r="B3" s="1069" t="s">
        <v>1424</v>
      </c>
      <c r="C3" s="1069" t="s">
        <v>1265</v>
      </c>
      <c r="D3" s="1069" t="s">
        <v>1844</v>
      </c>
      <c r="E3" s="1069" t="s">
        <v>1294</v>
      </c>
      <c r="F3" s="1070" t="s">
        <v>1295</v>
      </c>
      <c r="G3" s="1070" t="s">
        <v>1296</v>
      </c>
      <c r="H3" s="1070" t="s">
        <v>1845</v>
      </c>
      <c r="I3" s="1070" t="s">
        <v>1297</v>
      </c>
      <c r="J3" s="1071" t="s">
        <v>1632</v>
      </c>
      <c r="K3" s="43"/>
      <c r="L3" s="27"/>
      <c r="M3" s="27"/>
    </row>
    <row r="4" spans="1:13" s="128" customFormat="1" ht="18.75">
      <c r="A4" s="1072" t="s">
        <v>31</v>
      </c>
      <c r="B4" s="1073">
        <v>258701</v>
      </c>
      <c r="C4" s="1073">
        <v>255339</v>
      </c>
      <c r="D4" s="2043">
        <f>+C4+B4</f>
        <v>514040</v>
      </c>
      <c r="E4" s="2033">
        <f>C4/B4</f>
        <v>0.9870043022640036</v>
      </c>
      <c r="F4" s="1074">
        <v>254831</v>
      </c>
      <c r="G4" s="1074">
        <v>258585</v>
      </c>
      <c r="H4" s="2042">
        <f>+G4+F4</f>
        <v>513416</v>
      </c>
      <c r="I4" s="2033">
        <f>G4/F4</f>
        <v>1.0147313317453528</v>
      </c>
      <c r="J4" s="2035"/>
      <c r="K4" s="43"/>
      <c r="L4" s="148"/>
      <c r="M4" s="148"/>
    </row>
    <row r="5" spans="1:13" ht="18.75">
      <c r="A5" s="1072" t="s">
        <v>32</v>
      </c>
      <c r="B5" s="1073">
        <v>387426</v>
      </c>
      <c r="C5" s="1073">
        <v>585001</v>
      </c>
      <c r="D5" s="2043">
        <f t="shared" ref="D5:D12" si="0">+C5+B5</f>
        <v>972427</v>
      </c>
      <c r="E5" s="2033">
        <f t="shared" ref="E5:E11" si="1">C5/B5</f>
        <v>1.5099683552471956</v>
      </c>
      <c r="F5" s="1074">
        <v>473647</v>
      </c>
      <c r="G5" s="1074">
        <v>608289</v>
      </c>
      <c r="H5" s="2042">
        <f t="shared" ref="H5:H12" si="2">+G5+F5</f>
        <v>1081936</v>
      </c>
      <c r="I5" s="2033">
        <f t="shared" ref="I5:I11" si="3">G5/F5</f>
        <v>1.2842665529392143</v>
      </c>
      <c r="J5" s="2036">
        <f t="shared" ref="J5:J12" si="4">E5-I5</f>
        <v>0.22570180230798131</v>
      </c>
      <c r="K5" s="43"/>
      <c r="L5" s="27"/>
      <c r="M5" s="27"/>
    </row>
    <row r="6" spans="1:13" ht="18.75">
      <c r="A6" s="1072" t="s">
        <v>33</v>
      </c>
      <c r="B6" s="1073">
        <v>496472</v>
      </c>
      <c r="C6" s="1073">
        <v>746209</v>
      </c>
      <c r="D6" s="2043">
        <f t="shared" si="0"/>
        <v>1242681</v>
      </c>
      <c r="E6" s="2033">
        <f t="shared" si="1"/>
        <v>1.503023332635073</v>
      </c>
      <c r="F6" s="1074">
        <v>489949</v>
      </c>
      <c r="G6" s="1074">
        <v>734694</v>
      </c>
      <c r="H6" s="2042">
        <f t="shared" si="2"/>
        <v>1224643</v>
      </c>
      <c r="I6" s="2033">
        <f t="shared" si="3"/>
        <v>1.4995315838995487</v>
      </c>
      <c r="J6" s="2036">
        <f t="shared" si="4"/>
        <v>3.4917487355243804E-3</v>
      </c>
      <c r="K6" s="43"/>
      <c r="L6" s="27"/>
      <c r="M6" s="27"/>
    </row>
    <row r="7" spans="1:13" ht="18.75">
      <c r="A7" s="1072" t="s">
        <v>34</v>
      </c>
      <c r="B7" s="1074">
        <v>617444</v>
      </c>
      <c r="C7" s="1074">
        <v>793708</v>
      </c>
      <c r="D7" s="2043">
        <f t="shared" si="0"/>
        <v>1411152</v>
      </c>
      <c r="E7" s="2033">
        <f t="shared" si="1"/>
        <v>1.2854736623888159</v>
      </c>
      <c r="F7" s="1074">
        <v>575190</v>
      </c>
      <c r="G7" s="1074">
        <v>770976</v>
      </c>
      <c r="H7" s="2042">
        <f t="shared" si="2"/>
        <v>1346166</v>
      </c>
      <c r="I7" s="2033">
        <f t="shared" si="3"/>
        <v>1.3403849162885308</v>
      </c>
      <c r="J7" s="2036">
        <f t="shared" si="4"/>
        <v>-5.4911253899714962E-2</v>
      </c>
      <c r="K7" s="43"/>
      <c r="L7" s="27"/>
      <c r="M7" s="27"/>
    </row>
    <row r="8" spans="1:13" ht="18.75">
      <c r="A8" s="1072" t="s">
        <v>359</v>
      </c>
      <c r="B8" s="1074">
        <v>871911</v>
      </c>
      <c r="C8" s="1074">
        <v>1151449</v>
      </c>
      <c r="D8" s="2043">
        <f t="shared" si="0"/>
        <v>2023360</v>
      </c>
      <c r="E8" s="2033">
        <f t="shared" si="1"/>
        <v>1.3206038230966235</v>
      </c>
      <c r="F8" s="1075">
        <v>880620</v>
      </c>
      <c r="G8" s="1075">
        <v>967213</v>
      </c>
      <c r="H8" s="2042">
        <f t="shared" si="2"/>
        <v>1847833</v>
      </c>
      <c r="I8" s="2033">
        <f t="shared" si="3"/>
        <v>1.098331857100679</v>
      </c>
      <c r="J8" s="2036">
        <f t="shared" si="4"/>
        <v>0.22227196599594445</v>
      </c>
      <c r="K8" s="43"/>
      <c r="L8" s="27"/>
      <c r="M8" s="27"/>
    </row>
    <row r="9" spans="1:13" ht="18.75">
      <c r="A9" s="1072" t="s">
        <v>477</v>
      </c>
      <c r="B9" s="1074">
        <v>842157</v>
      </c>
      <c r="C9" s="1074">
        <v>1175266</v>
      </c>
      <c r="D9" s="2043">
        <f t="shared" si="0"/>
        <v>2017423</v>
      </c>
      <c r="E9" s="2033">
        <f t="shared" si="1"/>
        <v>1.3955426363492793</v>
      </c>
      <c r="F9" s="1075">
        <v>885431</v>
      </c>
      <c r="G9" s="1075">
        <v>1110904</v>
      </c>
      <c r="H9" s="2042">
        <f t="shared" si="2"/>
        <v>1996335</v>
      </c>
      <c r="I9" s="2033">
        <f t="shared" si="3"/>
        <v>1.2546477365260533</v>
      </c>
      <c r="J9" s="2036">
        <f t="shared" si="4"/>
        <v>0.14089489982322601</v>
      </c>
      <c r="K9" s="23"/>
      <c r="L9" s="23"/>
      <c r="M9" s="23"/>
    </row>
    <row r="10" spans="1:13" ht="18.75">
      <c r="A10" s="1072" t="s">
        <v>1057</v>
      </c>
      <c r="B10" s="1075">
        <v>1112659</v>
      </c>
      <c r="C10" s="1075">
        <v>1222633</v>
      </c>
      <c r="D10" s="2043">
        <f t="shared" si="0"/>
        <v>2335292</v>
      </c>
      <c r="E10" s="2033">
        <f t="shared" si="1"/>
        <v>1.0988389075179368</v>
      </c>
      <c r="F10" s="1075">
        <v>1170009</v>
      </c>
      <c r="G10" s="1075">
        <v>1124347</v>
      </c>
      <c r="H10" s="2042">
        <f t="shared" si="2"/>
        <v>2294356</v>
      </c>
      <c r="I10" s="2033">
        <f t="shared" si="3"/>
        <v>0.96097294978072823</v>
      </c>
      <c r="J10" s="2036">
        <f t="shared" si="4"/>
        <v>0.13786595773720856</v>
      </c>
    </row>
    <row r="11" spans="1:13" ht="18.75">
      <c r="A11" s="1072" t="s">
        <v>1640</v>
      </c>
      <c r="B11" s="1075">
        <v>1568225</v>
      </c>
      <c r="C11" s="1075">
        <v>1183528</v>
      </c>
      <c r="D11" s="2043">
        <f t="shared" si="0"/>
        <v>2751753</v>
      </c>
      <c r="E11" s="2034">
        <f t="shared" si="1"/>
        <v>0.75469272585247649</v>
      </c>
      <c r="F11" s="1075">
        <v>1467184</v>
      </c>
      <c r="G11" s="1075">
        <v>1179715</v>
      </c>
      <c r="H11" s="2042">
        <f t="shared" si="2"/>
        <v>2646899</v>
      </c>
      <c r="I11" s="2033">
        <f t="shared" si="3"/>
        <v>0.80406751982028157</v>
      </c>
      <c r="J11" s="2036">
        <f t="shared" si="4"/>
        <v>-4.9374793967805086E-2</v>
      </c>
    </row>
    <row r="12" spans="1:13" ht="18.75">
      <c r="A12" s="1072" t="s">
        <v>1922</v>
      </c>
      <c r="B12" s="1075">
        <v>1795214</v>
      </c>
      <c r="C12" s="1075">
        <v>1220432</v>
      </c>
      <c r="D12" s="2043">
        <f t="shared" si="0"/>
        <v>3015646</v>
      </c>
      <c r="E12" s="2034">
        <f>C12/B12</f>
        <v>0.67982535786819842</v>
      </c>
      <c r="F12" s="1075">
        <v>1795214</v>
      </c>
      <c r="G12" s="1075">
        <v>1220432</v>
      </c>
      <c r="H12" s="2042">
        <f t="shared" si="2"/>
        <v>3015646</v>
      </c>
      <c r="I12" s="2033">
        <f>G12/F12</f>
        <v>0.67982535786819842</v>
      </c>
      <c r="J12" s="2036">
        <f t="shared" si="4"/>
        <v>0</v>
      </c>
    </row>
    <row r="19" spans="21:21" ht="147.75" customHeight="1">
      <c r="U19" s="353"/>
    </row>
    <row r="20" spans="21:21" ht="15.75">
      <c r="U20" s="353"/>
    </row>
    <row r="21" spans="21:21" ht="15.75">
      <c r="U21" s="353"/>
    </row>
    <row r="22" spans="21:21" ht="15.75">
      <c r="U22" s="353"/>
    </row>
    <row r="23" spans="21:21" ht="15.75">
      <c r="U23" s="353"/>
    </row>
    <row r="24" spans="21:21" ht="15.75">
      <c r="U24" s="353"/>
    </row>
  </sheetData>
  <mergeCells count="2">
    <mergeCell ref="A1:M1"/>
    <mergeCell ref="A2:M2"/>
  </mergeCells>
  <printOptions horizontalCentered="1" verticalCentered="1"/>
  <pageMargins left="0.4" right="0.4" top="0.25" bottom="0.25" header="0.31496062992126" footer="0.31496062992126"/>
  <pageSetup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theme="9" tint="-0.499984740745262"/>
    <pageSetUpPr fitToPage="1"/>
  </sheetPr>
  <dimension ref="A1:N48"/>
  <sheetViews>
    <sheetView showGridLines="0" view="pageBreakPreview" zoomScale="70" zoomScaleNormal="70" zoomScaleSheetLayoutView="70" workbookViewId="0">
      <pane ySplit="1" topLeftCell="A2" activePane="bottomLeft" state="frozen"/>
      <selection pane="bottomLeft" activeCell="G13" sqref="G13"/>
    </sheetView>
  </sheetViews>
  <sheetFormatPr baseColWidth="10" defaultColWidth="11.42578125" defaultRowHeight="15"/>
  <cols>
    <col min="1" max="1" width="16.7109375" style="86" customWidth="1"/>
    <col min="2" max="2" width="20.7109375" style="86" customWidth="1"/>
    <col min="3" max="3" width="24.28515625" style="86" customWidth="1"/>
    <col min="4" max="4" width="19.7109375" style="86" customWidth="1"/>
    <col min="5" max="5" width="16.7109375" style="86" customWidth="1"/>
    <col min="6" max="7" width="16.85546875" style="86" bestFit="1" customWidth="1"/>
    <col min="8" max="8" width="15.140625" style="86" bestFit="1" customWidth="1"/>
    <col min="9" max="10" width="11.42578125" style="86"/>
    <col min="11" max="11" width="13.85546875" style="86" customWidth="1"/>
    <col min="12" max="12" width="18.7109375" style="86" customWidth="1"/>
    <col min="13" max="13" width="5.5703125" style="86" customWidth="1"/>
    <col min="14" max="14" width="18.28515625" style="86" bestFit="1" customWidth="1"/>
    <col min="15" max="16384" width="11.42578125" style="86"/>
  </cols>
  <sheetData>
    <row r="1" spans="1:14" customFormat="1" ht="66.75" customHeight="1">
      <c r="A1" s="2389" t="s">
        <v>1950</v>
      </c>
      <c r="B1" s="2389"/>
      <c r="C1" s="2389"/>
      <c r="D1" s="2389"/>
      <c r="E1" s="2389"/>
      <c r="F1" s="2389"/>
      <c r="G1" s="2389"/>
      <c r="H1" s="2389"/>
      <c r="I1" s="2389"/>
      <c r="J1" s="2389"/>
      <c r="K1" s="2389"/>
      <c r="L1" s="2389"/>
    </row>
    <row r="2" spans="1:14" customFormat="1" ht="106.5" customHeight="1">
      <c r="A2" s="2390" t="s">
        <v>1951</v>
      </c>
      <c r="B2" s="2390"/>
      <c r="C2" s="2390"/>
      <c r="D2" s="2390"/>
      <c r="E2" s="2390"/>
      <c r="F2" s="2390"/>
      <c r="G2" s="2390"/>
      <c r="H2" s="2390"/>
      <c r="I2" s="2390"/>
      <c r="J2" s="2390"/>
      <c r="K2" s="2390"/>
      <c r="L2" s="2390"/>
      <c r="M2" s="226"/>
      <c r="N2" s="226"/>
    </row>
    <row r="3" spans="1:14" customFormat="1" ht="23.25" customHeight="1">
      <c r="A3" s="1076" t="s">
        <v>0</v>
      </c>
      <c r="B3" s="1077" t="s">
        <v>138</v>
      </c>
      <c r="C3" s="1077" t="s">
        <v>202</v>
      </c>
      <c r="D3" s="1077" t="s">
        <v>210</v>
      </c>
      <c r="E3" s="43"/>
      <c r="F3" s="43"/>
      <c r="G3" s="43"/>
      <c r="H3" s="43"/>
      <c r="I3" s="43"/>
      <c r="J3" s="23"/>
      <c r="K3" s="23"/>
      <c r="L3" s="23"/>
      <c r="M3" s="238"/>
    </row>
    <row r="4" spans="1:14" customFormat="1" ht="15" hidden="1" customHeight="1">
      <c r="A4" s="1078">
        <v>2002</v>
      </c>
      <c r="B4" s="184">
        <v>40000000</v>
      </c>
      <c r="C4" s="184">
        <v>0</v>
      </c>
      <c r="D4" s="821">
        <f t="shared" ref="D4:D16" si="0">B4-C4</f>
        <v>40000000</v>
      </c>
      <c r="E4" s="43"/>
      <c r="F4" s="43"/>
      <c r="G4" s="43"/>
      <c r="H4" s="43"/>
      <c r="I4" s="43"/>
      <c r="J4" s="23"/>
      <c r="K4" s="23"/>
      <c r="L4" s="23"/>
    </row>
    <row r="5" spans="1:14" customFormat="1" ht="15" hidden="1" customHeight="1">
      <c r="A5" s="1078">
        <v>2003</v>
      </c>
      <c r="B5" s="184">
        <v>10000000</v>
      </c>
      <c r="C5" s="185">
        <v>50652652.469999999</v>
      </c>
      <c r="D5" s="821">
        <f t="shared" si="0"/>
        <v>-40652652.469999999</v>
      </c>
      <c r="E5" s="43"/>
      <c r="F5" s="43"/>
      <c r="G5" s="43"/>
      <c r="H5" s="43"/>
      <c r="I5" s="43"/>
      <c r="J5" s="23"/>
      <c r="K5" s="23"/>
      <c r="L5" s="23"/>
    </row>
    <row r="6" spans="1:14" customFormat="1" ht="15.75" hidden="1">
      <c r="A6" s="1078">
        <v>2004</v>
      </c>
      <c r="B6" s="184">
        <v>100013332.31999999</v>
      </c>
      <c r="C6" s="185">
        <v>101865387.58</v>
      </c>
      <c r="D6" s="821">
        <f t="shared" si="0"/>
        <v>-1852055.2600000054</v>
      </c>
      <c r="E6" s="43"/>
      <c r="F6" s="43"/>
      <c r="G6" s="43"/>
      <c r="H6" s="43"/>
      <c r="I6" s="43"/>
      <c r="J6" s="23"/>
      <c r="K6" s="23"/>
      <c r="L6" s="23"/>
    </row>
    <row r="7" spans="1:14" customFormat="1" ht="15.75">
      <c r="A7" s="1078">
        <v>2005</v>
      </c>
      <c r="B7" s="184">
        <v>604604920.63</v>
      </c>
      <c r="C7" s="185">
        <v>203608914.68000001</v>
      </c>
      <c r="D7" s="821">
        <f t="shared" si="0"/>
        <v>400996005.94999999</v>
      </c>
      <c r="E7" s="1335"/>
      <c r="F7" s="43"/>
      <c r="G7" s="43"/>
      <c r="H7" s="43" t="s">
        <v>36</v>
      </c>
      <c r="I7" s="43"/>
      <c r="J7" s="23"/>
      <c r="K7" s="23"/>
      <c r="L7" s="23"/>
      <c r="M7" s="830"/>
    </row>
    <row r="8" spans="1:14" customFormat="1" ht="15.75">
      <c r="A8" s="1078">
        <v>2006</v>
      </c>
      <c r="B8" s="186">
        <v>724509996.65999997</v>
      </c>
      <c r="C8" s="186">
        <v>816768960.5</v>
      </c>
      <c r="D8" s="821">
        <f t="shared" si="0"/>
        <v>-92258963.840000033</v>
      </c>
      <c r="E8" s="1335"/>
      <c r="F8" s="43"/>
      <c r="G8" s="43"/>
      <c r="H8" s="43"/>
      <c r="I8" s="43"/>
      <c r="J8" s="23"/>
      <c r="K8" s="23"/>
      <c r="L8" s="23"/>
    </row>
    <row r="9" spans="1:14" customFormat="1" ht="15.75">
      <c r="A9" s="1078">
        <v>2007</v>
      </c>
      <c r="B9" s="184">
        <v>1566425499.9599998</v>
      </c>
      <c r="C9" s="184">
        <v>1578880050.26</v>
      </c>
      <c r="D9" s="821">
        <f t="shared" si="0"/>
        <v>-12454550.300000191</v>
      </c>
      <c r="E9" s="1335"/>
      <c r="F9" s="43"/>
      <c r="G9" s="43"/>
      <c r="H9" s="803"/>
      <c r="I9" s="43"/>
      <c r="J9" s="23"/>
      <c r="K9" s="23"/>
      <c r="L9" s="23"/>
    </row>
    <row r="10" spans="1:14" customFormat="1" ht="15.75">
      <c r="A10" s="1078">
        <v>2008</v>
      </c>
      <c r="B10" s="185">
        <v>2203585531</v>
      </c>
      <c r="C10" s="185">
        <v>2556770326.0999999</v>
      </c>
      <c r="D10" s="821">
        <f t="shared" si="0"/>
        <v>-353184795.0999999</v>
      </c>
      <c r="E10" s="1335"/>
      <c r="F10" s="1335"/>
      <c r="G10" s="43"/>
      <c r="H10" s="43"/>
      <c r="I10" s="43"/>
      <c r="J10" s="23"/>
      <c r="K10" s="23"/>
      <c r="L10" s="23"/>
    </row>
    <row r="11" spans="1:14" customFormat="1" ht="15.75">
      <c r="A11" s="1012">
        <v>2009</v>
      </c>
      <c r="B11" s="159">
        <v>3190675855.0100002</v>
      </c>
      <c r="C11" s="187">
        <v>2723337644.3600001</v>
      </c>
      <c r="D11" s="821">
        <f t="shared" si="0"/>
        <v>467338210.6500001</v>
      </c>
      <c r="E11" s="1335"/>
      <c r="F11" s="1335"/>
      <c r="G11" s="43"/>
      <c r="H11" s="43"/>
      <c r="I11" s="43"/>
      <c r="J11" s="23"/>
      <c r="K11" s="23"/>
      <c r="L11" s="23"/>
    </row>
    <row r="12" spans="1:14" customFormat="1" ht="15.75">
      <c r="A12" s="1078">
        <v>2010</v>
      </c>
      <c r="B12" s="159">
        <v>3736675849.46</v>
      </c>
      <c r="C12" s="187">
        <v>3444380482.98</v>
      </c>
      <c r="D12" s="821">
        <f t="shared" si="0"/>
        <v>292295366.48000002</v>
      </c>
      <c r="E12" s="1335"/>
      <c r="F12" s="1335"/>
      <c r="G12" s="43"/>
      <c r="H12" s="43"/>
      <c r="I12" s="43"/>
      <c r="J12" s="23"/>
      <c r="K12" s="23"/>
      <c r="L12" s="23"/>
    </row>
    <row r="13" spans="1:14" s="128" customFormat="1" ht="15.75">
      <c r="A13" s="1012">
        <v>2011</v>
      </c>
      <c r="B13" s="159">
        <v>4134675852</v>
      </c>
      <c r="C13" s="187">
        <v>4363872025.0799999</v>
      </c>
      <c r="D13" s="821">
        <f t="shared" si="0"/>
        <v>-229196173.07999992</v>
      </c>
      <c r="E13" s="1335"/>
      <c r="F13" s="1335"/>
      <c r="G13" s="43"/>
      <c r="H13" s="43"/>
      <c r="I13" s="43"/>
      <c r="J13" s="23"/>
      <c r="K13" s="23"/>
      <c r="L13" s="23"/>
    </row>
    <row r="14" spans="1:14" s="128" customFormat="1" ht="15.75">
      <c r="A14" s="1012">
        <v>2012</v>
      </c>
      <c r="B14" s="819">
        <v>4600000000.96</v>
      </c>
      <c r="C14" s="820">
        <v>4742082647.7799997</v>
      </c>
      <c r="D14" s="821">
        <f t="shared" si="0"/>
        <v>-142082646.81999969</v>
      </c>
      <c r="E14" s="1335"/>
      <c r="F14" s="1335"/>
      <c r="G14" s="43"/>
      <c r="H14" s="43"/>
      <c r="I14" s="43"/>
      <c r="J14" s="23"/>
      <c r="K14" s="23"/>
      <c r="L14" s="23"/>
    </row>
    <row r="15" spans="1:14" s="128" customFormat="1" ht="15.75">
      <c r="A15" s="1012">
        <v>2013</v>
      </c>
      <c r="B15" s="819">
        <v>5302610000</v>
      </c>
      <c r="C15" s="820">
        <v>5215203784.9399996</v>
      </c>
      <c r="D15" s="1603">
        <f t="shared" si="0"/>
        <v>87406215.06000042</v>
      </c>
      <c r="E15" s="1335"/>
      <c r="F15" s="1335"/>
      <c r="G15" s="43"/>
      <c r="H15" s="43"/>
      <c r="I15" s="43"/>
      <c r="J15" s="23"/>
      <c r="K15" s="23"/>
      <c r="L15" s="23"/>
    </row>
    <row r="16" spans="1:14" s="128" customFormat="1" ht="15.75">
      <c r="A16" s="1012">
        <v>2014</v>
      </c>
      <c r="B16" s="819">
        <v>6839999499</v>
      </c>
      <c r="C16" s="820">
        <v>7378610518.96</v>
      </c>
      <c r="D16" s="1603">
        <f t="shared" si="0"/>
        <v>-538611019.96000004</v>
      </c>
      <c r="E16" s="1335"/>
      <c r="F16" s="1335"/>
      <c r="G16" s="43"/>
      <c r="H16" s="43"/>
      <c r="I16" s="43"/>
      <c r="J16" s="23"/>
      <c r="K16" s="23"/>
      <c r="L16" s="23"/>
    </row>
    <row r="17" spans="1:12" customFormat="1" ht="15.75">
      <c r="A17" s="1079" t="s">
        <v>23</v>
      </c>
      <c r="B17" s="1080">
        <f>SUM(B7:B16)</f>
        <v>32903763004.68</v>
      </c>
      <c r="C17" s="1080">
        <f>SUM(C7:C16)</f>
        <v>33023515355.639996</v>
      </c>
      <c r="D17" s="1080">
        <f>SUM(D7:D16)</f>
        <v>-119752350.95999932</v>
      </c>
      <c r="E17" s="1335"/>
      <c r="F17" s="1335"/>
      <c r="G17" s="43"/>
      <c r="H17" s="43"/>
      <c r="I17" s="43"/>
      <c r="J17" s="23"/>
      <c r="K17" s="23"/>
      <c r="L17" s="23"/>
    </row>
    <row r="18" spans="1:12" customFormat="1">
      <c r="A18" s="47"/>
      <c r="B18" s="47"/>
      <c r="C18" s="47"/>
      <c r="D18" s="28"/>
      <c r="E18" s="44"/>
      <c r="F18" s="44"/>
      <c r="G18" s="44"/>
      <c r="H18" s="44"/>
      <c r="I18" s="44"/>
      <c r="J18" s="28"/>
      <c r="K18" s="28"/>
      <c r="L18" s="28"/>
    </row>
    <row r="19" spans="1:12" customFormat="1">
      <c r="B19">
        <f>+'[4]TSS Subsidiado.'!$D$163</f>
        <v>6839999499</v>
      </c>
      <c r="C19" s="28">
        <f>+'[4]TSS Subsidiado.'!$H$163</f>
        <v>7378610518.96</v>
      </c>
      <c r="D19" s="28"/>
      <c r="E19" s="44"/>
      <c r="F19" s="44"/>
      <c r="G19" s="44"/>
      <c r="H19" s="44"/>
      <c r="I19" s="44"/>
      <c r="J19" s="28"/>
      <c r="K19" s="28"/>
      <c r="L19" s="28"/>
    </row>
    <row r="20" spans="1:12" customFormat="1">
      <c r="C20" s="28"/>
      <c r="D20" s="28"/>
      <c r="E20" s="28"/>
      <c r="F20" s="28"/>
      <c r="G20" s="28"/>
      <c r="H20" s="28"/>
      <c r="I20" s="28"/>
      <c r="J20" s="28"/>
      <c r="K20" s="28"/>
      <c r="L20" s="28"/>
    </row>
    <row r="21" spans="1:12" customFormat="1">
      <c r="C21" s="28"/>
      <c r="D21" s="28"/>
      <c r="E21" s="28"/>
      <c r="F21" s="28"/>
      <c r="G21" s="28"/>
      <c r="H21" s="28"/>
      <c r="I21" s="28"/>
      <c r="J21" s="28"/>
      <c r="K21" s="28"/>
      <c r="L21" s="28"/>
    </row>
    <row r="22" spans="1:12" customFormat="1">
      <c r="C22" s="28"/>
      <c r="D22" s="28"/>
      <c r="E22" s="28"/>
      <c r="F22" s="28"/>
      <c r="G22" s="28"/>
      <c r="H22" s="28"/>
      <c r="I22" s="28"/>
      <c r="J22" s="28"/>
      <c r="K22" s="28"/>
      <c r="L22" s="28"/>
    </row>
    <row r="23" spans="1:12" customFormat="1">
      <c r="C23" s="28"/>
      <c r="D23" s="28"/>
      <c r="E23" s="28"/>
      <c r="F23" s="28"/>
      <c r="G23" s="28"/>
      <c r="H23" s="28"/>
      <c r="I23" s="28"/>
      <c r="J23" s="28"/>
      <c r="K23" s="28"/>
      <c r="L23" s="28"/>
    </row>
    <row r="24" spans="1:12" customFormat="1">
      <c r="C24" s="28"/>
      <c r="D24" s="28"/>
      <c r="E24" s="28"/>
      <c r="F24" s="28"/>
      <c r="G24" s="28"/>
      <c r="H24" s="28"/>
      <c r="I24" s="28"/>
      <c r="J24" s="28"/>
      <c r="K24" s="28"/>
      <c r="L24" s="28"/>
    </row>
    <row r="25" spans="1:12" customFormat="1">
      <c r="C25" s="28"/>
      <c r="D25" s="28"/>
      <c r="E25" s="28"/>
      <c r="F25" s="28"/>
      <c r="G25" s="28"/>
      <c r="H25" s="28"/>
      <c r="I25" s="28"/>
      <c r="J25" s="28"/>
      <c r="K25" s="28"/>
      <c r="L25" s="28"/>
    </row>
    <row r="26" spans="1:12" customFormat="1">
      <c r="C26" s="28"/>
      <c r="D26" s="28"/>
      <c r="E26" s="28"/>
      <c r="F26" s="28"/>
      <c r="G26" s="28"/>
      <c r="H26" s="28"/>
      <c r="I26" s="28"/>
      <c r="J26" s="28"/>
      <c r="K26" s="28"/>
      <c r="L26" s="28"/>
    </row>
    <row r="27" spans="1:12" customFormat="1">
      <c r="C27" s="28"/>
      <c r="D27" s="28"/>
      <c r="E27" s="28"/>
      <c r="F27" s="28"/>
      <c r="G27" s="28"/>
      <c r="H27" s="28"/>
      <c r="I27" s="28"/>
      <c r="J27" s="28"/>
      <c r="K27" s="28"/>
      <c r="L27" s="28"/>
    </row>
    <row r="28" spans="1:12" customFormat="1">
      <c r="C28" s="28"/>
      <c r="D28" s="28"/>
      <c r="E28" s="28"/>
      <c r="F28" s="28"/>
      <c r="G28" s="28"/>
      <c r="H28" s="28"/>
      <c r="I28" s="28"/>
      <c r="J28" s="28"/>
      <c r="K28" s="28"/>
      <c r="L28" s="28"/>
    </row>
    <row r="29" spans="1:12" customFormat="1">
      <c r="C29" s="28"/>
      <c r="D29" s="28"/>
      <c r="E29" s="28"/>
      <c r="F29" s="28"/>
      <c r="G29" s="28"/>
      <c r="H29" s="28"/>
      <c r="I29" s="28"/>
      <c r="J29" s="28"/>
      <c r="K29" s="28"/>
      <c r="L29" s="28"/>
    </row>
    <row r="30" spans="1:12" customFormat="1">
      <c r="C30" s="28"/>
      <c r="D30" s="28"/>
      <c r="E30" s="28"/>
      <c r="F30" s="28"/>
      <c r="G30" s="28"/>
      <c r="H30" s="28"/>
      <c r="I30" s="28"/>
      <c r="J30" s="28"/>
      <c r="K30" s="28"/>
      <c r="L30" s="28"/>
    </row>
    <row r="31" spans="1:12" customFormat="1">
      <c r="C31" s="28"/>
      <c r="D31" s="28"/>
      <c r="E31" s="28"/>
      <c r="F31" s="28"/>
      <c r="G31" s="28"/>
      <c r="H31" s="28"/>
      <c r="I31" s="28"/>
      <c r="J31" s="28"/>
      <c r="K31" s="28"/>
      <c r="L31" s="28"/>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6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40" zoomScaleNormal="100" zoomScaleSheetLayoutView="40" zoomScalePageLayoutView="62" workbookViewId="0">
      <selection sqref="A1:P1"/>
    </sheetView>
  </sheetViews>
  <sheetFormatPr baseColWidth="10" defaultColWidth="11.42578125" defaultRowHeight="15"/>
  <cols>
    <col min="1" max="1" width="18.42578125" style="128" customWidth="1"/>
    <col min="2" max="2" width="20" style="128" customWidth="1"/>
    <col min="3" max="3" width="19.140625" style="128" customWidth="1"/>
    <col min="4" max="4" width="16.140625" style="128" customWidth="1"/>
    <col min="5" max="5" width="19.42578125" style="128" customWidth="1"/>
    <col min="6" max="6" width="16.85546875" style="128" customWidth="1"/>
    <col min="7" max="7" width="16.42578125" style="128" customWidth="1"/>
    <col min="8" max="8" width="14.85546875" style="128" customWidth="1"/>
    <col min="9" max="9" width="22.42578125" style="128" customWidth="1"/>
    <col min="10" max="10" width="18.7109375" style="128" customWidth="1"/>
    <col min="11" max="11" width="17.140625" style="128" customWidth="1"/>
    <col min="12" max="12" width="24.28515625" style="128" customWidth="1"/>
    <col min="13" max="13" width="16.85546875" style="128" customWidth="1"/>
    <col min="14" max="14" width="16.28515625" style="128" customWidth="1"/>
    <col min="15" max="15" width="15" style="128" customWidth="1"/>
    <col min="16" max="16" width="29" style="128" customWidth="1"/>
    <col min="17" max="17" width="18" style="128" bestFit="1" customWidth="1"/>
    <col min="18" max="18" width="17.42578125" style="128" customWidth="1"/>
    <col min="19" max="19" width="24.7109375" style="128" customWidth="1"/>
    <col min="20" max="20" width="20.42578125" style="128" customWidth="1"/>
    <col min="21" max="21" width="14.7109375" style="128" customWidth="1"/>
    <col min="22" max="22" width="13" style="128" customWidth="1"/>
    <col min="23" max="26" width="11.42578125" style="128"/>
    <col min="27" max="27" width="18.7109375" style="128" bestFit="1" customWidth="1"/>
    <col min="28" max="16384" width="11.42578125" style="128"/>
  </cols>
  <sheetData>
    <row r="1" spans="1:33" ht="105.75" customHeight="1">
      <c r="A1" s="2196" t="s">
        <v>729</v>
      </c>
      <c r="B1" s="2197"/>
      <c r="C1" s="2197"/>
      <c r="D1" s="2197"/>
      <c r="E1" s="2197"/>
      <c r="F1" s="2197"/>
      <c r="G1" s="2197"/>
      <c r="H1" s="2197"/>
      <c r="I1" s="2197"/>
      <c r="J1" s="2197"/>
      <c r="K1" s="2197"/>
      <c r="L1" s="2197"/>
      <c r="M1" s="2197"/>
      <c r="N1" s="2197"/>
      <c r="O1" s="2197"/>
      <c r="P1" s="2198"/>
    </row>
    <row r="2" spans="1:33" ht="408.75" customHeight="1">
      <c r="A2" s="2207" t="s">
        <v>936</v>
      </c>
      <c r="B2" s="2208"/>
      <c r="C2" s="2208"/>
      <c r="D2" s="2208"/>
      <c r="E2" s="2208"/>
      <c r="F2" s="2208"/>
      <c r="G2" s="2208"/>
      <c r="H2" s="2208"/>
      <c r="I2" s="2208"/>
      <c r="J2" s="2208"/>
      <c r="K2" s="2208"/>
      <c r="L2" s="2208"/>
      <c r="M2" s="2208"/>
      <c r="N2" s="2208"/>
      <c r="O2" s="2208"/>
      <c r="P2" s="2208"/>
      <c r="Q2" s="90"/>
      <c r="R2" s="90"/>
      <c r="S2" s="31"/>
      <c r="T2" s="31"/>
      <c r="U2" s="31"/>
      <c r="V2" s="31"/>
    </row>
    <row r="3" spans="1:33" ht="408.75" customHeight="1">
      <c r="A3" s="2208"/>
      <c r="B3" s="2208"/>
      <c r="C3" s="2208"/>
      <c r="D3" s="2208"/>
      <c r="E3" s="2208"/>
      <c r="F3" s="2208"/>
      <c r="G3" s="2208"/>
      <c r="H3" s="2208"/>
      <c r="I3" s="2208"/>
      <c r="J3" s="2208"/>
      <c r="K3" s="2208"/>
      <c r="L3" s="2208"/>
      <c r="M3" s="2208"/>
      <c r="N3" s="2208"/>
      <c r="O3" s="2208"/>
      <c r="P3" s="2208"/>
      <c r="Q3" s="90"/>
      <c r="R3" s="90"/>
      <c r="S3" s="31"/>
      <c r="T3" s="31"/>
      <c r="U3" s="31"/>
      <c r="V3" s="31"/>
    </row>
    <row r="4" spans="1:33" ht="409.5" customHeight="1">
      <c r="A4" s="2208"/>
      <c r="B4" s="2208"/>
      <c r="C4" s="2208"/>
      <c r="D4" s="2208"/>
      <c r="E4" s="2208"/>
      <c r="F4" s="2208"/>
      <c r="G4" s="2208"/>
      <c r="H4" s="2208"/>
      <c r="I4" s="2208"/>
      <c r="J4" s="2208"/>
      <c r="K4" s="2208"/>
      <c r="L4" s="2208"/>
      <c r="M4" s="2208"/>
      <c r="N4" s="2208"/>
      <c r="O4" s="2208"/>
      <c r="P4" s="2208"/>
      <c r="Q4" s="90"/>
      <c r="R4" s="90"/>
      <c r="S4" s="31"/>
      <c r="T4" s="31"/>
      <c r="U4" s="31"/>
      <c r="V4" s="31"/>
    </row>
    <row r="5" spans="1:33" ht="114.75" customHeight="1">
      <c r="A5" s="2208"/>
      <c r="B5" s="2208"/>
      <c r="C5" s="2208"/>
      <c r="D5" s="2208"/>
      <c r="E5" s="2208"/>
      <c r="F5" s="2208"/>
      <c r="G5" s="2208"/>
      <c r="H5" s="2208"/>
      <c r="I5" s="2208"/>
      <c r="J5" s="2208"/>
      <c r="K5" s="2208"/>
      <c r="L5" s="2208"/>
      <c r="M5" s="2208"/>
      <c r="N5" s="2208"/>
      <c r="O5" s="2208"/>
      <c r="P5" s="2208"/>
      <c r="Q5" s="90"/>
      <c r="R5" s="90"/>
      <c r="S5" s="31"/>
      <c r="T5" s="31"/>
      <c r="U5" s="31"/>
      <c r="V5" s="31"/>
    </row>
    <row r="6" spans="1:33" ht="25.5" customHeight="1">
      <c r="Q6" s="90"/>
      <c r="R6" s="90"/>
      <c r="S6" s="31"/>
      <c r="T6" s="31"/>
      <c r="U6" s="31"/>
      <c r="V6" s="31"/>
    </row>
    <row r="7" spans="1:33" ht="25.5" customHeight="1">
      <c r="Q7" s="90"/>
      <c r="R7" s="90"/>
      <c r="S7" s="31"/>
      <c r="T7" s="31"/>
      <c r="U7" s="31"/>
      <c r="V7" s="31"/>
    </row>
    <row r="8" spans="1:33" ht="25.5" customHeight="1">
      <c r="Q8" s="90"/>
      <c r="R8" s="90"/>
      <c r="S8" s="31"/>
      <c r="T8" s="31"/>
      <c r="U8" s="31"/>
      <c r="V8" s="31"/>
    </row>
    <row r="9" spans="1:33" ht="25.5" customHeight="1">
      <c r="Q9" s="90"/>
      <c r="R9" s="90"/>
      <c r="S9" s="31"/>
      <c r="T9" s="31"/>
      <c r="U9" s="31"/>
      <c r="V9" s="31"/>
    </row>
    <row r="10" spans="1:33" ht="25.5" customHeight="1">
      <c r="Q10" s="90"/>
      <c r="R10" s="90"/>
      <c r="S10" s="31"/>
      <c r="T10" s="31"/>
      <c r="U10" s="31"/>
      <c r="V10" s="31"/>
    </row>
    <row r="11" spans="1:33" ht="25.5" customHeight="1">
      <c r="Q11" s="90"/>
      <c r="R11" s="90"/>
      <c r="S11" s="31"/>
      <c r="T11" s="31"/>
      <c r="U11" s="31"/>
      <c r="V11" s="31"/>
    </row>
    <row r="12" spans="1:33" ht="23.25" customHeight="1">
      <c r="Q12" s="90"/>
      <c r="R12" s="90"/>
      <c r="S12" s="31"/>
      <c r="T12" s="31"/>
      <c r="U12" s="31"/>
      <c r="V12" s="31"/>
    </row>
    <row r="13" spans="1:33" ht="25.5" customHeight="1">
      <c r="A13" s="39"/>
      <c r="B13" s="39"/>
      <c r="C13" s="39"/>
      <c r="D13" s="39"/>
      <c r="E13" s="39"/>
      <c r="F13" s="39"/>
      <c r="G13" s="39"/>
      <c r="H13" s="39"/>
      <c r="I13" s="39"/>
      <c r="J13" s="39"/>
      <c r="K13" s="39"/>
      <c r="L13" s="39"/>
      <c r="M13" s="39"/>
      <c r="N13" s="39"/>
      <c r="O13" s="39"/>
      <c r="P13" s="39"/>
      <c r="R13" s="90"/>
      <c r="S13" s="31"/>
      <c r="T13" s="31"/>
      <c r="U13" s="31"/>
      <c r="V13" s="31"/>
    </row>
    <row r="14" spans="1:33" ht="25.5" customHeight="1">
      <c r="A14" s="39"/>
      <c r="B14" s="39"/>
      <c r="C14" s="39"/>
      <c r="D14" s="39"/>
      <c r="E14" s="39"/>
      <c r="F14" s="39"/>
      <c r="G14" s="39"/>
      <c r="H14" s="39"/>
      <c r="I14" s="39"/>
      <c r="J14" s="39"/>
      <c r="K14" s="39"/>
      <c r="L14" s="39"/>
      <c r="M14" s="39"/>
      <c r="N14" s="39"/>
      <c r="O14" s="39"/>
      <c r="P14" s="39"/>
      <c r="Q14" s="39"/>
      <c r="R14" s="39"/>
      <c r="S14" s="39"/>
      <c r="T14" s="39"/>
      <c r="U14" s="39"/>
      <c r="V14" s="39"/>
    </row>
    <row r="15" spans="1:33" ht="25.5" customHeight="1">
      <c r="A15" s="39"/>
      <c r="B15" s="39"/>
      <c r="C15" s="39"/>
      <c r="D15" s="39"/>
      <c r="E15" s="39"/>
      <c r="F15" s="39"/>
      <c r="G15" s="39"/>
      <c r="H15" s="39"/>
      <c r="I15" s="39"/>
      <c r="J15" s="39"/>
      <c r="K15" s="39"/>
      <c r="L15" s="39"/>
      <c r="M15" s="39"/>
      <c r="N15" s="39"/>
      <c r="O15" s="39"/>
      <c r="P15" s="39"/>
      <c r="Q15" s="39"/>
      <c r="R15" s="39"/>
      <c r="S15" s="39"/>
      <c r="T15" s="39"/>
      <c r="U15" s="39"/>
      <c r="V15" s="39"/>
      <c r="AG15" s="128" t="s">
        <v>36</v>
      </c>
    </row>
    <row r="16" spans="1:33" ht="25.5" customHeight="1">
      <c r="A16" s="39"/>
      <c r="B16" s="39"/>
      <c r="C16" s="39"/>
      <c r="D16" s="39"/>
      <c r="E16" s="39"/>
      <c r="F16" s="39"/>
      <c r="G16" s="39"/>
      <c r="H16" s="39"/>
      <c r="I16" s="39"/>
      <c r="J16" s="39"/>
      <c r="K16" s="39"/>
      <c r="L16" s="39"/>
      <c r="M16" s="39"/>
      <c r="N16" s="39"/>
      <c r="O16" s="39"/>
      <c r="P16" s="39"/>
      <c r="Q16" s="39"/>
      <c r="R16" s="39"/>
      <c r="S16" s="39"/>
      <c r="T16" s="39"/>
      <c r="U16" s="39"/>
      <c r="V16" s="39"/>
    </row>
    <row r="17" spans="1:23" ht="25.5" customHeight="1">
      <c r="A17" s="39"/>
      <c r="B17" s="39"/>
      <c r="C17" s="39"/>
      <c r="D17" s="39"/>
      <c r="E17" s="39"/>
      <c r="F17" s="39"/>
      <c r="G17" s="39"/>
      <c r="H17" s="39"/>
      <c r="I17" s="39"/>
      <c r="J17" s="39"/>
      <c r="K17" s="39"/>
      <c r="L17" s="39"/>
      <c r="M17" s="39"/>
      <c r="N17" s="39"/>
      <c r="O17" s="39"/>
      <c r="P17" s="39"/>
      <c r="Q17" s="39"/>
      <c r="R17" s="39"/>
      <c r="S17" s="39"/>
      <c r="T17" s="39"/>
      <c r="U17" s="39"/>
      <c r="V17" s="39"/>
    </row>
    <row r="18" spans="1:23" ht="25.5" customHeight="1">
      <c r="A18" s="39"/>
      <c r="B18" s="39"/>
      <c r="C18" s="39"/>
      <c r="D18" s="39"/>
      <c r="E18" s="39"/>
      <c r="F18" s="39"/>
      <c r="G18" s="39"/>
      <c r="H18" s="39"/>
      <c r="I18" s="39"/>
      <c r="J18" s="39"/>
      <c r="K18" s="39"/>
      <c r="L18" s="39"/>
      <c r="M18" s="39"/>
      <c r="N18" s="39"/>
      <c r="O18" s="39"/>
      <c r="P18" s="39"/>
      <c r="Q18" s="39"/>
      <c r="R18" s="39"/>
      <c r="S18" s="39"/>
      <c r="T18" s="39"/>
      <c r="U18" s="39"/>
      <c r="V18" s="39"/>
    </row>
    <row r="19" spans="1:23" ht="25.5" customHeight="1">
      <c r="A19" s="39"/>
      <c r="B19" s="39"/>
      <c r="C19" s="39"/>
      <c r="D19" s="39"/>
      <c r="E19" s="39"/>
      <c r="F19" s="39"/>
      <c r="G19" s="39"/>
      <c r="H19" s="39"/>
      <c r="I19" s="39"/>
      <c r="J19" s="39"/>
      <c r="K19" s="39"/>
      <c r="L19" s="39"/>
      <c r="M19" s="39"/>
      <c r="N19" s="39"/>
      <c r="O19" s="39"/>
      <c r="P19" s="39"/>
      <c r="Q19" s="39"/>
      <c r="R19" s="39"/>
      <c r="S19" s="39"/>
      <c r="T19" s="39"/>
      <c r="U19" s="39"/>
      <c r="V19" s="39"/>
    </row>
    <row r="20" spans="1:23" ht="25.5" customHeight="1">
      <c r="A20" s="39"/>
      <c r="B20" s="39"/>
      <c r="C20" s="39"/>
      <c r="D20" s="39"/>
      <c r="E20" s="39"/>
      <c r="F20" s="39"/>
      <c r="G20" s="39"/>
      <c r="H20" s="39"/>
      <c r="I20" s="39"/>
      <c r="J20" s="39"/>
      <c r="K20" s="39"/>
      <c r="L20" s="39"/>
      <c r="M20" s="39"/>
      <c r="N20" s="39"/>
      <c r="O20" s="39"/>
      <c r="P20" s="39"/>
      <c r="Q20" s="39"/>
      <c r="R20" s="39"/>
      <c r="S20" s="39"/>
      <c r="T20" s="39"/>
      <c r="U20" s="39"/>
      <c r="V20" s="39"/>
    </row>
    <row r="21" spans="1:23" ht="25.5" customHeight="1">
      <c r="A21" s="39"/>
      <c r="B21" s="39"/>
      <c r="C21" s="39"/>
      <c r="D21" s="39"/>
      <c r="E21" s="39"/>
      <c r="F21" s="39"/>
      <c r="G21" s="39"/>
      <c r="H21" s="39"/>
      <c r="I21" s="39"/>
      <c r="J21" s="39"/>
      <c r="K21" s="39"/>
      <c r="L21" s="39"/>
      <c r="M21" s="39"/>
      <c r="N21" s="39"/>
      <c r="O21" s="39"/>
      <c r="P21" s="39"/>
      <c r="Q21" s="39"/>
      <c r="R21" s="39"/>
      <c r="S21" s="39"/>
      <c r="T21" s="39"/>
      <c r="U21" s="39"/>
      <c r="V21" s="39"/>
    </row>
    <row r="22" spans="1:23" ht="25.5" customHeight="1">
      <c r="A22" s="39"/>
      <c r="B22" s="39"/>
      <c r="C22" s="39"/>
      <c r="D22" s="39"/>
      <c r="E22" s="39"/>
      <c r="F22" s="39"/>
      <c r="G22" s="39"/>
      <c r="H22" s="39"/>
      <c r="I22" s="39"/>
      <c r="J22" s="39"/>
      <c r="K22" s="39"/>
      <c r="L22" s="39"/>
      <c r="M22" s="39"/>
      <c r="N22" s="39"/>
      <c r="O22" s="39"/>
      <c r="P22" s="39"/>
      <c r="Q22" s="39"/>
      <c r="R22" s="39"/>
      <c r="S22" s="39"/>
      <c r="T22" s="39"/>
      <c r="U22" s="39"/>
      <c r="V22" s="39"/>
    </row>
    <row r="23" spans="1:23" ht="25.5" customHeight="1">
      <c r="A23" s="39"/>
      <c r="B23" s="39"/>
      <c r="C23" s="39"/>
      <c r="D23" s="39"/>
      <c r="E23" s="39"/>
      <c r="F23" s="39"/>
      <c r="G23" s="39"/>
      <c r="H23" s="39"/>
      <c r="I23" s="39"/>
      <c r="J23" s="39"/>
      <c r="K23" s="39"/>
      <c r="L23" s="39"/>
      <c r="M23" s="39"/>
      <c r="N23" s="39"/>
      <c r="O23" s="39"/>
      <c r="P23" s="39"/>
      <c r="Q23" s="39"/>
      <c r="R23" s="39"/>
      <c r="S23" s="39"/>
      <c r="T23" s="39"/>
      <c r="U23" s="39"/>
      <c r="V23" s="39"/>
    </row>
    <row r="24" spans="1:23" ht="25.5" customHeight="1">
      <c r="A24" s="39"/>
      <c r="B24" s="39"/>
      <c r="C24" s="39"/>
      <c r="D24" s="39"/>
      <c r="E24" s="39"/>
      <c r="F24" s="39"/>
      <c r="G24" s="39"/>
      <c r="H24" s="39"/>
      <c r="I24" s="39"/>
      <c r="J24" s="39"/>
      <c r="K24" s="39"/>
      <c r="L24" s="39"/>
      <c r="M24" s="39"/>
      <c r="N24" s="39"/>
      <c r="O24" s="39"/>
      <c r="P24" s="39"/>
      <c r="Q24" s="39"/>
      <c r="R24" s="39"/>
      <c r="S24" s="39"/>
      <c r="T24" s="39"/>
      <c r="U24" s="39"/>
      <c r="V24" s="39"/>
    </row>
    <row r="25" spans="1:23" ht="25.5" customHeight="1">
      <c r="A25" s="39"/>
      <c r="B25" s="39"/>
      <c r="C25" s="39"/>
      <c r="D25" s="39"/>
      <c r="E25" s="39"/>
      <c r="F25" s="39"/>
      <c r="G25" s="39"/>
      <c r="H25" s="39"/>
      <c r="I25" s="39"/>
      <c r="J25" s="39"/>
      <c r="K25" s="39"/>
      <c r="L25" s="39"/>
      <c r="M25" s="39"/>
      <c r="N25" s="39"/>
      <c r="O25" s="39"/>
      <c r="P25" s="39"/>
      <c r="Q25" s="39"/>
      <c r="R25" s="39"/>
      <c r="S25" s="39"/>
      <c r="T25" s="39"/>
      <c r="U25" s="39"/>
      <c r="V25" s="39"/>
    </row>
    <row r="26" spans="1:23" ht="25.5" customHeight="1">
      <c r="A26" s="39"/>
      <c r="B26" s="39"/>
      <c r="C26" s="39"/>
      <c r="D26" s="39"/>
      <c r="E26" s="39"/>
      <c r="F26" s="39"/>
      <c r="G26" s="39"/>
      <c r="H26" s="39"/>
      <c r="I26" s="39"/>
      <c r="J26" s="39"/>
      <c r="K26" s="39"/>
      <c r="L26" s="39"/>
      <c r="M26" s="39"/>
      <c r="N26" s="39"/>
      <c r="O26" s="39"/>
      <c r="P26" s="39"/>
      <c r="Q26" s="39"/>
      <c r="R26" s="39"/>
      <c r="S26" s="39"/>
      <c r="T26" s="39"/>
      <c r="U26" s="39"/>
      <c r="V26" s="39"/>
    </row>
    <row r="27" spans="1:23" ht="25.5" customHeight="1">
      <c r="A27" s="39"/>
      <c r="B27" s="39"/>
      <c r="C27" s="39"/>
      <c r="D27" s="39"/>
      <c r="E27" s="39"/>
      <c r="F27" s="39"/>
      <c r="G27" s="39"/>
      <c r="H27" s="39"/>
      <c r="I27" s="39"/>
      <c r="J27" s="39"/>
      <c r="K27" s="39"/>
      <c r="L27" s="39"/>
      <c r="M27" s="39"/>
      <c r="N27" s="39"/>
      <c r="O27" s="39"/>
      <c r="P27" s="39"/>
      <c r="Q27" s="39"/>
      <c r="R27" s="39"/>
      <c r="S27" s="39"/>
      <c r="T27" s="39"/>
      <c r="U27" s="39"/>
      <c r="V27" s="39"/>
      <c r="W27" s="128" t="s">
        <v>36</v>
      </c>
    </row>
    <row r="28" spans="1:23" ht="25.5" customHeight="1">
      <c r="A28" s="39"/>
      <c r="B28" s="39"/>
      <c r="C28" s="39"/>
      <c r="D28" s="39"/>
      <c r="E28" s="39"/>
      <c r="F28" s="39"/>
      <c r="G28" s="39"/>
      <c r="H28" s="39"/>
      <c r="I28" s="39"/>
      <c r="J28" s="39"/>
      <c r="K28" s="39"/>
      <c r="L28" s="39"/>
      <c r="M28" s="39"/>
      <c r="N28" s="39"/>
      <c r="O28" s="39"/>
      <c r="P28" s="39"/>
      <c r="Q28" s="39"/>
      <c r="R28" s="39"/>
      <c r="S28" s="39"/>
      <c r="T28" s="39"/>
      <c r="U28" s="39"/>
      <c r="V28" s="39"/>
    </row>
    <row r="29" spans="1:23" ht="25.5" customHeight="1">
      <c r="A29" s="39"/>
      <c r="B29" s="39"/>
      <c r="C29" s="39"/>
      <c r="D29" s="39"/>
      <c r="E29" s="39"/>
      <c r="F29" s="39"/>
      <c r="G29" s="39"/>
      <c r="H29" s="39"/>
      <c r="I29" s="39"/>
      <c r="J29" s="39"/>
      <c r="K29" s="39"/>
      <c r="L29" s="39"/>
      <c r="M29" s="39"/>
      <c r="N29" s="39"/>
      <c r="O29" s="39"/>
      <c r="P29" s="39"/>
      <c r="Q29" s="39"/>
      <c r="R29" s="39"/>
      <c r="S29" s="39"/>
      <c r="T29" s="39"/>
      <c r="U29" s="39"/>
      <c r="V29" s="39"/>
    </row>
    <row r="30" spans="1:23" ht="25.5" customHeight="1">
      <c r="A30" s="39"/>
      <c r="B30" s="39"/>
      <c r="C30" s="39"/>
      <c r="D30" s="39"/>
      <c r="E30" s="39"/>
      <c r="F30" s="39"/>
      <c r="G30" s="39"/>
      <c r="H30" s="39"/>
      <c r="I30" s="39"/>
      <c r="J30" s="39"/>
      <c r="K30" s="39"/>
      <c r="L30" s="39"/>
      <c r="M30" s="39"/>
      <c r="N30" s="39"/>
      <c r="O30" s="39"/>
      <c r="P30" s="39"/>
      <c r="Q30" s="39"/>
      <c r="R30" s="39"/>
      <c r="S30" s="39"/>
      <c r="T30" s="39"/>
      <c r="U30" s="39"/>
      <c r="V30" s="39"/>
    </row>
    <row r="31" spans="1:23" ht="25.5" customHeight="1">
      <c r="A31" s="39"/>
      <c r="B31" s="39"/>
      <c r="C31" s="39"/>
      <c r="D31" s="39"/>
      <c r="E31" s="39"/>
      <c r="F31" s="39"/>
      <c r="G31" s="39"/>
      <c r="H31" s="39"/>
      <c r="I31" s="39"/>
      <c r="J31" s="39"/>
      <c r="K31" s="39"/>
      <c r="L31" s="39"/>
      <c r="M31" s="39"/>
      <c r="N31" s="39"/>
      <c r="O31" s="39"/>
      <c r="P31" s="39"/>
      <c r="Q31" s="39"/>
      <c r="R31" s="39"/>
      <c r="S31" s="39"/>
      <c r="T31" s="39"/>
      <c r="U31" s="39"/>
      <c r="V31" s="39"/>
    </row>
    <row r="32" spans="1:23" ht="25.5" customHeight="1">
      <c r="A32" s="39"/>
      <c r="B32" s="39"/>
      <c r="C32" s="39"/>
      <c r="D32" s="39"/>
      <c r="E32" s="39"/>
      <c r="F32" s="39"/>
      <c r="G32" s="39"/>
      <c r="H32" s="39"/>
      <c r="I32" s="39"/>
      <c r="J32" s="39"/>
      <c r="K32" s="39"/>
      <c r="L32" s="39"/>
      <c r="M32" s="39"/>
      <c r="N32" s="39"/>
      <c r="O32" s="39"/>
      <c r="P32" s="39"/>
      <c r="Q32" s="39"/>
      <c r="R32" s="39"/>
      <c r="S32" s="39"/>
      <c r="T32" s="39"/>
      <c r="U32" s="39"/>
      <c r="V32" s="39"/>
    </row>
    <row r="33" spans="1:30" ht="25.5" customHeight="1">
      <c r="A33" s="39"/>
      <c r="B33" s="39"/>
      <c r="C33" s="39"/>
      <c r="D33" s="39"/>
      <c r="E33" s="39"/>
      <c r="F33" s="39"/>
      <c r="G33" s="39"/>
      <c r="H33" s="39"/>
      <c r="I33" s="39"/>
      <c r="J33" s="39"/>
      <c r="K33" s="39"/>
      <c r="L33" s="39"/>
      <c r="M33" s="39"/>
      <c r="N33" s="39"/>
      <c r="O33" s="39"/>
      <c r="P33" s="39"/>
      <c r="Q33" s="39"/>
      <c r="R33" s="39"/>
      <c r="S33" s="39"/>
      <c r="T33" s="39"/>
      <c r="U33" s="39"/>
      <c r="V33" s="39"/>
    </row>
    <row r="34" spans="1:30" ht="25.5" customHeight="1">
      <c r="A34" s="39"/>
      <c r="B34" s="39"/>
      <c r="C34" s="39"/>
      <c r="D34" s="39"/>
      <c r="E34" s="39"/>
      <c r="F34" s="39"/>
      <c r="G34" s="39"/>
      <c r="H34" s="39"/>
      <c r="I34" s="39"/>
      <c r="J34" s="39"/>
      <c r="K34" s="39"/>
      <c r="L34" s="39"/>
      <c r="M34" s="39"/>
      <c r="N34" s="39"/>
      <c r="O34" s="39"/>
      <c r="P34" s="39"/>
      <c r="Q34" s="39"/>
      <c r="R34" s="39"/>
      <c r="S34" s="39"/>
      <c r="T34" s="39"/>
      <c r="U34" s="39"/>
      <c r="V34" s="39"/>
    </row>
    <row r="35" spans="1:30">
      <c r="S35" s="149"/>
      <c r="T35" s="149"/>
      <c r="U35" s="149"/>
      <c r="V35" s="149"/>
      <c r="W35" s="151"/>
      <c r="X35" s="151"/>
      <c r="Y35" s="151"/>
      <c r="Z35" s="151"/>
      <c r="AA35" s="151"/>
      <c r="AB35" s="151"/>
    </row>
    <row r="36" spans="1:30">
      <c r="S36" s="149"/>
      <c r="T36" s="149"/>
      <c r="U36" s="149"/>
      <c r="V36" s="149"/>
      <c r="W36" s="151"/>
      <c r="X36" s="151"/>
      <c r="Y36" s="151"/>
      <c r="Z36" s="151"/>
      <c r="AA36" s="151"/>
      <c r="AB36" s="151"/>
    </row>
    <row r="37" spans="1:30">
      <c r="S37" s="149"/>
      <c r="T37" s="149"/>
      <c r="U37" s="149"/>
      <c r="V37" s="149"/>
      <c r="W37" s="151"/>
      <c r="X37" s="151"/>
      <c r="Y37" s="151"/>
      <c r="Z37" s="151"/>
      <c r="AA37" s="151"/>
      <c r="AB37" s="151"/>
    </row>
    <row r="38" spans="1:30">
      <c r="S38" s="149"/>
      <c r="T38" s="149"/>
      <c r="U38" s="149"/>
      <c r="V38" s="149"/>
      <c r="W38" s="151"/>
      <c r="X38" s="151"/>
      <c r="Y38" s="151"/>
      <c r="Z38" s="151"/>
      <c r="AA38" s="151"/>
      <c r="AB38" s="151"/>
    </row>
    <row r="39" spans="1:30" ht="51" customHeight="1">
      <c r="S39" s="149"/>
      <c r="T39" s="149"/>
      <c r="U39" s="149"/>
      <c r="V39" s="149"/>
      <c r="W39" s="151"/>
      <c r="X39" s="151"/>
      <c r="Y39" s="151"/>
      <c r="Z39" s="151"/>
      <c r="AA39" s="151"/>
      <c r="AB39" s="151"/>
    </row>
    <row r="40" spans="1:30" ht="78" customHeight="1">
      <c r="A40" s="2199"/>
      <c r="B40" s="2199"/>
      <c r="C40" s="2199"/>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151"/>
      <c r="AA40" s="151"/>
      <c r="AB40" s="151"/>
    </row>
    <row r="41" spans="1:30">
      <c r="S41" s="151"/>
      <c r="T41" s="151"/>
      <c r="U41" s="151"/>
      <c r="V41" s="151"/>
      <c r="W41" s="151"/>
    </row>
    <row r="42" spans="1:30">
      <c r="S42" s="151"/>
      <c r="T42" s="151"/>
      <c r="U42" s="151"/>
      <c r="V42" s="151"/>
      <c r="W42" s="151"/>
    </row>
    <row r="43" spans="1:30">
      <c r="S43" s="151"/>
      <c r="T43" s="151"/>
      <c r="U43" s="151"/>
      <c r="V43" s="151"/>
      <c r="W43" s="151"/>
    </row>
    <row r="44" spans="1:30">
      <c r="S44" s="151"/>
      <c r="T44" s="151"/>
      <c r="U44" s="151"/>
      <c r="V44" s="151"/>
      <c r="W44" s="151"/>
    </row>
    <row r="45" spans="1:30">
      <c r="S45" s="151"/>
      <c r="T45" s="151"/>
      <c r="U45" s="151"/>
      <c r="V45" s="151"/>
      <c r="W45" s="151"/>
    </row>
    <row r="46" spans="1:30">
      <c r="S46" s="151"/>
      <c r="T46" s="151"/>
      <c r="U46" s="151"/>
      <c r="V46" s="151"/>
      <c r="W46" s="151"/>
      <c r="X46" s="151"/>
      <c r="Y46" s="151"/>
      <c r="Z46" s="151"/>
      <c r="AA46" s="151"/>
      <c r="AB46" s="151"/>
      <c r="AC46" s="151"/>
      <c r="AD46" s="151"/>
    </row>
    <row r="47" spans="1:30">
      <c r="S47" s="151"/>
      <c r="T47" s="151"/>
      <c r="U47" s="151"/>
      <c r="V47" s="151"/>
      <c r="W47" s="151"/>
      <c r="X47" s="151"/>
      <c r="Y47" s="151"/>
      <c r="Z47" s="151"/>
      <c r="AA47" s="151"/>
      <c r="AB47" s="151"/>
      <c r="AC47" s="151"/>
      <c r="AD47" s="151"/>
    </row>
    <row r="48" spans="1:30">
      <c r="S48" s="151"/>
      <c r="T48" s="151"/>
      <c r="U48" s="151"/>
      <c r="V48" s="151"/>
      <c r="W48" s="151"/>
      <c r="X48" s="151"/>
      <c r="Y48" s="151"/>
      <c r="Z48" s="151"/>
      <c r="AA48" s="151"/>
      <c r="AB48" s="151"/>
      <c r="AC48" s="151"/>
      <c r="AD48" s="151"/>
    </row>
    <row r="49" spans="2:30">
      <c r="S49" s="151"/>
      <c r="T49" s="151"/>
      <c r="U49" s="151"/>
      <c r="V49" s="151"/>
      <c r="W49" s="151"/>
      <c r="X49" s="151"/>
      <c r="Y49" s="151"/>
      <c r="Z49" s="151"/>
      <c r="AA49" s="151"/>
      <c r="AB49" s="151"/>
      <c r="AC49" s="151"/>
      <c r="AD49" s="151"/>
    </row>
    <row r="50" spans="2:30">
      <c r="S50" s="151"/>
      <c r="T50" s="151"/>
      <c r="U50" s="151"/>
      <c r="V50" s="151"/>
      <c r="W50" s="151"/>
      <c r="X50" s="151"/>
      <c r="Y50" s="151"/>
      <c r="Z50" s="151"/>
      <c r="AA50" s="151"/>
      <c r="AB50" s="151"/>
      <c r="AC50" s="151"/>
      <c r="AD50" s="151"/>
    </row>
    <row r="51" spans="2:30">
      <c r="S51" s="151"/>
      <c r="T51" s="151"/>
      <c r="U51" s="151"/>
      <c r="V51" s="151"/>
      <c r="W51" s="151"/>
      <c r="X51" s="151"/>
      <c r="Y51" s="151"/>
      <c r="Z51" s="151"/>
      <c r="AA51" s="151"/>
      <c r="AB51" s="151"/>
      <c r="AC51" s="151"/>
      <c r="AD51" s="151"/>
    </row>
    <row r="52" spans="2:30">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row>
    <row r="71" spans="24:24">
      <c r="X71" s="151"/>
    </row>
    <row r="72" spans="24:24">
      <c r="X72" s="151"/>
    </row>
    <row r="73" spans="24:24">
      <c r="X73" s="151"/>
    </row>
    <row r="74" spans="24:24">
      <c r="X74" s="151"/>
    </row>
    <row r="75" spans="24:24">
      <c r="X75" s="151"/>
    </row>
    <row r="76" spans="24:24">
      <c r="X76" s="151"/>
    </row>
    <row r="77" spans="24:24">
      <c r="X77" s="151"/>
    </row>
    <row r="78" spans="24:24">
      <c r="X78" s="151"/>
    </row>
    <row r="88" spans="24:24">
      <c r="X88" s="151"/>
    </row>
    <row r="89" spans="24:24">
      <c r="X89" s="151"/>
    </row>
    <row r="90" spans="24:24">
      <c r="X90" s="151"/>
    </row>
    <row r="91" spans="24:24">
      <c r="X91" s="15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9" tint="-0.499984740745262"/>
    <pageSetUpPr fitToPage="1"/>
  </sheetPr>
  <dimension ref="A1:L76"/>
  <sheetViews>
    <sheetView showGridLines="0" view="pageBreakPreview" zoomScale="70" zoomScaleNormal="100" zoomScaleSheetLayoutView="70" workbookViewId="0">
      <selection activeCell="F33" sqref="F33"/>
    </sheetView>
  </sheetViews>
  <sheetFormatPr baseColWidth="10" defaultColWidth="11.42578125" defaultRowHeight="15"/>
  <cols>
    <col min="1" max="1" width="11.42578125" style="84"/>
    <col min="2" max="2" width="21.28515625" style="84" bestFit="1" customWidth="1"/>
    <col min="3" max="3" width="22.7109375" style="84" customWidth="1"/>
    <col min="4" max="4" width="21.28515625" style="84" bestFit="1" customWidth="1"/>
    <col min="5" max="5" width="22.42578125" style="84" customWidth="1"/>
    <col min="6" max="6" width="17.85546875" style="84" bestFit="1" customWidth="1"/>
    <col min="7" max="11" width="11.42578125" style="84"/>
    <col min="12" max="12" width="22.42578125" style="84" customWidth="1"/>
    <col min="13" max="13" width="16" style="84" bestFit="1" customWidth="1"/>
    <col min="14" max="16384" width="11.42578125" style="84"/>
  </cols>
  <sheetData>
    <row r="1" spans="1:12" customFormat="1" ht="81.75" customHeight="1">
      <c r="A1" s="2387" t="s">
        <v>1952</v>
      </c>
      <c r="B1" s="2387"/>
      <c r="C1" s="2387"/>
      <c r="D1" s="2387"/>
      <c r="E1" s="2387"/>
      <c r="F1" s="2387"/>
      <c r="G1" s="2387"/>
      <c r="H1" s="2387"/>
      <c r="I1" s="2387"/>
      <c r="J1" s="2387"/>
      <c r="K1" s="2387"/>
      <c r="L1" s="2387"/>
    </row>
    <row r="2" spans="1:12" customFormat="1" ht="3.75" customHeight="1">
      <c r="A2" s="2391"/>
      <c r="B2" s="2391"/>
      <c r="C2" s="2391"/>
      <c r="D2" s="2391"/>
      <c r="E2" s="2391"/>
      <c r="F2" s="2391"/>
      <c r="G2" s="2391"/>
      <c r="H2" s="2391"/>
      <c r="I2" s="2391"/>
      <c r="J2" s="2391"/>
      <c r="K2" s="2391"/>
      <c r="L2" s="2391"/>
    </row>
    <row r="3" spans="1:12" customFormat="1" ht="11.25" hidden="1" customHeight="1">
      <c r="A3" s="2391"/>
      <c r="B3" s="2391"/>
      <c r="C3" s="2391"/>
      <c r="D3" s="2391"/>
      <c r="E3" s="2391"/>
      <c r="F3" s="2391"/>
      <c r="G3" s="2391"/>
      <c r="H3" s="2391"/>
      <c r="I3" s="2391"/>
      <c r="J3" s="2391"/>
      <c r="K3" s="2391"/>
      <c r="L3" s="2391"/>
    </row>
    <row r="4" spans="1:12" customFormat="1" ht="32.25" customHeight="1">
      <c r="A4" s="624" t="s">
        <v>52</v>
      </c>
      <c r="B4" s="624" t="s">
        <v>139</v>
      </c>
      <c r="C4" s="626" t="s">
        <v>203</v>
      </c>
      <c r="D4" s="626" t="s">
        <v>210</v>
      </c>
      <c r="E4" s="23"/>
      <c r="F4" s="23"/>
      <c r="G4" s="23"/>
      <c r="H4" s="23"/>
      <c r="I4" s="23"/>
      <c r="J4" s="23"/>
      <c r="K4" s="23"/>
      <c r="L4" s="23"/>
    </row>
    <row r="5" spans="1:12" s="128" customFormat="1" ht="15.75" hidden="1">
      <c r="A5" s="624" t="s">
        <v>1030</v>
      </c>
      <c r="B5" s="188">
        <v>344556321</v>
      </c>
      <c r="C5" s="188">
        <v>362176600</v>
      </c>
      <c r="D5" s="823">
        <f t="shared" ref="D5:D14" si="0">B5-C5</f>
        <v>-17620279</v>
      </c>
      <c r="E5" s="28"/>
      <c r="F5" s="28"/>
      <c r="G5" s="28"/>
      <c r="H5" s="28"/>
      <c r="I5" s="28"/>
      <c r="J5" s="28"/>
      <c r="K5" s="28"/>
      <c r="L5" s="28"/>
    </row>
    <row r="6" spans="1:12" s="128" customFormat="1" ht="15.75" hidden="1">
      <c r="A6" s="624" t="s">
        <v>946</v>
      </c>
      <c r="B6" s="188">
        <v>344556321</v>
      </c>
      <c r="C6" s="188">
        <v>362015388.89999998</v>
      </c>
      <c r="D6" s="823">
        <f t="shared" si="0"/>
        <v>-17459067.899999976</v>
      </c>
      <c r="E6" s="28"/>
      <c r="F6" s="28"/>
      <c r="G6" s="28"/>
      <c r="H6" s="28"/>
      <c r="I6" s="28"/>
      <c r="J6" s="28"/>
      <c r="K6" s="28"/>
      <c r="L6" s="28"/>
    </row>
    <row r="7" spans="1:12" s="128" customFormat="1" ht="15.75" hidden="1">
      <c r="A7" s="624" t="s">
        <v>1031</v>
      </c>
      <c r="B7" s="165">
        <v>383333333.32999998</v>
      </c>
      <c r="C7" s="165">
        <v>363301452.18000001</v>
      </c>
      <c r="D7" s="1081">
        <f t="shared" si="0"/>
        <v>20031881.149999976</v>
      </c>
      <c r="E7" s="28"/>
      <c r="F7" s="28"/>
      <c r="G7" s="28"/>
      <c r="H7" s="28"/>
      <c r="I7" s="28"/>
      <c r="J7" s="28"/>
      <c r="K7" s="28"/>
      <c r="L7" s="28"/>
    </row>
    <row r="8" spans="1:12" s="128" customFormat="1" ht="15.75" hidden="1">
      <c r="A8" s="624" t="s">
        <v>1032</v>
      </c>
      <c r="B8" s="165">
        <v>383333333.32999998</v>
      </c>
      <c r="C8" s="165">
        <v>362720257.48000002</v>
      </c>
      <c r="D8" s="1081">
        <f t="shared" si="0"/>
        <v>20613075.849999964</v>
      </c>
      <c r="E8" s="28"/>
      <c r="F8" s="28"/>
      <c r="G8" s="28"/>
      <c r="H8" s="28"/>
      <c r="I8" s="28"/>
      <c r="J8" s="28"/>
      <c r="K8" s="28"/>
      <c r="L8" s="28"/>
    </row>
    <row r="9" spans="1:12" s="128" customFormat="1" ht="15.75" hidden="1">
      <c r="A9" s="624" t="s">
        <v>943</v>
      </c>
      <c r="B9" s="165">
        <v>383333333.32999998</v>
      </c>
      <c r="C9" s="165">
        <v>370966512.63999999</v>
      </c>
      <c r="D9" s="1081">
        <f t="shared" si="0"/>
        <v>12366820.689999998</v>
      </c>
      <c r="E9" s="28"/>
      <c r="F9" s="28"/>
      <c r="G9" s="28"/>
      <c r="H9" s="28"/>
      <c r="I9" s="28"/>
      <c r="J9" s="28"/>
      <c r="K9" s="28"/>
      <c r="L9" s="28"/>
    </row>
    <row r="10" spans="1:12" s="128" customFormat="1" ht="15.75" hidden="1">
      <c r="A10" s="624" t="s">
        <v>957</v>
      </c>
      <c r="B10" s="165">
        <v>383333333.32999998</v>
      </c>
      <c r="C10" s="165">
        <v>389241776.5</v>
      </c>
      <c r="D10" s="1081">
        <f t="shared" si="0"/>
        <v>-5908443.1700000167</v>
      </c>
      <c r="E10" s="28"/>
      <c r="F10" s="28"/>
      <c r="G10" s="28"/>
      <c r="H10" s="28"/>
      <c r="I10" s="28"/>
      <c r="J10" s="28"/>
      <c r="K10" s="28"/>
      <c r="L10" s="28"/>
    </row>
    <row r="11" spans="1:12" s="128" customFormat="1" ht="15.75" hidden="1">
      <c r="A11" s="624" t="s">
        <v>1033</v>
      </c>
      <c r="B11" s="165">
        <v>383333333.32999998</v>
      </c>
      <c r="C11" s="165">
        <v>397633254.77999997</v>
      </c>
      <c r="D11" s="1081">
        <f t="shared" si="0"/>
        <v>-14299921.449999988</v>
      </c>
      <c r="E11" s="28"/>
      <c r="F11" s="28"/>
      <c r="G11" s="28"/>
      <c r="H11" s="28"/>
      <c r="I11" s="28"/>
      <c r="J11" s="28"/>
      <c r="K11" s="28"/>
      <c r="L11" s="28"/>
    </row>
    <row r="12" spans="1:12" s="128" customFormat="1" ht="15.75" hidden="1">
      <c r="A12" s="624" t="s">
        <v>1034</v>
      </c>
      <c r="B12" s="165">
        <v>0</v>
      </c>
      <c r="C12" s="165">
        <v>411063839.19999999</v>
      </c>
      <c r="D12" s="1081">
        <f t="shared" si="0"/>
        <v>-411063839.19999999</v>
      </c>
      <c r="E12" s="28"/>
      <c r="F12" s="28"/>
      <c r="G12" s="28"/>
      <c r="H12" s="28"/>
      <c r="I12" s="28"/>
      <c r="J12" s="28"/>
      <c r="K12" s="28"/>
      <c r="L12" s="28"/>
    </row>
    <row r="13" spans="1:12" s="128" customFormat="1" ht="15.75" hidden="1">
      <c r="A13" s="624" t="s">
        <v>1035</v>
      </c>
      <c r="B13" s="165">
        <v>383333333.32999998</v>
      </c>
      <c r="C13" s="165">
        <v>409011070.39999998</v>
      </c>
      <c r="D13" s="1081">
        <f t="shared" si="0"/>
        <v>-25677737.069999993</v>
      </c>
      <c r="E13" s="28"/>
      <c r="F13" s="28"/>
      <c r="G13" s="28"/>
      <c r="H13" s="28"/>
      <c r="I13" s="28"/>
      <c r="J13" s="28"/>
      <c r="K13" s="28"/>
      <c r="L13" s="28"/>
    </row>
    <row r="14" spans="1:12" s="128" customFormat="1" ht="15.75" hidden="1">
      <c r="A14" s="624" t="s">
        <v>1022</v>
      </c>
      <c r="B14" s="165">
        <v>766666666.65999997</v>
      </c>
      <c r="C14" s="165">
        <v>413059123.22000003</v>
      </c>
      <c r="D14" s="1081">
        <f t="shared" si="0"/>
        <v>353607543.43999994</v>
      </c>
      <c r="E14" s="28"/>
      <c r="F14" s="28"/>
      <c r="G14" s="28"/>
      <c r="H14" s="28"/>
      <c r="I14" s="28"/>
      <c r="J14" s="28"/>
      <c r="K14" s="28"/>
      <c r="L14" s="28"/>
    </row>
    <row r="15" spans="1:12" s="128" customFormat="1" ht="15.75" hidden="1">
      <c r="A15" s="624" t="s">
        <v>1038</v>
      </c>
      <c r="B15" s="822">
        <v>383333333.32999998</v>
      </c>
      <c r="C15" s="822">
        <v>403519007.16000003</v>
      </c>
      <c r="D15" s="1081">
        <f t="shared" ref="D15:D27" si="1">B15-C15</f>
        <v>-20185673.830000043</v>
      </c>
      <c r="E15" s="28"/>
      <c r="F15" s="28"/>
      <c r="G15" s="28"/>
      <c r="H15" s="28"/>
      <c r="I15" s="28"/>
      <c r="J15" s="28"/>
      <c r="K15" s="28"/>
      <c r="L15" s="28"/>
    </row>
    <row r="16" spans="1:12" s="128" customFormat="1" ht="15.75" hidden="1">
      <c r="A16" s="624" t="s">
        <v>1051</v>
      </c>
      <c r="B16" s="822">
        <v>383333333.32999998</v>
      </c>
      <c r="C16" s="822">
        <v>403638147.54000002</v>
      </c>
      <c r="D16" s="1081">
        <f t="shared" si="1"/>
        <v>-20304814.210000038</v>
      </c>
      <c r="E16" s="28"/>
      <c r="F16" s="28"/>
      <c r="G16" s="28"/>
      <c r="H16" s="28"/>
      <c r="I16" s="28"/>
      <c r="J16" s="28"/>
      <c r="K16" s="28"/>
      <c r="L16" s="28"/>
    </row>
    <row r="17" spans="1:12" s="128" customFormat="1" ht="15.75" hidden="1">
      <c r="A17" s="624" t="s">
        <v>1050</v>
      </c>
      <c r="B17" s="822">
        <v>383333333.32999998</v>
      </c>
      <c r="C17" s="822">
        <v>406269572.27999997</v>
      </c>
      <c r="D17" s="1081">
        <f t="shared" si="1"/>
        <v>-22936238.949999988</v>
      </c>
      <c r="E17" s="28"/>
      <c r="F17" s="28"/>
      <c r="G17" s="28"/>
      <c r="H17" s="28"/>
      <c r="I17" s="28"/>
      <c r="J17" s="28"/>
      <c r="K17" s="28"/>
      <c r="L17" s="28"/>
    </row>
    <row r="18" spans="1:12" s="128" customFormat="1" ht="15.75" hidden="1">
      <c r="A18" s="624" t="s">
        <v>1060</v>
      </c>
      <c r="B18" s="822">
        <v>383333333.32999998</v>
      </c>
      <c r="C18" s="822">
        <v>406269572.27999997</v>
      </c>
      <c r="D18" s="1081">
        <f t="shared" si="1"/>
        <v>-22936238.949999988</v>
      </c>
      <c r="E18" s="28"/>
      <c r="F18" s="28"/>
      <c r="G18" s="28"/>
      <c r="H18" s="28"/>
      <c r="I18" s="28"/>
      <c r="J18" s="28"/>
      <c r="K18" s="28"/>
      <c r="L18" s="28"/>
    </row>
    <row r="19" spans="1:12" s="128" customFormat="1" ht="15.75" hidden="1">
      <c r="A19" s="624" t="s">
        <v>1123</v>
      </c>
      <c r="B19" s="822">
        <v>435000000</v>
      </c>
      <c r="C19" s="822">
        <v>413289787.69999999</v>
      </c>
      <c r="D19" s="1081">
        <f t="shared" si="1"/>
        <v>21710212.300000012</v>
      </c>
      <c r="E19" s="28"/>
      <c r="F19" s="28"/>
      <c r="G19" s="28"/>
      <c r="H19" s="28"/>
      <c r="I19" s="28"/>
      <c r="J19" s="28"/>
      <c r="K19" s="28"/>
      <c r="L19" s="28"/>
    </row>
    <row r="20" spans="1:12" s="128" customFormat="1" ht="15.75" hidden="1">
      <c r="A20" s="624" t="s">
        <v>1232</v>
      </c>
      <c r="B20" s="822">
        <v>435000000</v>
      </c>
      <c r="C20" s="822">
        <v>415567236.75999999</v>
      </c>
      <c r="D20" s="1081">
        <f t="shared" si="1"/>
        <v>19432763.24000001</v>
      </c>
      <c r="E20" s="28"/>
      <c r="F20" s="28"/>
      <c r="G20" s="28"/>
      <c r="H20" s="28"/>
      <c r="I20" s="28"/>
      <c r="J20" s="28"/>
      <c r="K20" s="28"/>
      <c r="L20" s="28"/>
    </row>
    <row r="21" spans="1:12" s="128" customFormat="1" ht="15.75" hidden="1">
      <c r="A21" s="624" t="s">
        <v>1309</v>
      </c>
      <c r="B21" s="822">
        <v>435000000</v>
      </c>
      <c r="C21" s="822">
        <v>417547832.24000001</v>
      </c>
      <c r="D21" s="1081">
        <f t="shared" si="1"/>
        <v>17452167.75999999</v>
      </c>
      <c r="E21" s="28"/>
      <c r="F21" s="28"/>
      <c r="G21" s="28"/>
      <c r="H21" s="28"/>
      <c r="I21" s="28"/>
      <c r="J21" s="28"/>
      <c r="K21" s="28"/>
      <c r="L21" s="28"/>
    </row>
    <row r="22" spans="1:12" s="128" customFormat="1" ht="15.75" hidden="1">
      <c r="A22" s="624" t="s">
        <v>1317</v>
      </c>
      <c r="B22" s="822">
        <v>435000000</v>
      </c>
      <c r="C22" s="822">
        <v>419288877.57999998</v>
      </c>
      <c r="D22" s="1081">
        <f t="shared" si="1"/>
        <v>15711122.420000017</v>
      </c>
      <c r="E22" s="28"/>
      <c r="F22" s="28"/>
      <c r="G22" s="28"/>
      <c r="H22" s="28"/>
      <c r="I22" s="28"/>
      <c r="J22" s="28"/>
      <c r="K22" s="28"/>
      <c r="L22" s="28"/>
    </row>
    <row r="23" spans="1:12" s="128" customFormat="1" ht="15.75" hidden="1">
      <c r="A23" s="624" t="s">
        <v>1331</v>
      </c>
      <c r="B23" s="822">
        <v>435000000</v>
      </c>
      <c r="C23" s="822">
        <v>426134130.12</v>
      </c>
      <c r="D23" s="1081">
        <f t="shared" si="1"/>
        <v>8865869.8799999952</v>
      </c>
      <c r="E23" s="28"/>
      <c r="F23" s="28"/>
      <c r="G23" s="28"/>
      <c r="H23" s="28"/>
      <c r="I23" s="28"/>
      <c r="J23" s="28"/>
      <c r="K23" s="28"/>
      <c r="L23" s="28"/>
    </row>
    <row r="24" spans="1:12" s="128" customFormat="1" ht="15.75" hidden="1">
      <c r="A24" s="624" t="s">
        <v>1403</v>
      </c>
      <c r="B24" s="822">
        <v>435000000</v>
      </c>
      <c r="C24" s="822">
        <v>428261066.98000002</v>
      </c>
      <c r="D24" s="1081">
        <f t="shared" si="1"/>
        <v>6738933.0199999809</v>
      </c>
      <c r="E24" s="28"/>
      <c r="F24" s="28"/>
      <c r="G24" s="28"/>
      <c r="H24" s="28"/>
      <c r="I24" s="28"/>
      <c r="J24" s="28"/>
      <c r="K24" s="28"/>
      <c r="L24" s="28"/>
    </row>
    <row r="25" spans="1:12" s="128" customFormat="1" ht="15.75" hidden="1">
      <c r="A25" s="624" t="s">
        <v>1425</v>
      </c>
      <c r="B25" s="822">
        <v>435000000</v>
      </c>
      <c r="C25" s="822">
        <v>430380931.57999998</v>
      </c>
      <c r="D25" s="1081">
        <f t="shared" si="1"/>
        <v>4619068.4200000167</v>
      </c>
      <c r="E25" s="28"/>
      <c r="F25" s="28"/>
      <c r="G25" s="28"/>
      <c r="H25" s="28"/>
      <c r="I25" s="28"/>
      <c r="J25" s="28"/>
      <c r="K25" s="28"/>
      <c r="L25" s="28"/>
    </row>
    <row r="26" spans="1:12" s="128" customFormat="1" ht="15.75" hidden="1">
      <c r="A26" s="624" t="s">
        <v>1436</v>
      </c>
      <c r="B26" s="822">
        <v>435000000</v>
      </c>
      <c r="C26" s="822">
        <v>434846429.07999998</v>
      </c>
      <c r="D26" s="1081">
        <f t="shared" si="1"/>
        <v>153570.92000001669</v>
      </c>
      <c r="E26" s="28"/>
      <c r="F26" s="28"/>
      <c r="G26" s="28"/>
      <c r="H26" s="28"/>
      <c r="I26" s="28"/>
      <c r="J26" s="28"/>
      <c r="K26" s="28"/>
      <c r="L26" s="28"/>
    </row>
    <row r="27" spans="1:12" s="128" customFormat="1" ht="15.75" hidden="1">
      <c r="A27" s="624" t="s">
        <v>1442</v>
      </c>
      <c r="B27" s="822">
        <v>435000000</v>
      </c>
      <c r="C27" s="822">
        <v>439095406.62</v>
      </c>
      <c r="D27" s="1081">
        <f t="shared" si="1"/>
        <v>-4095406.6200000048</v>
      </c>
      <c r="E27" s="28"/>
      <c r="F27" s="28"/>
      <c r="G27" s="28"/>
      <c r="H27" s="28"/>
      <c r="I27" s="28"/>
      <c r="J27" s="28"/>
      <c r="K27" s="28"/>
      <c r="L27" s="28"/>
    </row>
    <row r="28" spans="1:12" s="128" customFormat="1" ht="15.75" hidden="1">
      <c r="A28" s="624" t="s">
        <v>1625</v>
      </c>
      <c r="B28" s="822">
        <v>435000000</v>
      </c>
      <c r="C28" s="822">
        <v>449300496.45999998</v>
      </c>
      <c r="D28" s="1081">
        <f>B28-C28</f>
        <v>-14300496.459999979</v>
      </c>
      <c r="E28" s="28"/>
      <c r="F28" s="28"/>
      <c r="G28" s="28"/>
      <c r="H28" s="28"/>
      <c r="I28" s="28"/>
      <c r="J28" s="28"/>
      <c r="K28" s="28"/>
      <c r="L28" s="28"/>
    </row>
    <row r="29" spans="1:12" s="128" customFormat="1" ht="15.75" hidden="1">
      <c r="A29" s="624" t="s">
        <v>1628</v>
      </c>
      <c r="B29" s="822">
        <v>475909632.32999998</v>
      </c>
      <c r="C29" s="822">
        <v>450915329.16000003</v>
      </c>
      <c r="D29" s="1081">
        <f>B29-C29</f>
        <v>24994303.169999957</v>
      </c>
      <c r="E29" s="28"/>
      <c r="F29" s="28"/>
      <c r="G29" s="28"/>
      <c r="H29" s="28"/>
      <c r="I29" s="28"/>
      <c r="J29" s="28"/>
      <c r="K29" s="28"/>
      <c r="L29" s="28"/>
    </row>
    <row r="30" spans="1:12" s="128" customFormat="1" ht="15.75">
      <c r="A30" s="624" t="s">
        <v>1644</v>
      </c>
      <c r="B30" s="822">
        <v>476700367.67000002</v>
      </c>
      <c r="C30" s="822">
        <v>490576260.66000003</v>
      </c>
      <c r="D30" s="1081">
        <f>B30-C30</f>
        <v>-13875892.99000001</v>
      </c>
      <c r="E30" s="28"/>
      <c r="F30" s="28"/>
      <c r="G30" s="28"/>
      <c r="H30" s="28"/>
      <c r="I30" s="28"/>
      <c r="J30" s="28"/>
      <c r="K30" s="28"/>
      <c r="L30" s="28"/>
    </row>
    <row r="31" spans="1:12" s="128" customFormat="1" ht="15.75">
      <c r="A31" s="624" t="s">
        <v>1657</v>
      </c>
      <c r="B31" s="822">
        <v>0</v>
      </c>
      <c r="C31" s="822">
        <v>510009901.01999998</v>
      </c>
      <c r="D31" s="1081">
        <f>B31-C31</f>
        <v>-510009901.01999998</v>
      </c>
      <c r="E31" s="28"/>
      <c r="F31" s="28"/>
      <c r="G31" s="28"/>
      <c r="H31" s="28"/>
      <c r="I31" s="28"/>
      <c r="J31" s="28"/>
      <c r="K31" s="28"/>
      <c r="L31" s="28"/>
    </row>
    <row r="32" spans="1:12" s="128" customFormat="1" ht="15.75">
      <c r="A32" s="624" t="s">
        <v>1733</v>
      </c>
      <c r="B32" s="822">
        <v>570000000</v>
      </c>
      <c r="C32" s="822">
        <v>562936324.55999994</v>
      </c>
      <c r="D32" s="1081">
        <f t="shared" ref="D32:D39" si="2">B32-C32</f>
        <v>7063675.4400000572</v>
      </c>
      <c r="E32" s="28"/>
      <c r="F32" s="28"/>
      <c r="G32" s="28"/>
      <c r="H32" s="28"/>
      <c r="I32" s="28"/>
      <c r="J32" s="28"/>
      <c r="K32" s="28"/>
      <c r="L32" s="28"/>
    </row>
    <row r="33" spans="1:12" s="128" customFormat="1" ht="15.75">
      <c r="A33" s="624" t="s">
        <v>1750</v>
      </c>
      <c r="B33" s="822">
        <v>570000000</v>
      </c>
      <c r="C33" s="822">
        <v>565001428.94000006</v>
      </c>
      <c r="D33" s="1081">
        <f t="shared" si="2"/>
        <v>4998571.0599999428</v>
      </c>
      <c r="E33" s="28"/>
      <c r="F33" s="28"/>
      <c r="G33" s="28"/>
      <c r="H33" s="28"/>
      <c r="I33" s="28"/>
      <c r="J33" s="28"/>
      <c r="K33" s="28"/>
      <c r="L33" s="28"/>
    </row>
    <row r="34" spans="1:12" s="128" customFormat="1" ht="15.75">
      <c r="A34" s="624" t="s">
        <v>1756</v>
      </c>
      <c r="B34" s="822">
        <v>570000000</v>
      </c>
      <c r="C34" s="822">
        <v>563798547.22000003</v>
      </c>
      <c r="D34" s="1081">
        <f t="shared" si="2"/>
        <v>6201452.7799999714</v>
      </c>
      <c r="E34" s="28"/>
      <c r="F34" s="28"/>
      <c r="G34" s="28"/>
      <c r="H34" s="28"/>
      <c r="I34" s="28"/>
      <c r="J34" s="28"/>
      <c r="K34" s="28"/>
      <c r="L34" s="28"/>
    </row>
    <row r="35" spans="1:12" s="128" customFormat="1" ht="15.75">
      <c r="A35" s="624" t="s">
        <v>1852</v>
      </c>
      <c r="B35" s="822">
        <v>570000000</v>
      </c>
      <c r="C35" s="822">
        <v>564869806</v>
      </c>
      <c r="D35" s="1081">
        <f t="shared" si="2"/>
        <v>5130194</v>
      </c>
      <c r="E35" s="28"/>
      <c r="F35" s="28"/>
      <c r="G35" s="28"/>
      <c r="H35" s="28"/>
      <c r="I35" s="28"/>
      <c r="J35" s="28"/>
      <c r="K35" s="28"/>
      <c r="L35" s="28"/>
    </row>
    <row r="36" spans="1:12" s="128" customFormat="1" ht="15.75">
      <c r="A36" s="624" t="s">
        <v>1868</v>
      </c>
      <c r="B36" s="822">
        <v>570000000</v>
      </c>
      <c r="C36" s="822">
        <v>566362011.77999997</v>
      </c>
      <c r="D36" s="1081">
        <f t="shared" si="2"/>
        <v>3637988.2200000286</v>
      </c>
      <c r="E36" s="28"/>
      <c r="F36" s="28"/>
      <c r="G36" s="28"/>
      <c r="H36" s="28"/>
      <c r="I36" s="28"/>
      <c r="J36" s="28"/>
      <c r="K36" s="28"/>
      <c r="L36" s="28"/>
    </row>
    <row r="37" spans="1:12" s="128" customFormat="1" ht="15.75">
      <c r="A37" s="624" t="s">
        <v>1872</v>
      </c>
      <c r="B37" s="822">
        <v>570000000</v>
      </c>
      <c r="C37" s="822">
        <v>565674533.46000004</v>
      </c>
      <c r="D37" s="1081">
        <f t="shared" si="2"/>
        <v>4325466.5399999619</v>
      </c>
      <c r="E37" s="28"/>
      <c r="F37" s="28"/>
      <c r="G37" s="28"/>
      <c r="H37" s="28"/>
      <c r="I37" s="28"/>
      <c r="J37" s="28"/>
      <c r="K37" s="28"/>
      <c r="L37" s="28"/>
    </row>
    <row r="38" spans="1:12" s="128" customFormat="1" ht="15.75">
      <c r="A38" s="624" t="s">
        <v>1874</v>
      </c>
      <c r="B38" s="822">
        <v>570000000</v>
      </c>
      <c r="C38" s="822">
        <v>564899580.29999995</v>
      </c>
      <c r="D38" s="1081">
        <f t="shared" si="2"/>
        <v>5100419.7000000477</v>
      </c>
      <c r="E38" s="28"/>
      <c r="F38" s="28"/>
      <c r="G38" s="28"/>
      <c r="H38" s="28"/>
      <c r="I38" s="28"/>
      <c r="J38" s="28"/>
      <c r="K38" s="28"/>
      <c r="L38" s="28"/>
    </row>
    <row r="39" spans="1:12" s="128" customFormat="1" ht="15.75">
      <c r="A39" s="624" t="s">
        <v>1887</v>
      </c>
      <c r="B39" s="822">
        <v>570000000</v>
      </c>
      <c r="C39" s="822">
        <v>564355018.62</v>
      </c>
      <c r="D39" s="1081">
        <f t="shared" si="2"/>
        <v>5644981.3799999952</v>
      </c>
      <c r="E39" s="28"/>
      <c r="F39" s="28"/>
      <c r="G39" s="28"/>
      <c r="H39" s="28"/>
      <c r="I39" s="28"/>
      <c r="J39" s="28"/>
      <c r="K39" s="28"/>
      <c r="L39" s="28"/>
    </row>
    <row r="40" spans="1:12" s="128" customFormat="1" ht="15.75">
      <c r="A40" s="624" t="s">
        <v>1901</v>
      </c>
      <c r="B40" s="822">
        <v>570000000</v>
      </c>
      <c r="C40" s="822">
        <v>565084386.29999995</v>
      </c>
      <c r="D40" s="1081">
        <f>B40-C40</f>
        <v>4915613.7000000477</v>
      </c>
      <c r="E40" s="28"/>
      <c r="F40" s="28"/>
      <c r="G40" s="28"/>
      <c r="H40" s="28"/>
      <c r="I40" s="28"/>
      <c r="J40" s="28"/>
      <c r="K40" s="28"/>
      <c r="L40" s="28"/>
    </row>
    <row r="41" spans="1:12" s="128" customFormat="1" ht="15.75">
      <c r="A41" s="624" t="s">
        <v>1906</v>
      </c>
      <c r="B41" s="822">
        <v>570000000</v>
      </c>
      <c r="C41" s="822">
        <v>584861503.05999994</v>
      </c>
      <c r="D41" s="1081">
        <f>B41-C41</f>
        <v>-14861503.059999943</v>
      </c>
      <c r="E41" s="28"/>
      <c r="F41" s="28"/>
      <c r="G41" s="28"/>
      <c r="H41" s="28"/>
      <c r="I41" s="28"/>
      <c r="J41" s="28"/>
      <c r="K41" s="28"/>
      <c r="L41" s="28"/>
    </row>
    <row r="42" spans="1:12" s="128" customFormat="1" ht="15.75">
      <c r="A42" s="624" t="s">
        <v>1927</v>
      </c>
      <c r="B42" s="822">
        <v>1139999499</v>
      </c>
      <c r="C42" s="822">
        <v>1200757477.7</v>
      </c>
      <c r="D42" s="1081">
        <f>B42-C42</f>
        <v>-60757978.700000048</v>
      </c>
      <c r="E42" s="28"/>
      <c r="F42" s="28"/>
      <c r="G42" s="28"/>
      <c r="H42" s="28"/>
      <c r="I42" s="28"/>
      <c r="J42" s="28"/>
      <c r="K42" s="28"/>
      <c r="L42" s="28"/>
    </row>
    <row r="43" spans="1:12" customFormat="1" ht="15.75">
      <c r="A43" s="624" t="s">
        <v>23</v>
      </c>
      <c r="B43" s="1309">
        <f>SUM(B30:B42)</f>
        <v>7316699866.6700001</v>
      </c>
      <c r="C43" s="1309">
        <f>SUM(C30:C42)</f>
        <v>7869186779.6199999</v>
      </c>
      <c r="D43" s="1309">
        <f>SUM(D30:D42)</f>
        <v>-552486912.94999993</v>
      </c>
      <c r="E43" s="28"/>
      <c r="F43" s="28"/>
      <c r="G43" s="28"/>
      <c r="H43" s="28"/>
      <c r="I43" s="28"/>
      <c r="J43" s="28"/>
      <c r="K43" s="28"/>
      <c r="L43" s="28"/>
    </row>
    <row r="44" spans="1:12" customFormat="1">
      <c r="B44" s="28"/>
      <c r="C44" s="28"/>
      <c r="D44" s="28"/>
      <c r="E44" s="28"/>
      <c r="F44" s="28"/>
      <c r="G44" s="28"/>
      <c r="H44" s="28"/>
      <c r="I44" s="28"/>
      <c r="J44" s="28"/>
      <c r="K44" s="28"/>
      <c r="L44" s="28"/>
    </row>
    <row r="45" spans="1:12" customFormat="1">
      <c r="B45" s="28"/>
      <c r="C45" s="28"/>
      <c r="D45" s="28"/>
      <c r="E45" s="28"/>
      <c r="F45" s="28"/>
      <c r="G45" s="28"/>
      <c r="H45" s="28"/>
      <c r="I45" s="28"/>
      <c r="J45" s="28"/>
      <c r="K45" s="28"/>
      <c r="L45" s="28"/>
    </row>
    <row r="46" spans="1:12" customFormat="1">
      <c r="B46" s="28"/>
      <c r="C46" s="28"/>
      <c r="D46" s="28"/>
      <c r="E46" s="28"/>
      <c r="F46" s="28"/>
      <c r="G46" s="28"/>
      <c r="H46" s="28"/>
      <c r="I46" s="28"/>
      <c r="J46" s="28"/>
      <c r="K46" s="28"/>
      <c r="L46" s="28"/>
    </row>
    <row r="47" spans="1:12" customFormat="1">
      <c r="B47" s="28"/>
      <c r="C47" s="28"/>
      <c r="D47" s="28"/>
      <c r="E47" s="28"/>
      <c r="F47" s="28"/>
      <c r="G47" s="28"/>
      <c r="H47" s="28"/>
      <c r="I47" s="28"/>
      <c r="J47" s="28"/>
      <c r="K47" s="28"/>
      <c r="L47" s="28"/>
    </row>
    <row r="48" spans="1:12" customFormat="1">
      <c r="B48" s="28"/>
      <c r="C48" s="28"/>
      <c r="D48" s="28"/>
      <c r="E48" s="28"/>
      <c r="F48" s="28"/>
      <c r="G48" s="28"/>
      <c r="H48" s="28"/>
      <c r="I48" s="28"/>
      <c r="J48" s="28"/>
      <c r="K48" s="28"/>
      <c r="L48" s="28"/>
    </row>
    <row r="49" spans="2:12" customFormat="1">
      <c r="B49" s="28"/>
      <c r="C49" s="28"/>
      <c r="D49" s="28"/>
      <c r="E49" s="28"/>
      <c r="F49" s="28"/>
      <c r="G49" s="28"/>
      <c r="H49" s="28"/>
      <c r="I49" s="28"/>
      <c r="J49" s="28"/>
      <c r="K49" s="28"/>
      <c r="L49" s="28"/>
    </row>
    <row r="50" spans="2:12" customFormat="1">
      <c r="B50" s="28"/>
      <c r="C50" s="28"/>
      <c r="D50" s="28"/>
      <c r="E50" s="28"/>
      <c r="F50" s="28"/>
      <c r="G50" s="28"/>
      <c r="H50" s="28"/>
      <c r="I50" s="28"/>
      <c r="J50" s="28"/>
      <c r="K50" s="28"/>
      <c r="L50" s="28"/>
    </row>
    <row r="51" spans="2:12" customFormat="1">
      <c r="B51" s="28"/>
      <c r="C51" s="28"/>
      <c r="D51" s="28"/>
      <c r="E51" s="28"/>
      <c r="F51" s="28"/>
      <c r="G51" s="28"/>
      <c r="H51" s="28"/>
      <c r="I51" s="28"/>
      <c r="J51" s="28"/>
      <c r="K51" s="28"/>
      <c r="L51" s="28"/>
    </row>
    <row r="52" spans="2:12" customFormat="1">
      <c r="B52" s="28"/>
      <c r="C52" s="28"/>
      <c r="D52" s="28"/>
      <c r="E52" s="28"/>
      <c r="F52" s="28"/>
      <c r="G52" s="28"/>
      <c r="H52" s="28"/>
      <c r="I52" s="28"/>
      <c r="J52" s="28"/>
      <c r="K52" s="28"/>
      <c r="L52" s="28"/>
    </row>
    <row r="53" spans="2:12" customFormat="1">
      <c r="B53" s="28"/>
      <c r="C53" s="28"/>
      <c r="D53" s="28"/>
      <c r="E53" s="28"/>
      <c r="F53" s="28"/>
      <c r="G53" s="28"/>
      <c r="H53" s="28"/>
      <c r="I53" s="28"/>
      <c r="J53" s="28"/>
      <c r="K53" s="28"/>
      <c r="L53" s="28"/>
    </row>
    <row r="54" spans="2:12" customFormat="1">
      <c r="B54" s="28"/>
      <c r="C54" s="28"/>
      <c r="D54" s="28"/>
      <c r="E54" s="28"/>
      <c r="F54" s="28"/>
      <c r="G54" s="28"/>
      <c r="H54" s="28"/>
      <c r="I54" s="28"/>
      <c r="J54" s="28"/>
      <c r="K54" s="28"/>
      <c r="L54" s="28"/>
    </row>
    <row r="55" spans="2:12" customFormat="1">
      <c r="B55" s="28"/>
      <c r="C55" s="28"/>
      <c r="D55" s="28"/>
      <c r="E55" s="28"/>
      <c r="F55" s="28"/>
      <c r="G55" s="28"/>
      <c r="H55" s="28"/>
      <c r="I55" s="28"/>
      <c r="J55" s="28"/>
      <c r="K55" s="28"/>
      <c r="L55" s="28"/>
    </row>
    <row r="56" spans="2:12" customFormat="1">
      <c r="B56" s="28"/>
      <c r="C56" s="28"/>
      <c r="D56" s="28"/>
      <c r="E56" s="28"/>
      <c r="F56" s="28"/>
      <c r="G56" s="28"/>
      <c r="H56" s="28"/>
      <c r="I56" s="28"/>
      <c r="J56" s="28"/>
      <c r="K56" s="28"/>
      <c r="L56" s="28"/>
    </row>
    <row r="57" spans="2:12" customFormat="1"/>
    <row r="58" spans="2:12" customFormat="1"/>
    <row r="59" spans="2:12" customFormat="1"/>
    <row r="60" spans="2:12" customFormat="1"/>
    <row r="61" spans="2:12" customFormat="1"/>
    <row r="62" spans="2:12" customFormat="1"/>
    <row r="63" spans="2:12" customFormat="1"/>
    <row r="64" spans="2:12" customFormat="1"/>
    <row r="65" customFormat="1"/>
    <row r="66" customFormat="1"/>
    <row r="67" customFormat="1"/>
    <row r="68" customFormat="1"/>
    <row r="69" customFormat="1"/>
    <row r="70" customFormat="1"/>
    <row r="71" customFormat="1"/>
    <row r="72" customFormat="1"/>
    <row r="73" customFormat="1"/>
    <row r="74" customFormat="1"/>
    <row r="75" customFormat="1"/>
    <row r="76" customFormat="1"/>
  </sheetData>
  <mergeCells count="2">
    <mergeCell ref="A1:L1"/>
    <mergeCell ref="A2:L3"/>
  </mergeCells>
  <printOptions horizontalCentered="1" verticalCentered="1"/>
  <pageMargins left="0.4" right="0.4" top="0.25" bottom="0.25" header="0.31496062992126" footer="0.31496062992126"/>
  <pageSetup scale="6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L13"/>
  <sheetViews>
    <sheetView showGridLines="0" view="pageBreakPreview" zoomScaleNormal="100" zoomScaleSheetLayoutView="100" workbookViewId="0">
      <selection activeCell="F11" sqref="F10:F11"/>
    </sheetView>
  </sheetViews>
  <sheetFormatPr baseColWidth="10" defaultColWidth="11.42578125" defaultRowHeight="15"/>
  <cols>
    <col min="1" max="1" width="15.85546875" style="1401" customWidth="1"/>
    <col min="2" max="2" width="11.42578125" style="1401"/>
    <col min="3" max="3" width="12.7109375" style="1401" bestFit="1" customWidth="1"/>
    <col min="4" max="4" width="14.28515625" style="1401" customWidth="1"/>
    <col min="5" max="16384" width="11.42578125" style="1401"/>
  </cols>
  <sheetData>
    <row r="1" spans="1:12" ht="63" customHeight="1">
      <c r="A1" s="2392" t="s">
        <v>1616</v>
      </c>
      <c r="B1" s="2392"/>
      <c r="C1" s="2392"/>
      <c r="D1" s="2392"/>
      <c r="E1" s="2392"/>
      <c r="F1" s="2392"/>
      <c r="G1" s="2392"/>
      <c r="H1" s="2392"/>
      <c r="I1" s="2392"/>
      <c r="J1" s="2392"/>
      <c r="K1" s="2392"/>
      <c r="L1" s="2392"/>
    </row>
    <row r="2" spans="1:12" ht="4.5" customHeight="1"/>
    <row r="3" spans="1:12">
      <c r="A3" s="1402" t="s">
        <v>1024</v>
      </c>
      <c r="B3" s="1402" t="s">
        <v>1493</v>
      </c>
      <c r="C3" s="1402" t="s">
        <v>1449</v>
      </c>
      <c r="D3" s="1402" t="s">
        <v>1466</v>
      </c>
    </row>
    <row r="4" spans="1:12">
      <c r="A4" s="1403" t="s">
        <v>545</v>
      </c>
      <c r="B4" s="1404">
        <v>403778</v>
      </c>
      <c r="C4" s="1404">
        <v>335182</v>
      </c>
      <c r="D4" s="1405">
        <f>+C4+B4</f>
        <v>738960</v>
      </c>
    </row>
    <row r="5" spans="1:12">
      <c r="A5" s="1403" t="s">
        <v>544</v>
      </c>
      <c r="B5" s="1404">
        <v>126550</v>
      </c>
      <c r="C5" s="1404">
        <v>130085</v>
      </c>
      <c r="D5" s="1405">
        <f t="shared" ref="D5:D12" si="0">+C5+B5</f>
        <v>256635</v>
      </c>
    </row>
    <row r="6" spans="1:12">
      <c r="A6" s="1403" t="s">
        <v>543</v>
      </c>
      <c r="B6" s="1404">
        <v>179756</v>
      </c>
      <c r="C6" s="1404">
        <v>112587</v>
      </c>
      <c r="D6" s="1405">
        <f t="shared" si="0"/>
        <v>292343</v>
      </c>
    </row>
    <row r="7" spans="1:12">
      <c r="A7" s="1403" t="s">
        <v>542</v>
      </c>
      <c r="B7" s="1404">
        <v>124996</v>
      </c>
      <c r="C7" s="1404">
        <v>107974</v>
      </c>
      <c r="D7" s="1405">
        <f t="shared" si="0"/>
        <v>232970</v>
      </c>
    </row>
    <row r="8" spans="1:12">
      <c r="A8" s="1403" t="s">
        <v>541</v>
      </c>
      <c r="B8" s="1404">
        <v>75291</v>
      </c>
      <c r="C8" s="1404">
        <v>85780</v>
      </c>
      <c r="D8" s="1405">
        <f t="shared" si="0"/>
        <v>161071</v>
      </c>
    </row>
    <row r="9" spans="1:12">
      <c r="A9" s="1403" t="s">
        <v>540</v>
      </c>
      <c r="B9" s="1404">
        <v>117102</v>
      </c>
      <c r="C9" s="1404">
        <v>85448</v>
      </c>
      <c r="D9" s="1405">
        <f t="shared" si="0"/>
        <v>202550</v>
      </c>
    </row>
    <row r="10" spans="1:12">
      <c r="A10" s="1403" t="s">
        <v>539</v>
      </c>
      <c r="B10" s="1404">
        <v>92676</v>
      </c>
      <c r="C10" s="1404">
        <v>117216</v>
      </c>
      <c r="D10" s="1405">
        <f t="shared" si="0"/>
        <v>209892</v>
      </c>
    </row>
    <row r="11" spans="1:12">
      <c r="A11" s="1403" t="s">
        <v>538</v>
      </c>
      <c r="B11" s="1404">
        <v>65774</v>
      </c>
      <c r="C11" s="1404">
        <v>60826</v>
      </c>
      <c r="D11" s="1405">
        <f t="shared" si="0"/>
        <v>126600</v>
      </c>
    </row>
    <row r="12" spans="1:12">
      <c r="A12" s="1403" t="s">
        <v>537</v>
      </c>
      <c r="B12" s="1404">
        <v>135797</v>
      </c>
      <c r="C12" s="1404">
        <v>122056</v>
      </c>
      <c r="D12" s="1405">
        <f t="shared" si="0"/>
        <v>257853</v>
      </c>
    </row>
    <row r="13" spans="1:12">
      <c r="A13" s="1402" t="s">
        <v>1155</v>
      </c>
      <c r="B13" s="1406">
        <f>SUM(B4:B12)</f>
        <v>1321720</v>
      </c>
      <c r="C13" s="1406">
        <f>SUM(C4:C12)</f>
        <v>1157154</v>
      </c>
      <c r="D13" s="1406">
        <f>SUM(D4:D12)</f>
        <v>2478874</v>
      </c>
    </row>
  </sheetData>
  <mergeCells count="1">
    <mergeCell ref="A1:L1"/>
  </mergeCells>
  <pageMargins left="0.7" right="0.7" top="0.75" bottom="0.75" header="0.3" footer="0.3"/>
  <pageSetup scale="8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13"/>
  <sheetViews>
    <sheetView showGridLines="0" view="pageBreakPreview" zoomScale="85" zoomScaleNormal="100" zoomScaleSheetLayoutView="85" workbookViewId="0">
      <selection activeCell="I5" sqref="I5"/>
    </sheetView>
  </sheetViews>
  <sheetFormatPr baseColWidth="10" defaultColWidth="11.42578125" defaultRowHeight="15"/>
  <cols>
    <col min="1" max="1" width="15.85546875" style="1297" customWidth="1"/>
    <col min="2" max="2" width="11.42578125" style="1297"/>
    <col min="3" max="3" width="13.140625" style="1297" customWidth="1"/>
    <col min="4" max="4" width="13.42578125" style="1297" customWidth="1"/>
    <col min="5" max="5" width="11.140625" style="1297" customWidth="1"/>
    <col min="6" max="6" width="12.28515625" style="1297" customWidth="1"/>
    <col min="7" max="10" width="11.42578125" style="1297"/>
    <col min="11" max="11" width="11.28515625" style="1297" customWidth="1"/>
    <col min="12" max="12" width="10.5703125" style="1297" customWidth="1"/>
    <col min="13" max="16384" width="11.42578125" style="1297"/>
  </cols>
  <sheetData>
    <row r="1" spans="1:12" ht="76.5" customHeight="1">
      <c r="A1" s="2393" t="s">
        <v>1617</v>
      </c>
      <c r="B1" s="2393"/>
      <c r="C1" s="2393"/>
      <c r="D1" s="2393"/>
      <c r="E1" s="2393"/>
      <c r="F1" s="2393"/>
      <c r="G1" s="2393"/>
      <c r="H1" s="2393"/>
      <c r="I1" s="2393"/>
      <c r="J1" s="2393"/>
      <c r="K1" s="2393"/>
      <c r="L1" s="2393"/>
    </row>
    <row r="2" spans="1:12" ht="4.5" customHeight="1"/>
    <row r="3" spans="1:12" ht="30">
      <c r="A3" s="1369" t="s">
        <v>1024</v>
      </c>
      <c r="B3" s="1369" t="s">
        <v>1494</v>
      </c>
      <c r="C3" s="1369" t="s">
        <v>1495</v>
      </c>
      <c r="D3" s="1370" t="s">
        <v>1450</v>
      </c>
      <c r="E3" s="1369" t="s">
        <v>23</v>
      </c>
    </row>
    <row r="4" spans="1:12">
      <c r="A4" s="1371" t="s">
        <v>545</v>
      </c>
      <c r="B4" s="1407">
        <v>403778</v>
      </c>
      <c r="C4" s="1407">
        <v>335182</v>
      </c>
      <c r="D4" s="1408">
        <f>+C4/B4</f>
        <v>0.83011456790612659</v>
      </c>
      <c r="E4" s="1409">
        <f t="shared" ref="E4:E12" si="0">+C4+B4</f>
        <v>738960</v>
      </c>
    </row>
    <row r="5" spans="1:12">
      <c r="A5" s="1371" t="s">
        <v>544</v>
      </c>
      <c r="B5" s="1407">
        <v>126550</v>
      </c>
      <c r="C5" s="1407">
        <v>130085</v>
      </c>
      <c r="D5" s="1408">
        <f t="shared" ref="D5:D12" si="1">+C5/B5</f>
        <v>1.0279336230738838</v>
      </c>
      <c r="E5" s="1409">
        <f t="shared" si="0"/>
        <v>256635</v>
      </c>
    </row>
    <row r="6" spans="1:12">
      <c r="A6" s="1371" t="s">
        <v>543</v>
      </c>
      <c r="B6" s="1407">
        <v>179756</v>
      </c>
      <c r="C6" s="1407">
        <v>112587</v>
      </c>
      <c r="D6" s="1408">
        <f t="shared" si="1"/>
        <v>0.62633236164578654</v>
      </c>
      <c r="E6" s="1409">
        <f t="shared" si="0"/>
        <v>292343</v>
      </c>
    </row>
    <row r="7" spans="1:12">
      <c r="A7" s="1371" t="s">
        <v>542</v>
      </c>
      <c r="B7" s="1407">
        <v>124996</v>
      </c>
      <c r="C7" s="1407">
        <v>107974</v>
      </c>
      <c r="D7" s="1408">
        <f t="shared" si="1"/>
        <v>0.86381964222855134</v>
      </c>
      <c r="E7" s="1409">
        <f t="shared" si="0"/>
        <v>232970</v>
      </c>
    </row>
    <row r="8" spans="1:12">
      <c r="A8" s="1371" t="s">
        <v>541</v>
      </c>
      <c r="B8" s="1407">
        <v>75291</v>
      </c>
      <c r="C8" s="1407">
        <v>85780</v>
      </c>
      <c r="D8" s="1408">
        <f t="shared" si="1"/>
        <v>1.1393127996706114</v>
      </c>
      <c r="E8" s="1409">
        <f t="shared" si="0"/>
        <v>161071</v>
      </c>
    </row>
    <row r="9" spans="1:12">
      <c r="A9" s="1371" t="s">
        <v>540</v>
      </c>
      <c r="B9" s="1407">
        <v>117102</v>
      </c>
      <c r="C9" s="1407">
        <v>85448</v>
      </c>
      <c r="D9" s="1408">
        <f t="shared" si="1"/>
        <v>0.72968864750388551</v>
      </c>
      <c r="E9" s="1409">
        <f t="shared" si="0"/>
        <v>202550</v>
      </c>
    </row>
    <row r="10" spans="1:12">
      <c r="A10" s="1371" t="s">
        <v>539</v>
      </c>
      <c r="B10" s="1407">
        <v>92676</v>
      </c>
      <c r="C10" s="1407">
        <v>117216</v>
      </c>
      <c r="D10" s="1408">
        <f t="shared" si="1"/>
        <v>1.264793474038586</v>
      </c>
      <c r="E10" s="1409">
        <f t="shared" si="0"/>
        <v>209892</v>
      </c>
    </row>
    <row r="11" spans="1:12">
      <c r="A11" s="1371" t="s">
        <v>538</v>
      </c>
      <c r="B11" s="1407">
        <v>65774</v>
      </c>
      <c r="C11" s="1407">
        <v>60826</v>
      </c>
      <c r="D11" s="1408">
        <f t="shared" si="1"/>
        <v>0.9247727065405783</v>
      </c>
      <c r="E11" s="1409">
        <f t="shared" si="0"/>
        <v>126600</v>
      </c>
    </row>
    <row r="12" spans="1:12">
      <c r="A12" s="1371" t="s">
        <v>537</v>
      </c>
      <c r="B12" s="1407">
        <v>135797</v>
      </c>
      <c r="C12" s="1407">
        <v>122056</v>
      </c>
      <c r="D12" s="1408">
        <f t="shared" si="1"/>
        <v>0.89881219761850406</v>
      </c>
      <c r="E12" s="1409">
        <f t="shared" si="0"/>
        <v>257853</v>
      </c>
    </row>
    <row r="13" spans="1:12">
      <c r="A13" s="1374" t="s">
        <v>1155</v>
      </c>
      <c r="B13" s="1410">
        <f>SUM(B4:B12)</f>
        <v>1321720</v>
      </c>
      <c r="C13" s="1410">
        <f>SUM(C4:C12)</f>
        <v>1157154</v>
      </c>
      <c r="D13" s="1411">
        <f>AVERAGE(D4:D12)</f>
        <v>0.9228422244696125</v>
      </c>
      <c r="E13" s="1410">
        <f>SUM(E4:E12)</f>
        <v>2478874</v>
      </c>
    </row>
  </sheetData>
  <mergeCells count="1">
    <mergeCell ref="A1:L1"/>
  </mergeCells>
  <pageMargins left="0.7" right="0.7" top="0.75" bottom="0.75" header="0.3" footer="0.3"/>
  <pageSetup scale="8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N15"/>
  <sheetViews>
    <sheetView showGridLines="0" view="pageBreakPreview" zoomScale="85" zoomScaleNormal="100" zoomScaleSheetLayoutView="85" workbookViewId="0">
      <selection activeCell="N30" sqref="N30"/>
    </sheetView>
  </sheetViews>
  <sheetFormatPr baseColWidth="10" defaultColWidth="11.42578125" defaultRowHeight="15"/>
  <cols>
    <col min="1" max="1" width="15.85546875" style="1297" customWidth="1"/>
    <col min="2" max="2" width="12.140625" style="1297" customWidth="1"/>
    <col min="3" max="3" width="11.140625" style="1297" customWidth="1"/>
    <col min="4" max="4" width="12.42578125" style="1297" customWidth="1"/>
    <col min="5" max="5" width="12.5703125" style="1297" customWidth="1"/>
    <col min="6" max="16384" width="11.42578125" style="1297"/>
  </cols>
  <sheetData>
    <row r="1" spans="1:14" ht="70.5" customHeight="1">
      <c r="A1" s="2393" t="s">
        <v>1618</v>
      </c>
      <c r="B1" s="2393"/>
      <c r="C1" s="2393"/>
      <c r="D1" s="2393"/>
      <c r="E1" s="2393"/>
      <c r="F1" s="2393"/>
      <c r="G1" s="2393"/>
      <c r="H1" s="2393"/>
      <c r="I1" s="2393"/>
      <c r="J1" s="2393"/>
      <c r="K1" s="2393"/>
      <c r="L1" s="2393"/>
    </row>
    <row r="2" spans="1:14" ht="3" customHeight="1"/>
    <row r="3" spans="1:14">
      <c r="A3" s="2394" t="s">
        <v>1024</v>
      </c>
      <c r="B3" s="2396" t="s">
        <v>1496</v>
      </c>
      <c r="C3" s="2397"/>
      <c r="D3" s="2396" t="s">
        <v>1495</v>
      </c>
      <c r="E3" s="2397"/>
      <c r="F3" s="2396" t="s">
        <v>1466</v>
      </c>
      <c r="G3" s="2397"/>
    </row>
    <row r="4" spans="1:14" ht="30">
      <c r="A4" s="2395"/>
      <c r="B4" s="1370" t="s">
        <v>1497</v>
      </c>
      <c r="C4" s="1370" t="s">
        <v>1498</v>
      </c>
      <c r="D4" s="1370" t="s">
        <v>1499</v>
      </c>
      <c r="E4" s="1370" t="s">
        <v>1500</v>
      </c>
      <c r="F4" s="1370" t="s">
        <v>1501</v>
      </c>
      <c r="G4" s="1370" t="s">
        <v>1502</v>
      </c>
      <c r="H4" s="1370" t="s">
        <v>23</v>
      </c>
    </row>
    <row r="5" spans="1:14" ht="15.75">
      <c r="A5" s="1392" t="s">
        <v>545</v>
      </c>
      <c r="B5" s="1412">
        <v>265396</v>
      </c>
      <c r="C5" s="1412">
        <v>138382</v>
      </c>
      <c r="D5" s="1412">
        <v>160445</v>
      </c>
      <c r="E5" s="1412">
        <v>174737</v>
      </c>
      <c r="F5" s="1412">
        <f>+D5+B5</f>
        <v>425841</v>
      </c>
      <c r="G5" s="1412">
        <f>+E5+C5</f>
        <v>313119</v>
      </c>
      <c r="H5" s="1412">
        <f>+G5+F5</f>
        <v>738960</v>
      </c>
    </row>
    <row r="6" spans="1:14" ht="15.75">
      <c r="A6" s="1392" t="s">
        <v>544</v>
      </c>
      <c r="B6" s="1412">
        <v>84838</v>
      </c>
      <c r="C6" s="1412">
        <v>41712</v>
      </c>
      <c r="D6" s="1412">
        <v>60849</v>
      </c>
      <c r="E6" s="1412">
        <v>69236</v>
      </c>
      <c r="F6" s="1412">
        <f t="shared" ref="F6:G13" si="0">+D6+B6</f>
        <v>145687</v>
      </c>
      <c r="G6" s="1412">
        <f t="shared" si="0"/>
        <v>110948</v>
      </c>
      <c r="H6" s="1412">
        <f t="shared" ref="H6:H13" si="1">+G6+F6</f>
        <v>256635</v>
      </c>
    </row>
    <row r="7" spans="1:14" ht="15.75">
      <c r="A7" s="1392" t="s">
        <v>543</v>
      </c>
      <c r="B7" s="1412">
        <v>110905</v>
      </c>
      <c r="C7" s="1412">
        <v>68851</v>
      </c>
      <c r="D7" s="1412">
        <v>53647</v>
      </c>
      <c r="E7" s="1412">
        <v>58940</v>
      </c>
      <c r="F7" s="1412">
        <f t="shared" si="0"/>
        <v>164552</v>
      </c>
      <c r="G7" s="1412">
        <f t="shared" si="0"/>
        <v>127791</v>
      </c>
      <c r="H7" s="1412">
        <f t="shared" si="1"/>
        <v>292343</v>
      </c>
    </row>
    <row r="8" spans="1:14" ht="15.75">
      <c r="A8" s="1392" t="s">
        <v>542</v>
      </c>
      <c r="B8" s="1412">
        <v>70616</v>
      </c>
      <c r="C8" s="1412">
        <v>54380</v>
      </c>
      <c r="D8" s="1412">
        <v>50484</v>
      </c>
      <c r="E8" s="1412">
        <v>57490</v>
      </c>
      <c r="F8" s="1412">
        <f t="shared" si="0"/>
        <v>121100</v>
      </c>
      <c r="G8" s="1412">
        <f t="shared" si="0"/>
        <v>111870</v>
      </c>
      <c r="H8" s="1412">
        <f t="shared" si="1"/>
        <v>232970</v>
      </c>
    </row>
    <row r="9" spans="1:14" ht="15.75">
      <c r="A9" s="1392" t="s">
        <v>541</v>
      </c>
      <c r="B9" s="1412">
        <v>40076</v>
      </c>
      <c r="C9" s="1412">
        <v>35215</v>
      </c>
      <c r="D9" s="1412">
        <v>43756</v>
      </c>
      <c r="E9" s="1412">
        <v>42024</v>
      </c>
      <c r="F9" s="1412">
        <f t="shared" si="0"/>
        <v>83832</v>
      </c>
      <c r="G9" s="1412">
        <f t="shared" si="0"/>
        <v>77239</v>
      </c>
      <c r="H9" s="1412">
        <f t="shared" si="1"/>
        <v>161071</v>
      </c>
      <c r="K9" s="1413"/>
    </row>
    <row r="10" spans="1:14" ht="15.75">
      <c r="A10" s="1392" t="s">
        <v>540</v>
      </c>
      <c r="B10" s="1412">
        <v>76380</v>
      </c>
      <c r="C10" s="1412">
        <v>40722</v>
      </c>
      <c r="D10" s="1412">
        <v>41855</v>
      </c>
      <c r="E10" s="1412">
        <v>43593</v>
      </c>
      <c r="F10" s="1412">
        <f t="shared" si="0"/>
        <v>118235</v>
      </c>
      <c r="G10" s="1412">
        <f t="shared" si="0"/>
        <v>84315</v>
      </c>
      <c r="H10" s="1412">
        <f t="shared" si="1"/>
        <v>202550</v>
      </c>
    </row>
    <row r="11" spans="1:14" ht="15.75">
      <c r="A11" s="1392" t="s">
        <v>539</v>
      </c>
      <c r="B11" s="1412">
        <v>51787</v>
      </c>
      <c r="C11" s="1412">
        <v>40889</v>
      </c>
      <c r="D11" s="1412">
        <v>57013</v>
      </c>
      <c r="E11" s="1412">
        <v>60203</v>
      </c>
      <c r="F11" s="1412">
        <f t="shared" si="0"/>
        <v>108800</v>
      </c>
      <c r="G11" s="1412">
        <f t="shared" si="0"/>
        <v>101092</v>
      </c>
      <c r="H11" s="1412">
        <f t="shared" si="1"/>
        <v>209892</v>
      </c>
      <c r="I11" s="1416"/>
      <c r="K11" s="1414"/>
    </row>
    <row r="12" spans="1:14" ht="15.75">
      <c r="A12" s="1392" t="s">
        <v>538</v>
      </c>
      <c r="B12" s="1412">
        <v>38200</v>
      </c>
      <c r="C12" s="1412">
        <v>27574</v>
      </c>
      <c r="D12" s="1412">
        <v>28547</v>
      </c>
      <c r="E12" s="1412">
        <v>32279</v>
      </c>
      <c r="F12" s="1412">
        <f t="shared" si="0"/>
        <v>66747</v>
      </c>
      <c r="G12" s="1412">
        <f t="shared" si="0"/>
        <v>59853</v>
      </c>
      <c r="H12" s="1412">
        <f t="shared" si="1"/>
        <v>126600</v>
      </c>
    </row>
    <row r="13" spans="1:14" ht="15.75">
      <c r="A13" s="1392" t="s">
        <v>537</v>
      </c>
      <c r="B13" s="1412">
        <v>80521</v>
      </c>
      <c r="C13" s="1412">
        <v>55276</v>
      </c>
      <c r="D13" s="1412">
        <v>55920</v>
      </c>
      <c r="E13" s="1412">
        <v>66136</v>
      </c>
      <c r="F13" s="1412">
        <f t="shared" si="0"/>
        <v>136441</v>
      </c>
      <c r="G13" s="1412">
        <f t="shared" si="0"/>
        <v>121412</v>
      </c>
      <c r="H13" s="1412">
        <f t="shared" si="1"/>
        <v>257853</v>
      </c>
    </row>
    <row r="14" spans="1:14">
      <c r="A14" s="1374" t="s">
        <v>1155</v>
      </c>
      <c r="B14" s="1415">
        <f t="shared" ref="B14:G14" si="2">SUM(B5:B13)</f>
        <v>818719</v>
      </c>
      <c r="C14" s="1415">
        <f t="shared" si="2"/>
        <v>503001</v>
      </c>
      <c r="D14" s="1415">
        <f t="shared" si="2"/>
        <v>552516</v>
      </c>
      <c r="E14" s="1415">
        <f t="shared" si="2"/>
        <v>604638</v>
      </c>
      <c r="F14" s="1415">
        <f t="shared" si="2"/>
        <v>1371235</v>
      </c>
      <c r="G14" s="1415">
        <f t="shared" si="2"/>
        <v>1107639</v>
      </c>
      <c r="H14" s="1415">
        <f>SUM(H5:H13)</f>
        <v>2478874</v>
      </c>
    </row>
    <row r="15" spans="1:14">
      <c r="N15" s="1297">
        <f>15*0.1</f>
        <v>1.5</v>
      </c>
    </row>
  </sheetData>
  <mergeCells count="5">
    <mergeCell ref="A1:L1"/>
    <mergeCell ref="A3:A4"/>
    <mergeCell ref="B3:C3"/>
    <mergeCell ref="D3:E3"/>
    <mergeCell ref="F3:G3"/>
  </mergeCells>
  <pageMargins left="0.7" right="0.7" top="0.75" bottom="0.75" header="0.3" footer="0.3"/>
  <pageSetup scale="76"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J36"/>
  <sheetViews>
    <sheetView showGridLines="0" view="pageBreakPreview" zoomScale="85" zoomScaleNormal="85" zoomScaleSheetLayoutView="85" workbookViewId="0">
      <pane xSplit="2" ySplit="3" topLeftCell="C4" activePane="bottomRight" state="frozen"/>
      <selection pane="topRight" activeCell="C1" sqref="C1"/>
      <selection pane="bottomLeft" activeCell="A4" sqref="A4"/>
      <selection pane="bottomRight" activeCell="G22" sqref="G22"/>
    </sheetView>
  </sheetViews>
  <sheetFormatPr baseColWidth="10" defaultColWidth="11.42578125" defaultRowHeight="14.25" customHeight="1"/>
  <cols>
    <col min="1" max="1" width="11.140625" style="1297" customWidth="1"/>
    <col min="2" max="2" width="21.7109375" style="1297" customWidth="1"/>
    <col min="3" max="3" width="12" style="1393" customWidth="1"/>
    <col min="4" max="4" width="9.7109375" style="1393" customWidth="1"/>
    <col min="5" max="5" width="13.42578125" style="1393" customWidth="1"/>
    <col min="6" max="6" width="10.5703125" style="1297" bestFit="1" customWidth="1"/>
    <col min="7" max="7" width="13" style="1297" customWidth="1"/>
    <col min="8" max="8" width="20.28515625" style="1297" customWidth="1"/>
    <col min="9" max="9" width="13.7109375" style="1297" customWidth="1"/>
    <col min="10" max="10" width="18" style="1297" customWidth="1"/>
    <col min="11" max="11" width="10.7109375" style="1297" customWidth="1"/>
    <col min="12" max="16384" width="11.42578125" style="1297"/>
  </cols>
  <sheetData>
    <row r="1" spans="1:10" ht="69" customHeight="1">
      <c r="A1" s="2398" t="s">
        <v>1619</v>
      </c>
      <c r="B1" s="2399"/>
      <c r="C1" s="2399"/>
      <c r="D1" s="2399"/>
      <c r="E1" s="2399"/>
      <c r="F1" s="2399"/>
      <c r="G1" s="2399"/>
      <c r="H1" s="2399"/>
      <c r="I1" s="2399"/>
      <c r="J1" s="2399"/>
    </row>
    <row r="2" spans="1:10" ht="1.5" customHeight="1"/>
    <row r="3" spans="1:10" ht="50.25" customHeight="1">
      <c r="A3" s="1417" t="s">
        <v>1024</v>
      </c>
      <c r="B3" s="1417" t="s">
        <v>576</v>
      </c>
      <c r="C3" s="1418" t="s">
        <v>1503</v>
      </c>
      <c r="D3" s="1521" t="s">
        <v>1615</v>
      </c>
      <c r="E3" s="1419" t="s">
        <v>1504</v>
      </c>
      <c r="F3" s="1418" t="s">
        <v>1505</v>
      </c>
      <c r="G3" s="1419" t="s">
        <v>1506</v>
      </c>
      <c r="H3" s="1419" t="s">
        <v>1507</v>
      </c>
      <c r="I3" s="1419" t="s">
        <v>1508</v>
      </c>
      <c r="J3" s="1419" t="s">
        <v>1509</v>
      </c>
    </row>
    <row r="4" spans="1:10" ht="14.25" customHeight="1">
      <c r="A4" s="1420" t="s">
        <v>1510</v>
      </c>
      <c r="B4" s="1420" t="s">
        <v>573</v>
      </c>
      <c r="C4" s="1421">
        <v>214311</v>
      </c>
      <c r="D4" s="1422">
        <v>0.67500000000000004</v>
      </c>
      <c r="E4" s="1422">
        <v>0.62</v>
      </c>
      <c r="F4" s="1423">
        <v>83920</v>
      </c>
      <c r="G4" s="1424">
        <f>+D4*C4</f>
        <v>144659.92500000002</v>
      </c>
      <c r="H4" s="1424">
        <f>+E4*C4</f>
        <v>132872.82</v>
      </c>
      <c r="I4" s="1425">
        <f>+F4/G4</f>
        <v>0.58011920025535746</v>
      </c>
      <c r="J4" s="1425">
        <f>+F4/H4</f>
        <v>0.63158138737478442</v>
      </c>
    </row>
    <row r="5" spans="1:10" ht="14.25" customHeight="1">
      <c r="A5" s="1420" t="s">
        <v>1511</v>
      </c>
      <c r="B5" s="1420" t="s">
        <v>572</v>
      </c>
      <c r="C5" s="1421">
        <v>97313</v>
      </c>
      <c r="D5" s="1422">
        <v>0.749</v>
      </c>
      <c r="E5" s="1422">
        <v>0.75600000000000001</v>
      </c>
      <c r="F5" s="1423">
        <v>46786</v>
      </c>
      <c r="G5" s="1424">
        <f t="shared" ref="G5:G35" si="0">+D5*C5</f>
        <v>72887.437000000005</v>
      </c>
      <c r="H5" s="1424">
        <f t="shared" ref="H5:H35" si="1">+E5*C5</f>
        <v>73568.627999999997</v>
      </c>
      <c r="I5" s="1425">
        <f t="shared" ref="I5:I35" si="2">+F5/G5</f>
        <v>0.64189388357831811</v>
      </c>
      <c r="J5" s="1425">
        <f t="shared" ref="J5:J35" si="3">+F5/H5</f>
        <v>0.63595042169333371</v>
      </c>
    </row>
    <row r="6" spans="1:10" ht="14.25" customHeight="1">
      <c r="A6" s="1420" t="s">
        <v>1511</v>
      </c>
      <c r="B6" s="1420" t="s">
        <v>571</v>
      </c>
      <c r="C6" s="1421">
        <v>187105</v>
      </c>
      <c r="D6" s="1422">
        <v>0.67500000000000004</v>
      </c>
      <c r="E6" s="1422">
        <v>0.63300000000000001</v>
      </c>
      <c r="F6" s="1423">
        <v>87744</v>
      </c>
      <c r="G6" s="1424">
        <f t="shared" si="0"/>
        <v>126295.87500000001</v>
      </c>
      <c r="H6" s="1424">
        <f t="shared" si="1"/>
        <v>118437.465</v>
      </c>
      <c r="I6" s="1425">
        <f t="shared" si="2"/>
        <v>0.69474953160584219</v>
      </c>
      <c r="J6" s="1425">
        <f t="shared" si="3"/>
        <v>0.74084665692566121</v>
      </c>
    </row>
    <row r="7" spans="1:10" ht="14.25" customHeight="1">
      <c r="A7" s="1420" t="s">
        <v>1512</v>
      </c>
      <c r="B7" s="1420" t="s">
        <v>570</v>
      </c>
      <c r="C7" s="1421">
        <v>63955</v>
      </c>
      <c r="D7" s="1422">
        <v>0.60599999999999998</v>
      </c>
      <c r="E7" s="1422">
        <v>0.56200000000000006</v>
      </c>
      <c r="F7" s="1423">
        <v>23178</v>
      </c>
      <c r="G7" s="1424">
        <f t="shared" si="0"/>
        <v>38756.729999999996</v>
      </c>
      <c r="H7" s="1424">
        <f t="shared" si="1"/>
        <v>35942.710000000006</v>
      </c>
      <c r="I7" s="1425">
        <f t="shared" si="2"/>
        <v>0.59803806977523655</v>
      </c>
      <c r="J7" s="1425">
        <f t="shared" si="3"/>
        <v>0.64485955566511255</v>
      </c>
    </row>
    <row r="8" spans="1:10" ht="14.25" customHeight="1">
      <c r="A8" s="1420" t="s">
        <v>545</v>
      </c>
      <c r="B8" s="1420" t="s">
        <v>155</v>
      </c>
      <c r="C8" s="1421">
        <v>965040</v>
      </c>
      <c r="D8" s="1422">
        <v>0.47399999999999998</v>
      </c>
      <c r="E8" s="1422">
        <v>0.19700000000000001</v>
      </c>
      <c r="F8" s="1423">
        <v>182024</v>
      </c>
      <c r="G8" s="1424">
        <f t="shared" si="0"/>
        <v>457428.95999999996</v>
      </c>
      <c r="H8" s="1424">
        <f t="shared" si="1"/>
        <v>190112.88</v>
      </c>
      <c r="I8" s="1425">
        <f t="shared" si="2"/>
        <v>0.39792845647551484</v>
      </c>
      <c r="J8" s="1425">
        <f t="shared" si="3"/>
        <v>0.95745222522535034</v>
      </c>
    </row>
    <row r="9" spans="1:10" ht="14.25" customHeight="1">
      <c r="A9" s="1420" t="s">
        <v>1513</v>
      </c>
      <c r="B9" s="1420" t="s">
        <v>569</v>
      </c>
      <c r="C9" s="1421">
        <v>289574</v>
      </c>
      <c r="D9" s="1422">
        <v>0.51400000000000001</v>
      </c>
      <c r="E9" s="1422">
        <v>0.496</v>
      </c>
      <c r="F9" s="1423">
        <v>107175</v>
      </c>
      <c r="G9" s="1424">
        <f t="shared" si="0"/>
        <v>148841.03599999999</v>
      </c>
      <c r="H9" s="1424">
        <f t="shared" si="1"/>
        <v>143628.704</v>
      </c>
      <c r="I9" s="1425">
        <f t="shared" si="2"/>
        <v>0.72006351796691337</v>
      </c>
      <c r="J9" s="1425">
        <f t="shared" si="3"/>
        <v>0.74619485531248686</v>
      </c>
    </row>
    <row r="10" spans="1:10" ht="14.25" customHeight="1">
      <c r="A10" s="1420" t="s">
        <v>1514</v>
      </c>
      <c r="B10" s="1420" t="s">
        <v>1515</v>
      </c>
      <c r="C10" s="1421">
        <v>87680</v>
      </c>
      <c r="D10" s="1422">
        <v>0.72799999999999998</v>
      </c>
      <c r="E10" s="1422">
        <v>0.70199999999999996</v>
      </c>
      <c r="F10" s="1423">
        <v>24102</v>
      </c>
      <c r="G10" s="1424">
        <f t="shared" si="0"/>
        <v>63831.040000000001</v>
      </c>
      <c r="H10" s="1424">
        <f t="shared" si="1"/>
        <v>61551.359999999993</v>
      </c>
      <c r="I10" s="1425">
        <f t="shared" si="2"/>
        <v>0.37759058915537019</v>
      </c>
      <c r="J10" s="1425">
        <f>F10/H10</f>
        <v>0.39157542579075433</v>
      </c>
    </row>
    <row r="11" spans="1:10" ht="14.25" customHeight="1">
      <c r="A11" s="1420" t="s">
        <v>1511</v>
      </c>
      <c r="B11" s="1420" t="s">
        <v>892</v>
      </c>
      <c r="C11" s="1421">
        <v>63029</v>
      </c>
      <c r="D11" s="1422">
        <v>0.83299999999999996</v>
      </c>
      <c r="E11" s="1422">
        <v>0.82399999999999995</v>
      </c>
      <c r="F11" s="1423">
        <v>21890</v>
      </c>
      <c r="G11" s="1424">
        <f t="shared" si="0"/>
        <v>52503.156999999999</v>
      </c>
      <c r="H11" s="1424">
        <f t="shared" si="1"/>
        <v>51935.896000000001</v>
      </c>
      <c r="I11" s="1425">
        <f t="shared" si="2"/>
        <v>0.41692730972348957</v>
      </c>
      <c r="J11" s="1425">
        <f t="shared" si="3"/>
        <v>0.42148112742678012</v>
      </c>
    </row>
    <row r="12" spans="1:10" ht="14.25" customHeight="1">
      <c r="A12" s="1420" t="s">
        <v>1516</v>
      </c>
      <c r="B12" s="1420" t="s">
        <v>567</v>
      </c>
      <c r="C12" s="1421">
        <v>231938</v>
      </c>
      <c r="D12" s="1422">
        <v>0.52500000000000002</v>
      </c>
      <c r="E12" s="1422">
        <v>0.433</v>
      </c>
      <c r="F12" s="1423">
        <v>64970</v>
      </c>
      <c r="G12" s="1424">
        <f t="shared" si="0"/>
        <v>121767.45000000001</v>
      </c>
      <c r="H12" s="1424">
        <f t="shared" si="1"/>
        <v>100429.15399999999</v>
      </c>
      <c r="I12" s="1425">
        <f t="shared" si="2"/>
        <v>0.53355802392182794</v>
      </c>
      <c r="J12" s="1425">
        <f t="shared" si="3"/>
        <v>0.64692370105995323</v>
      </c>
    </row>
    <row r="13" spans="1:10" ht="14.25" customHeight="1">
      <c r="A13" s="1420" t="s">
        <v>1514</v>
      </c>
      <c r="B13" s="1420" t="s">
        <v>566</v>
      </c>
      <c r="C13" s="1421">
        <v>85017</v>
      </c>
      <c r="D13" s="1422">
        <v>0.64400000000000002</v>
      </c>
      <c r="E13" s="1422">
        <v>0.63500000000000001</v>
      </c>
      <c r="F13" s="1423">
        <v>31743</v>
      </c>
      <c r="G13" s="1424">
        <f t="shared" si="0"/>
        <v>54750.948000000004</v>
      </c>
      <c r="H13" s="1424">
        <f t="shared" si="1"/>
        <v>53985.794999999998</v>
      </c>
      <c r="I13" s="1425">
        <f t="shared" si="2"/>
        <v>0.57977078314698771</v>
      </c>
      <c r="J13" s="1425">
        <f t="shared" si="3"/>
        <v>0.58798800684513397</v>
      </c>
    </row>
    <row r="14" spans="1:10" ht="14.25" customHeight="1">
      <c r="A14" s="1420" t="s">
        <v>1513</v>
      </c>
      <c r="B14" s="1420" t="s">
        <v>896</v>
      </c>
      <c r="C14" s="1421">
        <v>92193</v>
      </c>
      <c r="D14" s="1422">
        <v>0.59299999999999997</v>
      </c>
      <c r="E14" s="1422">
        <v>0.53300000000000003</v>
      </c>
      <c r="F14" s="1423">
        <v>37533</v>
      </c>
      <c r="G14" s="1424">
        <f t="shared" si="0"/>
        <v>54670.449000000001</v>
      </c>
      <c r="H14" s="1424">
        <f t="shared" si="1"/>
        <v>49138.869000000006</v>
      </c>
      <c r="I14" s="1425">
        <f t="shared" si="2"/>
        <v>0.68653176782945391</v>
      </c>
      <c r="J14" s="1425">
        <f t="shared" si="3"/>
        <v>0.76381489366391386</v>
      </c>
    </row>
    <row r="15" spans="1:10" ht="14.25" customHeight="1">
      <c r="A15" s="1420" t="s">
        <v>1511</v>
      </c>
      <c r="B15" s="1420" t="s">
        <v>1517</v>
      </c>
      <c r="C15" s="1421">
        <v>52589</v>
      </c>
      <c r="D15" s="1422">
        <v>0.68300000000000005</v>
      </c>
      <c r="E15" s="1422">
        <v>0.70199999999999996</v>
      </c>
      <c r="F15" s="1423">
        <v>18401</v>
      </c>
      <c r="G15" s="1424">
        <f t="shared" si="0"/>
        <v>35918.287000000004</v>
      </c>
      <c r="H15" s="1424">
        <f t="shared" si="1"/>
        <v>36917.477999999996</v>
      </c>
      <c r="I15" s="1425">
        <f t="shared" si="2"/>
        <v>0.51230171416582304</v>
      </c>
      <c r="J15" s="1425">
        <f t="shared" si="3"/>
        <v>0.49843599825535218</v>
      </c>
    </row>
    <row r="16" spans="1:10" ht="14.25" customHeight="1">
      <c r="A16" s="1420" t="s">
        <v>1514</v>
      </c>
      <c r="B16" s="1420" t="s">
        <v>1518</v>
      </c>
      <c r="C16" s="1421">
        <v>273210</v>
      </c>
      <c r="D16" s="1422">
        <v>0.56000000000000005</v>
      </c>
      <c r="E16" s="1422">
        <v>0.49099999999999999</v>
      </c>
      <c r="F16" s="1423">
        <v>36039</v>
      </c>
      <c r="G16" s="1424">
        <f t="shared" si="0"/>
        <v>152997.6</v>
      </c>
      <c r="H16" s="1424">
        <f t="shared" si="1"/>
        <v>134146.10999999999</v>
      </c>
      <c r="I16" s="1425">
        <f t="shared" si="2"/>
        <v>0.23555271455238513</v>
      </c>
      <c r="J16" s="1425">
        <f t="shared" si="3"/>
        <v>0.26865482718805639</v>
      </c>
    </row>
    <row r="17" spans="1:10" ht="14.25" customHeight="1">
      <c r="A17" s="1420" t="s">
        <v>1514</v>
      </c>
      <c r="B17" s="1420" t="s">
        <v>1519</v>
      </c>
      <c r="C17" s="1421">
        <v>245433</v>
      </c>
      <c r="D17" s="1422">
        <v>0.49299999999999999</v>
      </c>
      <c r="E17" s="1422">
        <v>0.43</v>
      </c>
      <c r="F17" s="1423">
        <v>37010</v>
      </c>
      <c r="G17" s="1424">
        <f t="shared" si="0"/>
        <v>120998.469</v>
      </c>
      <c r="H17" s="1424">
        <f t="shared" si="1"/>
        <v>105536.19</v>
      </c>
      <c r="I17" s="1425">
        <f t="shared" si="2"/>
        <v>0.30587163875602424</v>
      </c>
      <c r="J17" s="1425">
        <f t="shared" si="3"/>
        <v>0.3506853904807441</v>
      </c>
    </row>
    <row r="18" spans="1:10" ht="14.25" customHeight="1">
      <c r="A18" s="1420" t="s">
        <v>1520</v>
      </c>
      <c r="B18" s="1420" t="s">
        <v>1521</v>
      </c>
      <c r="C18" s="1421">
        <v>394205</v>
      </c>
      <c r="D18" s="1422">
        <v>0.46400000000000002</v>
      </c>
      <c r="E18" s="1422">
        <v>0.432</v>
      </c>
      <c r="F18" s="1423">
        <v>143599</v>
      </c>
      <c r="G18" s="1424">
        <f t="shared" si="0"/>
        <v>182911.12</v>
      </c>
      <c r="H18" s="1424">
        <f t="shared" si="1"/>
        <v>170296.56</v>
      </c>
      <c r="I18" s="1425">
        <f t="shared" si="2"/>
        <v>0.78507528683876626</v>
      </c>
      <c r="J18" s="1425">
        <f t="shared" si="3"/>
        <v>0.84322901178978604</v>
      </c>
    </row>
    <row r="19" spans="1:10" ht="14.25" customHeight="1">
      <c r="A19" s="1420" t="s">
        <v>1513</v>
      </c>
      <c r="B19" s="1420" t="s">
        <v>562</v>
      </c>
      <c r="C19" s="1421">
        <v>140925</v>
      </c>
      <c r="D19" s="1422">
        <v>0.54400000000000004</v>
      </c>
      <c r="E19" s="1422">
        <v>0.54200000000000004</v>
      </c>
      <c r="F19" s="1423">
        <v>55112</v>
      </c>
      <c r="G19" s="1424">
        <f t="shared" si="0"/>
        <v>76663.200000000012</v>
      </c>
      <c r="H19" s="1424">
        <f t="shared" si="1"/>
        <v>76381.350000000006</v>
      </c>
      <c r="I19" s="1425">
        <f t="shared" si="2"/>
        <v>0.71888468000292172</v>
      </c>
      <c r="J19" s="1425">
        <f t="shared" si="3"/>
        <v>0.72153739099924252</v>
      </c>
    </row>
    <row r="20" spans="1:10" ht="14.25" customHeight="1">
      <c r="A20" s="1426" t="s">
        <v>1520</v>
      </c>
      <c r="B20" s="1426" t="s">
        <v>561</v>
      </c>
      <c r="C20" s="1427">
        <v>165224</v>
      </c>
      <c r="D20" s="1428">
        <v>0.30399999999999999</v>
      </c>
      <c r="E20" s="1428">
        <v>0.377</v>
      </c>
      <c r="F20" s="1429">
        <v>51041</v>
      </c>
      <c r="G20" s="1430">
        <f t="shared" si="0"/>
        <v>50228.095999999998</v>
      </c>
      <c r="H20" s="1430">
        <f t="shared" si="1"/>
        <v>62289.447999999997</v>
      </c>
      <c r="I20" s="1431">
        <f t="shared" si="2"/>
        <v>1.0161842487519337</v>
      </c>
      <c r="J20" s="1431">
        <f t="shared" si="3"/>
        <v>0.81941647644718252</v>
      </c>
    </row>
    <row r="21" spans="1:10" ht="14.25" customHeight="1">
      <c r="A21" s="1426" t="s">
        <v>545</v>
      </c>
      <c r="B21" s="1426" t="s">
        <v>560</v>
      </c>
      <c r="C21" s="1427">
        <v>185956</v>
      </c>
      <c r="D21" s="1428">
        <v>0.75900000000000001</v>
      </c>
      <c r="E21" s="1428">
        <v>0.73299999999999998</v>
      </c>
      <c r="F21" s="1429">
        <v>96463</v>
      </c>
      <c r="G21" s="1430">
        <f t="shared" si="0"/>
        <v>141140.60399999999</v>
      </c>
      <c r="H21" s="1430">
        <f t="shared" si="1"/>
        <v>136305.74799999999</v>
      </c>
      <c r="I21" s="1431">
        <f t="shared" si="2"/>
        <v>0.68345321804064274</v>
      </c>
      <c r="J21" s="1431">
        <f t="shared" si="3"/>
        <v>0.70769576056323025</v>
      </c>
    </row>
    <row r="22" spans="1:10" ht="14.25" customHeight="1">
      <c r="A22" s="1426" t="s">
        <v>1512</v>
      </c>
      <c r="B22" s="1426" t="s">
        <v>1522</v>
      </c>
      <c r="C22" s="1427">
        <v>109607</v>
      </c>
      <c r="D22" s="1428">
        <v>0.71199999999999997</v>
      </c>
      <c r="E22" s="1428">
        <v>0.57099999999999995</v>
      </c>
      <c r="F22" s="1429">
        <v>35610</v>
      </c>
      <c r="G22" s="1430">
        <f t="shared" si="0"/>
        <v>78040.183999999994</v>
      </c>
      <c r="H22" s="1430">
        <f t="shared" si="1"/>
        <v>62585.596999999994</v>
      </c>
      <c r="I22" s="1431">
        <f t="shared" si="2"/>
        <v>0.45630338339540566</v>
      </c>
      <c r="J22" s="1431">
        <f t="shared" si="3"/>
        <v>0.56898075127413106</v>
      </c>
    </row>
    <row r="23" spans="1:10" ht="14.25" customHeight="1">
      <c r="A23" s="1426" t="s">
        <v>1511</v>
      </c>
      <c r="B23" s="1426" t="s">
        <v>558</v>
      </c>
      <c r="C23" s="1427">
        <v>31587</v>
      </c>
      <c r="D23" s="1428">
        <v>0.70399999999999996</v>
      </c>
      <c r="E23" s="1428">
        <v>0.60499999999999998</v>
      </c>
      <c r="F23" s="1429">
        <v>8140</v>
      </c>
      <c r="G23" s="1430">
        <f t="shared" si="0"/>
        <v>22237.248</v>
      </c>
      <c r="H23" s="1430">
        <f t="shared" si="1"/>
        <v>19110.134999999998</v>
      </c>
      <c r="I23" s="1431">
        <f t="shared" si="2"/>
        <v>0.36605248994839651</v>
      </c>
      <c r="J23" s="1431">
        <f t="shared" si="3"/>
        <v>0.42595198830358866</v>
      </c>
    </row>
    <row r="24" spans="1:10" ht="14.25" customHeight="1">
      <c r="A24" s="1426" t="s">
        <v>1510</v>
      </c>
      <c r="B24" s="1426" t="s">
        <v>1523</v>
      </c>
      <c r="C24" s="1427">
        <v>184344</v>
      </c>
      <c r="D24" s="1428">
        <v>0.57299999999999995</v>
      </c>
      <c r="E24" s="1428">
        <v>0.45700000000000002</v>
      </c>
      <c r="F24" s="1429">
        <v>61032</v>
      </c>
      <c r="G24" s="1430">
        <f t="shared" si="0"/>
        <v>105629.11199999999</v>
      </c>
      <c r="H24" s="1430">
        <f t="shared" si="1"/>
        <v>84245.207999999999</v>
      </c>
      <c r="I24" s="1431">
        <f t="shared" si="2"/>
        <v>0.57779525780733632</v>
      </c>
      <c r="J24" s="1431">
        <f t="shared" si="3"/>
        <v>0.7244566361566821</v>
      </c>
    </row>
    <row r="25" spans="1:10" ht="14.25" customHeight="1">
      <c r="A25" s="1426" t="s">
        <v>1516</v>
      </c>
      <c r="B25" s="1426" t="s">
        <v>1524</v>
      </c>
      <c r="C25" s="1427">
        <v>321597</v>
      </c>
      <c r="D25" s="1428">
        <v>0.45</v>
      </c>
      <c r="E25" s="1428">
        <v>0.44700000000000001</v>
      </c>
      <c r="F25" s="1429">
        <v>78675</v>
      </c>
      <c r="G25" s="1430">
        <f t="shared" si="0"/>
        <v>144718.65</v>
      </c>
      <c r="H25" s="1430">
        <f t="shared" si="1"/>
        <v>143753.859</v>
      </c>
      <c r="I25" s="1431">
        <f t="shared" si="2"/>
        <v>0.54364105801152796</v>
      </c>
      <c r="J25" s="1431">
        <f t="shared" si="3"/>
        <v>0.54728965571630328</v>
      </c>
    </row>
    <row r="26" spans="1:10" ht="14.25" customHeight="1">
      <c r="A26" s="1426" t="s">
        <v>1513</v>
      </c>
      <c r="B26" s="1426" t="s">
        <v>554</v>
      </c>
      <c r="C26" s="1427">
        <v>101494</v>
      </c>
      <c r="D26" s="1428">
        <v>0.53</v>
      </c>
      <c r="E26" s="1428">
        <v>0.56000000000000005</v>
      </c>
      <c r="F26" s="1429">
        <v>33150</v>
      </c>
      <c r="G26" s="1430">
        <f t="shared" si="0"/>
        <v>53791.82</v>
      </c>
      <c r="H26" s="1430">
        <f t="shared" si="1"/>
        <v>56836.640000000007</v>
      </c>
      <c r="I26" s="1431">
        <f t="shared" si="2"/>
        <v>0.61626470344375783</v>
      </c>
      <c r="J26" s="1431">
        <f t="shared" si="3"/>
        <v>0.58325052290212787</v>
      </c>
    </row>
    <row r="27" spans="1:10" ht="14.25" customHeight="1">
      <c r="A27" s="1420" t="s">
        <v>1510</v>
      </c>
      <c r="B27" s="1420" t="s">
        <v>553</v>
      </c>
      <c r="C27" s="1421">
        <v>569930</v>
      </c>
      <c r="D27" s="1422">
        <v>0.47899999999999998</v>
      </c>
      <c r="E27" s="1422">
        <v>0.45900000000000002</v>
      </c>
      <c r="F27" s="1423">
        <v>165591</v>
      </c>
      <c r="G27" s="1424">
        <f t="shared" si="0"/>
        <v>272996.46999999997</v>
      </c>
      <c r="H27" s="1424">
        <f t="shared" si="1"/>
        <v>261597.87000000002</v>
      </c>
      <c r="I27" s="1425">
        <f t="shared" si="2"/>
        <v>0.6065682827327401</v>
      </c>
      <c r="J27" s="1425">
        <f t="shared" si="3"/>
        <v>0.63299827326575708</v>
      </c>
    </row>
    <row r="28" spans="1:10" ht="14.25" customHeight="1">
      <c r="A28" s="1420" t="s">
        <v>1510</v>
      </c>
      <c r="B28" s="1420" t="s">
        <v>1525</v>
      </c>
      <c r="C28" s="1421">
        <v>59544</v>
      </c>
      <c r="D28" s="1422">
        <v>0.67900000000000005</v>
      </c>
      <c r="E28" s="1422">
        <v>0.66200000000000003</v>
      </c>
      <c r="F28" s="1423">
        <v>30012</v>
      </c>
      <c r="G28" s="1424">
        <f t="shared" si="0"/>
        <v>40430.376000000004</v>
      </c>
      <c r="H28" s="1424">
        <f t="shared" si="1"/>
        <v>39418.128000000004</v>
      </c>
      <c r="I28" s="1425">
        <f t="shared" si="2"/>
        <v>0.74231315583115021</v>
      </c>
      <c r="J28" s="1425">
        <f t="shared" si="3"/>
        <v>0.76137557826185953</v>
      </c>
    </row>
    <row r="29" spans="1:10" ht="14.25" customHeight="1">
      <c r="A29" s="1420" t="s">
        <v>1526</v>
      </c>
      <c r="B29" s="1420" t="s">
        <v>1527</v>
      </c>
      <c r="C29" s="1421">
        <v>232333</v>
      </c>
      <c r="D29" s="1422">
        <v>0.69799999999999995</v>
      </c>
      <c r="E29" s="1422">
        <v>0.70399999999999996</v>
      </c>
      <c r="F29" s="1423">
        <v>104082</v>
      </c>
      <c r="G29" s="1424">
        <f t="shared" si="0"/>
        <v>162168.43399999998</v>
      </c>
      <c r="H29" s="1424">
        <f t="shared" si="1"/>
        <v>163562.432</v>
      </c>
      <c r="I29" s="1425">
        <f t="shared" si="2"/>
        <v>0.64181417698095311</v>
      </c>
      <c r="J29" s="1425">
        <f t="shared" si="3"/>
        <v>0.63634416979077446</v>
      </c>
    </row>
    <row r="30" spans="1:10" ht="14.25" customHeight="1">
      <c r="A30" s="1420" t="s">
        <v>1514</v>
      </c>
      <c r="B30" s="1420" t="s">
        <v>550</v>
      </c>
      <c r="C30" s="1421">
        <v>290458</v>
      </c>
      <c r="D30" s="1422">
        <v>0.50900000000000001</v>
      </c>
      <c r="E30" s="1422">
        <v>0.47799999999999998</v>
      </c>
      <c r="F30" s="1423">
        <v>73656</v>
      </c>
      <c r="G30" s="1424">
        <f t="shared" si="0"/>
        <v>147843.122</v>
      </c>
      <c r="H30" s="1424">
        <f t="shared" si="1"/>
        <v>138838.924</v>
      </c>
      <c r="I30" s="1425">
        <f t="shared" si="2"/>
        <v>0.49820376493402241</v>
      </c>
      <c r="J30" s="1425">
        <f t="shared" si="3"/>
        <v>0.53051405094438786</v>
      </c>
    </row>
    <row r="31" spans="1:10" ht="14.25" customHeight="1">
      <c r="A31" s="1420" t="s">
        <v>1520</v>
      </c>
      <c r="B31" s="1420" t="s">
        <v>549</v>
      </c>
      <c r="C31" s="1421">
        <v>151392</v>
      </c>
      <c r="D31" s="1422">
        <v>0.55000000000000004</v>
      </c>
      <c r="E31" s="1422">
        <v>0.53400000000000003</v>
      </c>
      <c r="F31" s="1423">
        <v>63213</v>
      </c>
      <c r="G31" s="1424">
        <f t="shared" si="0"/>
        <v>83265.600000000006</v>
      </c>
      <c r="H31" s="1424">
        <f t="shared" si="1"/>
        <v>80843.328000000009</v>
      </c>
      <c r="I31" s="1425">
        <f t="shared" si="2"/>
        <v>0.75917305585980277</v>
      </c>
      <c r="J31" s="1425">
        <f t="shared" si="3"/>
        <v>0.78191981408781186</v>
      </c>
    </row>
    <row r="32" spans="1:10" ht="14.25" customHeight="1">
      <c r="A32" s="1420" t="s">
        <v>1516</v>
      </c>
      <c r="B32" s="1420" t="s">
        <v>1528</v>
      </c>
      <c r="C32" s="1421">
        <v>963422</v>
      </c>
      <c r="D32" s="1422">
        <v>0.48599999999999999</v>
      </c>
      <c r="E32" s="1422">
        <v>0.27600000000000002</v>
      </c>
      <c r="F32" s="1423">
        <v>148698</v>
      </c>
      <c r="G32" s="1424">
        <f t="shared" si="0"/>
        <v>468223.092</v>
      </c>
      <c r="H32" s="1424">
        <f t="shared" si="1"/>
        <v>265904.47200000001</v>
      </c>
      <c r="I32" s="1425">
        <f t="shared" si="2"/>
        <v>0.31757938158248716</v>
      </c>
      <c r="J32" s="1425">
        <f t="shared" si="3"/>
        <v>0.55921586756916219</v>
      </c>
    </row>
    <row r="33" spans="1:10" ht="14.25" customHeight="1">
      <c r="A33" s="1420" t="s">
        <v>1512</v>
      </c>
      <c r="B33" s="1420" t="s">
        <v>1529</v>
      </c>
      <c r="C33" s="1421">
        <v>57476</v>
      </c>
      <c r="D33" s="1422">
        <v>0.60299999999999998</v>
      </c>
      <c r="E33" s="1422">
        <v>0.58599999999999997</v>
      </c>
      <c r="F33" s="1423">
        <v>21163</v>
      </c>
      <c r="G33" s="1424">
        <f t="shared" si="0"/>
        <v>34658.027999999998</v>
      </c>
      <c r="H33" s="1424">
        <f t="shared" si="1"/>
        <v>33680.936000000002</v>
      </c>
      <c r="I33" s="1425">
        <f t="shared" si="2"/>
        <v>0.61062331647951817</v>
      </c>
      <c r="J33" s="1425">
        <f t="shared" si="3"/>
        <v>0.62833764477329246</v>
      </c>
    </row>
    <row r="34" spans="1:10" ht="14.25" customHeight="1">
      <c r="A34" s="1420" t="s">
        <v>545</v>
      </c>
      <c r="B34" s="1420" t="s">
        <v>156</v>
      </c>
      <c r="C34" s="1421">
        <v>2374370</v>
      </c>
      <c r="D34" s="1422">
        <v>0.501</v>
      </c>
      <c r="E34" s="1422">
        <v>0.27300000000000002</v>
      </c>
      <c r="F34" s="1423">
        <v>460473</v>
      </c>
      <c r="G34" s="1424">
        <f t="shared" si="0"/>
        <v>1189559.3700000001</v>
      </c>
      <c r="H34" s="1424">
        <f t="shared" si="1"/>
        <v>648203.01</v>
      </c>
      <c r="I34" s="1425">
        <f t="shared" si="2"/>
        <v>0.38709543349652231</v>
      </c>
      <c r="J34" s="1425">
        <f t="shared" si="3"/>
        <v>0.71038392740570577</v>
      </c>
    </row>
    <row r="35" spans="1:10" ht="14.25" customHeight="1">
      <c r="A35" s="1420" t="s">
        <v>1512</v>
      </c>
      <c r="B35" s="1420" t="s">
        <v>1530</v>
      </c>
      <c r="C35" s="1421">
        <v>163030</v>
      </c>
      <c r="D35" s="1422">
        <v>0.60699999999999998</v>
      </c>
      <c r="E35" s="1422">
        <v>0.51300000000000001</v>
      </c>
      <c r="F35" s="1423">
        <v>46649</v>
      </c>
      <c r="G35" s="1424">
        <f t="shared" si="0"/>
        <v>98959.209999999992</v>
      </c>
      <c r="H35" s="1424">
        <f t="shared" si="1"/>
        <v>83634.39</v>
      </c>
      <c r="I35" s="1425">
        <f t="shared" si="2"/>
        <v>0.47139624497810767</v>
      </c>
      <c r="J35" s="1425">
        <f t="shared" si="3"/>
        <v>0.55777294483764395</v>
      </c>
    </row>
    <row r="36" spans="1:10" ht="14.25" customHeight="1">
      <c r="A36" s="2400" t="s">
        <v>1155</v>
      </c>
      <c r="B36" s="2401"/>
      <c r="C36" s="1432">
        <f>SUM(C4:C35)</f>
        <v>9445281</v>
      </c>
      <c r="D36" s="1380"/>
      <c r="E36" s="1380"/>
      <c r="F36" s="1433">
        <f>SUM(F4:F35)</f>
        <v>2478874</v>
      </c>
      <c r="G36" s="1434">
        <f>SUM(G4:G35)</f>
        <v>4999771.0990000004</v>
      </c>
      <c r="H36" s="1434">
        <f>SUM(H4:H35)</f>
        <v>3815692.094000001</v>
      </c>
      <c r="I36" s="1433"/>
      <c r="J36" s="1433"/>
    </row>
  </sheetData>
  <mergeCells count="2">
    <mergeCell ref="A1:J1"/>
    <mergeCell ref="A36:B36"/>
  </mergeCells>
  <pageMargins left="0.7" right="0.7" top="0.75" bottom="0.75" header="0.3" footer="0.3"/>
  <pageSetup scale="5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L13"/>
  <sheetViews>
    <sheetView showGridLines="0" view="pageBreakPreview" zoomScale="85" zoomScaleNormal="85" zoomScaleSheetLayoutView="85" workbookViewId="0">
      <selection sqref="A1:L1"/>
    </sheetView>
  </sheetViews>
  <sheetFormatPr baseColWidth="10" defaultColWidth="11.42578125" defaultRowHeight="15"/>
  <cols>
    <col min="1" max="1" width="12.85546875" style="1435" customWidth="1"/>
    <col min="2" max="2" width="24.85546875" style="1435" customWidth="1"/>
    <col min="3" max="3" width="14.85546875" style="1435" customWidth="1"/>
    <col min="4" max="4" width="11.28515625" style="1435" customWidth="1"/>
    <col min="5" max="6" width="11.42578125" style="1435"/>
    <col min="7" max="7" width="15.28515625" style="1435" customWidth="1"/>
    <col min="8" max="8" width="18.28515625" style="1435" customWidth="1"/>
    <col min="9" max="9" width="11.42578125" style="1435"/>
    <col min="10" max="10" width="15.85546875" style="1435" customWidth="1"/>
    <col min="11" max="16384" width="11.42578125" style="1435"/>
  </cols>
  <sheetData>
    <row r="1" spans="1:12" ht="93.75" customHeight="1">
      <c r="A1" s="2402" t="s">
        <v>1620</v>
      </c>
      <c r="B1" s="2403"/>
      <c r="C1" s="2403"/>
      <c r="D1" s="2403"/>
      <c r="E1" s="2403"/>
      <c r="F1" s="2403"/>
      <c r="G1" s="2403"/>
      <c r="H1" s="2403"/>
      <c r="I1" s="2403"/>
      <c r="J1" s="2403"/>
      <c r="K1" s="2403"/>
      <c r="L1" s="2403"/>
    </row>
    <row r="2" spans="1:12" ht="2.25" customHeight="1"/>
    <row r="3" spans="1:12" ht="34.5">
      <c r="A3" s="1522" t="s">
        <v>1024</v>
      </c>
      <c r="B3" s="1522" t="s">
        <v>1506</v>
      </c>
      <c r="C3" s="1522" t="s">
        <v>1505</v>
      </c>
      <c r="D3" s="1522" t="s">
        <v>358</v>
      </c>
    </row>
    <row r="4" spans="1:12" ht="17.25">
      <c r="A4" s="1523" t="s">
        <v>545</v>
      </c>
      <c r="B4" s="1524">
        <v>1788128.9340000001</v>
      </c>
      <c r="C4" s="1524">
        <v>738960</v>
      </c>
      <c r="D4" s="1525">
        <f>+C4/B4</f>
        <v>0.41325879020757456</v>
      </c>
    </row>
    <row r="5" spans="1:12" ht="17.25">
      <c r="A5" s="1523" t="s">
        <v>544</v>
      </c>
      <c r="B5" s="1524">
        <v>563715.88300000003</v>
      </c>
      <c r="C5" s="1524">
        <v>340555</v>
      </c>
      <c r="D5" s="1525">
        <f t="shared" ref="D5:D12" si="0">+C5/B5</f>
        <v>0.60412525222391145</v>
      </c>
    </row>
    <row r="6" spans="1:12" ht="17.25">
      <c r="A6" s="1523" t="s">
        <v>543</v>
      </c>
      <c r="B6" s="1524">
        <v>734709.19200000004</v>
      </c>
      <c r="C6" s="1524">
        <v>292343</v>
      </c>
      <c r="D6" s="1525">
        <f t="shared" si="0"/>
        <v>0.39790301139991724</v>
      </c>
    </row>
    <row r="7" spans="1:12" ht="17.25">
      <c r="A7" s="1523" t="s">
        <v>542</v>
      </c>
      <c r="B7" s="1524">
        <v>333966.505</v>
      </c>
      <c r="C7" s="1524">
        <v>232970</v>
      </c>
      <c r="D7" s="1525">
        <f t="shared" si="0"/>
        <v>0.69758492696745145</v>
      </c>
    </row>
    <row r="8" spans="1:12" ht="17.25">
      <c r="A8" s="1523" t="s">
        <v>541</v>
      </c>
      <c r="B8" s="1524">
        <v>309842.00400000007</v>
      </c>
      <c r="C8" s="1524">
        <v>182961</v>
      </c>
      <c r="D8" s="1525">
        <f t="shared" si="0"/>
        <v>0.59049772993335004</v>
      </c>
    </row>
    <row r="9" spans="1:12" ht="17.25">
      <c r="A9" s="1523" t="s">
        <v>540</v>
      </c>
      <c r="B9" s="1524">
        <v>540421.179</v>
      </c>
      <c r="C9" s="1524">
        <v>202550</v>
      </c>
      <c r="D9" s="1525">
        <f t="shared" si="0"/>
        <v>0.37480026296304719</v>
      </c>
    </row>
    <row r="10" spans="1:12" ht="17.25">
      <c r="A10" s="1523" t="s">
        <v>539</v>
      </c>
      <c r="B10" s="1524">
        <v>162168.43399999998</v>
      </c>
      <c r="C10" s="1524">
        <v>104082</v>
      </c>
      <c r="D10" s="1525">
        <f t="shared" si="0"/>
        <v>0.64181417698095311</v>
      </c>
    </row>
    <row r="11" spans="1:12" ht="17.25">
      <c r="A11" s="1523" t="s">
        <v>538</v>
      </c>
      <c r="B11" s="1524">
        <v>250414.15199999997</v>
      </c>
      <c r="C11" s="1524">
        <v>126600</v>
      </c>
      <c r="D11" s="1525">
        <f t="shared" si="0"/>
        <v>0.50556248114922842</v>
      </c>
    </row>
    <row r="12" spans="1:12" ht="17.25">
      <c r="A12" s="1523" t="s">
        <v>537</v>
      </c>
      <c r="B12" s="1524">
        <v>316404.81599999999</v>
      </c>
      <c r="C12" s="1524">
        <v>257853</v>
      </c>
      <c r="D12" s="1525">
        <f t="shared" si="0"/>
        <v>0.81494650827312309</v>
      </c>
    </row>
    <row r="13" spans="1:12" ht="17.25">
      <c r="A13" s="1526" t="s">
        <v>1155</v>
      </c>
      <c r="B13" s="1527">
        <v>4999771.0990000004</v>
      </c>
      <c r="C13" s="1527">
        <v>2478874</v>
      </c>
      <c r="D13" s="1527"/>
    </row>
  </sheetData>
  <mergeCells count="1">
    <mergeCell ref="A1:L1"/>
  </mergeCells>
  <pageMargins left="0.7" right="0.7" top="0.75" bottom="0.75" header="0.3" footer="0.3"/>
  <pageSetup scale="7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36"/>
  <sheetViews>
    <sheetView showGridLines="0" view="pageBreakPreview" zoomScale="85" zoomScaleNormal="70" zoomScaleSheetLayoutView="85" workbookViewId="0">
      <selection sqref="A1:L1"/>
    </sheetView>
  </sheetViews>
  <sheetFormatPr baseColWidth="10" defaultColWidth="11.42578125" defaultRowHeight="15"/>
  <cols>
    <col min="1" max="1" width="28.5703125" style="1297" customWidth="1"/>
    <col min="2" max="2" width="14.42578125" style="1297" customWidth="1"/>
    <col min="3" max="3" width="13.5703125" style="1297" customWidth="1"/>
    <col min="4" max="4" width="14" style="1297" customWidth="1"/>
    <col min="5" max="5" width="18.140625" style="1297" customWidth="1"/>
    <col min="6" max="6" width="20.7109375" style="1297" customWidth="1"/>
    <col min="7" max="7" width="13.85546875" style="1297" bestFit="1" customWidth="1"/>
    <col min="8" max="8" width="17.28515625" style="1297" customWidth="1"/>
    <col min="9" max="9" width="11.42578125" style="1297"/>
    <col min="10" max="10" width="12.42578125" style="1297" bestFit="1" customWidth="1"/>
    <col min="11" max="16384" width="11.42578125" style="1297"/>
  </cols>
  <sheetData>
    <row r="1" spans="1:12" ht="73.5" customHeight="1">
      <c r="A1" s="2404" t="s">
        <v>1621</v>
      </c>
      <c r="B1" s="2405"/>
      <c r="C1" s="2405"/>
      <c r="D1" s="2405"/>
      <c r="E1" s="2405"/>
      <c r="F1" s="2405"/>
      <c r="G1" s="2405"/>
      <c r="H1" s="2405"/>
      <c r="I1" s="2405"/>
      <c r="J1" s="2405"/>
      <c r="K1" s="2405"/>
      <c r="L1" s="2405"/>
    </row>
    <row r="2" spans="1:12" ht="3.75" customHeight="1"/>
    <row r="3" spans="1:12" ht="30">
      <c r="A3" s="1456" t="s">
        <v>1347</v>
      </c>
      <c r="B3" s="1456" t="s">
        <v>1155</v>
      </c>
      <c r="C3" s="1456" t="s">
        <v>1570</v>
      </c>
      <c r="D3" s="1456" t="s">
        <v>1571</v>
      </c>
      <c r="E3" s="1485" t="s">
        <v>1463</v>
      </c>
      <c r="F3" s="1456" t="s">
        <v>1572</v>
      </c>
      <c r="G3" s="1456" t="s">
        <v>1501</v>
      </c>
      <c r="H3" s="1456" t="s">
        <v>1502</v>
      </c>
    </row>
    <row r="4" spans="1:12">
      <c r="A4" s="1420" t="s">
        <v>1348</v>
      </c>
      <c r="B4" s="1486">
        <f>+C4+D4+E4+F4</f>
        <v>83920</v>
      </c>
      <c r="C4" s="1423">
        <v>21693</v>
      </c>
      <c r="D4" s="1423">
        <v>15484</v>
      </c>
      <c r="E4" s="1423">
        <v>24316</v>
      </c>
      <c r="F4" s="1423">
        <v>22427</v>
      </c>
      <c r="G4" s="1423">
        <f>+C4+F4</f>
        <v>44120</v>
      </c>
      <c r="H4" s="1423">
        <f>+E4+D4</f>
        <v>39800</v>
      </c>
    </row>
    <row r="5" spans="1:12">
      <c r="A5" s="1420" t="s">
        <v>1349</v>
      </c>
      <c r="B5" s="1486">
        <f t="shared" ref="B5:B35" si="0">+C5+D5+E5+F5</f>
        <v>46786</v>
      </c>
      <c r="C5" s="1423">
        <v>11848</v>
      </c>
      <c r="D5" s="1423">
        <v>10303</v>
      </c>
      <c r="E5" s="1423">
        <v>12099</v>
      </c>
      <c r="F5" s="1423">
        <v>12536</v>
      </c>
      <c r="G5" s="1423">
        <f t="shared" ref="G5:G35" si="1">+C5+F5</f>
        <v>24384</v>
      </c>
      <c r="H5" s="1423">
        <f t="shared" ref="H5:H35" si="2">+E5+D5</f>
        <v>22402</v>
      </c>
    </row>
    <row r="6" spans="1:12">
      <c r="A6" s="1420" t="s">
        <v>1350</v>
      </c>
      <c r="B6" s="1486">
        <f t="shared" si="0"/>
        <v>87744</v>
      </c>
      <c r="C6" s="1423">
        <v>22872</v>
      </c>
      <c r="D6" s="1423">
        <v>18657</v>
      </c>
      <c r="E6" s="1423">
        <v>23036</v>
      </c>
      <c r="F6" s="1423">
        <v>23179</v>
      </c>
      <c r="G6" s="1423">
        <f t="shared" si="1"/>
        <v>46051</v>
      </c>
      <c r="H6" s="1423">
        <f t="shared" si="2"/>
        <v>41693</v>
      </c>
    </row>
    <row r="7" spans="1:12">
      <c r="A7" s="1420" t="s">
        <v>1351</v>
      </c>
      <c r="B7" s="1486">
        <f t="shared" si="0"/>
        <v>23178</v>
      </c>
      <c r="C7" s="1423">
        <v>6241</v>
      </c>
      <c r="D7" s="1423">
        <v>5217</v>
      </c>
      <c r="E7" s="1423">
        <v>6063</v>
      </c>
      <c r="F7" s="1423">
        <v>5657</v>
      </c>
      <c r="G7" s="1423">
        <f t="shared" si="1"/>
        <v>11898</v>
      </c>
      <c r="H7" s="1423">
        <f t="shared" si="2"/>
        <v>11280</v>
      </c>
    </row>
    <row r="8" spans="1:12">
      <c r="A8" s="1420" t="s">
        <v>1352</v>
      </c>
      <c r="B8" s="1486">
        <f t="shared" si="0"/>
        <v>182024</v>
      </c>
      <c r="C8" s="1423">
        <v>68432</v>
      </c>
      <c r="D8" s="1423">
        <v>36605</v>
      </c>
      <c r="E8" s="1423">
        <v>40256</v>
      </c>
      <c r="F8" s="1423">
        <v>36731</v>
      </c>
      <c r="G8" s="1423">
        <f t="shared" si="1"/>
        <v>105163</v>
      </c>
      <c r="H8" s="1423">
        <f t="shared" si="2"/>
        <v>76861</v>
      </c>
    </row>
    <row r="9" spans="1:12">
      <c r="A9" s="1420" t="s">
        <v>1353</v>
      </c>
      <c r="B9" s="1486">
        <f t="shared" si="0"/>
        <v>107175</v>
      </c>
      <c r="C9" s="1423">
        <v>32202</v>
      </c>
      <c r="D9" s="1423">
        <v>22846</v>
      </c>
      <c r="E9" s="1423">
        <v>28345</v>
      </c>
      <c r="F9" s="1423">
        <v>23782</v>
      </c>
      <c r="G9" s="1423">
        <f t="shared" si="1"/>
        <v>55984</v>
      </c>
      <c r="H9" s="1423">
        <f t="shared" si="2"/>
        <v>51191</v>
      </c>
    </row>
    <row r="10" spans="1:12">
      <c r="A10" s="1420" t="s">
        <v>1354</v>
      </c>
      <c r="B10" s="1486">
        <f t="shared" si="0"/>
        <v>24102</v>
      </c>
      <c r="C10" s="1423">
        <v>7093</v>
      </c>
      <c r="D10" s="1423">
        <v>5609</v>
      </c>
      <c r="E10" s="1423">
        <v>5727</v>
      </c>
      <c r="F10" s="1423">
        <v>5673</v>
      </c>
      <c r="G10" s="1423">
        <f t="shared" si="1"/>
        <v>12766</v>
      </c>
      <c r="H10" s="1423">
        <f t="shared" si="2"/>
        <v>11336</v>
      </c>
    </row>
    <row r="11" spans="1:12">
      <c r="A11" s="1420" t="s">
        <v>1355</v>
      </c>
      <c r="B11" s="1486">
        <f t="shared" si="0"/>
        <v>21890</v>
      </c>
      <c r="C11" s="1423">
        <v>4331</v>
      </c>
      <c r="D11" s="1423">
        <v>4691</v>
      </c>
      <c r="E11" s="1423">
        <v>6269</v>
      </c>
      <c r="F11" s="1423">
        <v>6599</v>
      </c>
      <c r="G11" s="1423">
        <f t="shared" si="1"/>
        <v>10930</v>
      </c>
      <c r="H11" s="1423">
        <f t="shared" si="2"/>
        <v>10960</v>
      </c>
    </row>
    <row r="12" spans="1:12">
      <c r="A12" s="1420" t="s">
        <v>1356</v>
      </c>
      <c r="B12" s="1486">
        <f t="shared" si="0"/>
        <v>64970</v>
      </c>
      <c r="C12" s="1423">
        <v>22292</v>
      </c>
      <c r="D12" s="1423">
        <v>15058</v>
      </c>
      <c r="E12" s="1423">
        <v>14723</v>
      </c>
      <c r="F12" s="1423">
        <v>12897</v>
      </c>
      <c r="G12" s="1423">
        <f t="shared" si="1"/>
        <v>35189</v>
      </c>
      <c r="H12" s="1423">
        <f t="shared" si="2"/>
        <v>29781</v>
      </c>
    </row>
    <row r="13" spans="1:12">
      <c r="A13" s="1420" t="s">
        <v>1487</v>
      </c>
      <c r="B13" s="1486">
        <f t="shared" si="0"/>
        <v>31743</v>
      </c>
      <c r="C13" s="1423">
        <v>9295</v>
      </c>
      <c r="D13" s="1423">
        <v>6570</v>
      </c>
      <c r="E13" s="1423">
        <v>8079</v>
      </c>
      <c r="F13" s="1423">
        <v>7799</v>
      </c>
      <c r="G13" s="1423">
        <f t="shared" si="1"/>
        <v>17094</v>
      </c>
      <c r="H13" s="1423">
        <f t="shared" si="2"/>
        <v>14649</v>
      </c>
    </row>
    <row r="14" spans="1:12">
      <c r="A14" s="1420" t="s">
        <v>1486</v>
      </c>
      <c r="B14" s="1486">
        <f t="shared" si="0"/>
        <v>37533</v>
      </c>
      <c r="C14" s="1423">
        <v>11419</v>
      </c>
      <c r="D14" s="1423">
        <v>9331</v>
      </c>
      <c r="E14" s="1423">
        <v>9101</v>
      </c>
      <c r="F14" s="1423">
        <v>7682</v>
      </c>
      <c r="G14" s="1423">
        <f t="shared" si="1"/>
        <v>19101</v>
      </c>
      <c r="H14" s="1423">
        <f t="shared" si="2"/>
        <v>18432</v>
      </c>
    </row>
    <row r="15" spans="1:12">
      <c r="A15" s="1420" t="s">
        <v>1357</v>
      </c>
      <c r="B15" s="1486">
        <f t="shared" si="0"/>
        <v>18401</v>
      </c>
      <c r="C15" s="1423">
        <v>3924</v>
      </c>
      <c r="D15" s="1423">
        <v>4121</v>
      </c>
      <c r="E15" s="1423">
        <v>4895</v>
      </c>
      <c r="F15" s="1423">
        <v>5461</v>
      </c>
      <c r="G15" s="1423">
        <f t="shared" si="1"/>
        <v>9385</v>
      </c>
      <c r="H15" s="1423">
        <f t="shared" si="2"/>
        <v>9016</v>
      </c>
    </row>
    <row r="16" spans="1:12">
      <c r="A16" s="1420" t="s">
        <v>1489</v>
      </c>
      <c r="B16" s="1486">
        <f t="shared" si="0"/>
        <v>36039</v>
      </c>
      <c r="C16" s="1423">
        <v>14959</v>
      </c>
      <c r="D16" s="1423">
        <v>8796</v>
      </c>
      <c r="E16" s="1423">
        <v>6383</v>
      </c>
      <c r="F16" s="1423">
        <v>5901</v>
      </c>
      <c r="G16" s="1423">
        <f t="shared" si="1"/>
        <v>20860</v>
      </c>
      <c r="H16" s="1423">
        <f t="shared" si="2"/>
        <v>15179</v>
      </c>
    </row>
    <row r="17" spans="1:8">
      <c r="A17" s="1420" t="s">
        <v>1358</v>
      </c>
      <c r="B17" s="1486">
        <f t="shared" si="0"/>
        <v>37010</v>
      </c>
      <c r="C17" s="1423">
        <v>16162</v>
      </c>
      <c r="D17" s="1423">
        <v>7020</v>
      </c>
      <c r="E17" s="1423">
        <v>7033</v>
      </c>
      <c r="F17" s="1423">
        <v>6795</v>
      </c>
      <c r="G17" s="1423">
        <f t="shared" si="1"/>
        <v>22957</v>
      </c>
      <c r="H17" s="1423">
        <f t="shared" si="2"/>
        <v>14053</v>
      </c>
    </row>
    <row r="18" spans="1:8">
      <c r="A18" s="1420" t="s">
        <v>1359</v>
      </c>
      <c r="B18" s="1486">
        <f t="shared" si="0"/>
        <v>143599</v>
      </c>
      <c r="C18" s="1423">
        <v>45112</v>
      </c>
      <c r="D18" s="1423">
        <v>31874</v>
      </c>
      <c r="E18" s="1423">
        <v>36563</v>
      </c>
      <c r="F18" s="1423">
        <v>30050</v>
      </c>
      <c r="G18" s="1423">
        <f t="shared" si="1"/>
        <v>75162</v>
      </c>
      <c r="H18" s="1423">
        <f t="shared" si="2"/>
        <v>68437</v>
      </c>
    </row>
    <row r="19" spans="1:8">
      <c r="A19" s="1420" t="s">
        <v>1360</v>
      </c>
      <c r="B19" s="1486">
        <f t="shared" si="0"/>
        <v>55112</v>
      </c>
      <c r="C19" s="1423">
        <v>16383</v>
      </c>
      <c r="D19" s="1423">
        <v>14686</v>
      </c>
      <c r="E19" s="1423">
        <v>12221</v>
      </c>
      <c r="F19" s="1423">
        <v>11822</v>
      </c>
      <c r="G19" s="1423">
        <f t="shared" si="1"/>
        <v>28205</v>
      </c>
      <c r="H19" s="1423">
        <f t="shared" si="2"/>
        <v>26907</v>
      </c>
    </row>
    <row r="20" spans="1:8">
      <c r="A20" s="1420" t="s">
        <v>1361</v>
      </c>
      <c r="B20" s="1486">
        <f t="shared" si="0"/>
        <v>51041</v>
      </c>
      <c r="C20" s="1423">
        <v>17162</v>
      </c>
      <c r="D20" s="1423">
        <v>10335</v>
      </c>
      <c r="E20" s="1423">
        <v>12569</v>
      </c>
      <c r="F20" s="1423">
        <v>10975</v>
      </c>
      <c r="G20" s="1423">
        <f t="shared" si="1"/>
        <v>28137</v>
      </c>
      <c r="H20" s="1423">
        <f t="shared" si="2"/>
        <v>22904</v>
      </c>
    </row>
    <row r="21" spans="1:8">
      <c r="A21" s="1420" t="s">
        <v>1362</v>
      </c>
      <c r="B21" s="1486">
        <f t="shared" si="0"/>
        <v>96463</v>
      </c>
      <c r="C21" s="1423">
        <v>27415</v>
      </c>
      <c r="D21" s="1423">
        <v>19458</v>
      </c>
      <c r="E21" s="1423">
        <v>25282</v>
      </c>
      <c r="F21" s="1423">
        <v>24308</v>
      </c>
      <c r="G21" s="1423">
        <f t="shared" si="1"/>
        <v>51723</v>
      </c>
      <c r="H21" s="1423">
        <f t="shared" si="2"/>
        <v>44740</v>
      </c>
    </row>
    <row r="22" spans="1:8">
      <c r="A22" s="1420" t="s">
        <v>1363</v>
      </c>
      <c r="B22" s="1486">
        <f t="shared" si="0"/>
        <v>35610</v>
      </c>
      <c r="C22" s="1423">
        <v>11302</v>
      </c>
      <c r="D22" s="1423">
        <v>8058</v>
      </c>
      <c r="E22" s="1423">
        <v>8792</v>
      </c>
      <c r="F22" s="1423">
        <v>7458</v>
      </c>
      <c r="G22" s="1423">
        <f t="shared" si="1"/>
        <v>18760</v>
      </c>
      <c r="H22" s="1423">
        <f t="shared" si="2"/>
        <v>16850</v>
      </c>
    </row>
    <row r="23" spans="1:8">
      <c r="A23" s="1420" t="s">
        <v>1364</v>
      </c>
      <c r="B23" s="1486">
        <f t="shared" si="0"/>
        <v>8140</v>
      </c>
      <c r="C23" s="1423">
        <v>1432</v>
      </c>
      <c r="D23" s="1423">
        <v>2134</v>
      </c>
      <c r="E23" s="1423">
        <v>1994</v>
      </c>
      <c r="F23" s="1423">
        <v>2580</v>
      </c>
      <c r="G23" s="1423">
        <f t="shared" si="1"/>
        <v>4012</v>
      </c>
      <c r="H23" s="1423">
        <f t="shared" si="2"/>
        <v>4128</v>
      </c>
    </row>
    <row r="24" spans="1:8">
      <c r="A24" s="1420" t="s">
        <v>1365</v>
      </c>
      <c r="B24" s="1486">
        <f t="shared" si="0"/>
        <v>61032</v>
      </c>
      <c r="C24" s="1423">
        <v>21070</v>
      </c>
      <c r="D24" s="1423">
        <v>10454</v>
      </c>
      <c r="E24" s="1423">
        <v>15891</v>
      </c>
      <c r="F24" s="1423">
        <v>13617</v>
      </c>
      <c r="G24" s="1423">
        <f t="shared" si="1"/>
        <v>34687</v>
      </c>
      <c r="H24" s="1423">
        <f t="shared" si="2"/>
        <v>26345</v>
      </c>
    </row>
    <row r="25" spans="1:8">
      <c r="A25" s="1420" t="s">
        <v>1366</v>
      </c>
      <c r="B25" s="1486">
        <f t="shared" si="0"/>
        <v>78675</v>
      </c>
      <c r="C25" s="1423">
        <v>29533</v>
      </c>
      <c r="D25" s="1423">
        <v>20272</v>
      </c>
      <c r="E25" s="1423">
        <v>15024</v>
      </c>
      <c r="F25" s="1423">
        <v>13846</v>
      </c>
      <c r="G25" s="1423">
        <f t="shared" si="1"/>
        <v>43379</v>
      </c>
      <c r="H25" s="1423">
        <f t="shared" si="2"/>
        <v>35296</v>
      </c>
    </row>
    <row r="26" spans="1:8">
      <c r="A26" s="1420" t="s">
        <v>1367</v>
      </c>
      <c r="B26" s="1486">
        <f t="shared" si="0"/>
        <v>33150</v>
      </c>
      <c r="C26" s="1423">
        <v>10612</v>
      </c>
      <c r="D26" s="1423">
        <v>7517</v>
      </c>
      <c r="E26" s="1423">
        <v>7823</v>
      </c>
      <c r="F26" s="1423">
        <v>7198</v>
      </c>
      <c r="G26" s="1423">
        <f t="shared" si="1"/>
        <v>17810</v>
      </c>
      <c r="H26" s="1423">
        <f t="shared" si="2"/>
        <v>15340</v>
      </c>
    </row>
    <row r="27" spans="1:8">
      <c r="A27" s="1420" t="s">
        <v>1368</v>
      </c>
      <c r="B27" s="1486">
        <f t="shared" si="0"/>
        <v>165591</v>
      </c>
      <c r="C27" s="1423">
        <v>56684</v>
      </c>
      <c r="D27" s="1423">
        <v>24474</v>
      </c>
      <c r="E27" s="1423">
        <v>45089</v>
      </c>
      <c r="F27" s="1423">
        <v>39344</v>
      </c>
      <c r="G27" s="1423">
        <f t="shared" si="1"/>
        <v>96028</v>
      </c>
      <c r="H27" s="1423">
        <f t="shared" si="2"/>
        <v>69563</v>
      </c>
    </row>
    <row r="28" spans="1:8">
      <c r="A28" s="1420" t="s">
        <v>1488</v>
      </c>
      <c r="B28" s="1486">
        <f t="shared" si="0"/>
        <v>30012</v>
      </c>
      <c r="C28" s="1423">
        <v>7084</v>
      </c>
      <c r="D28" s="1423">
        <v>6784</v>
      </c>
      <c r="E28" s="1423">
        <v>8256</v>
      </c>
      <c r="F28" s="1423">
        <v>7888</v>
      </c>
      <c r="G28" s="1423">
        <f t="shared" si="1"/>
        <v>14972</v>
      </c>
      <c r="H28" s="1423">
        <f t="shared" si="2"/>
        <v>15040</v>
      </c>
    </row>
    <row r="29" spans="1:8">
      <c r="A29" s="1420" t="s">
        <v>1369</v>
      </c>
      <c r="B29" s="1486">
        <f t="shared" si="0"/>
        <v>104082</v>
      </c>
      <c r="C29" s="1423">
        <v>25763</v>
      </c>
      <c r="D29" s="1423">
        <v>20714</v>
      </c>
      <c r="E29" s="1423">
        <v>29618</v>
      </c>
      <c r="F29" s="1423">
        <v>27987</v>
      </c>
      <c r="G29" s="1423">
        <f t="shared" si="1"/>
        <v>53750</v>
      </c>
      <c r="H29" s="1423">
        <f t="shared" si="2"/>
        <v>50332</v>
      </c>
    </row>
    <row r="30" spans="1:8">
      <c r="A30" s="1420" t="s">
        <v>1370</v>
      </c>
      <c r="B30" s="1486">
        <f t="shared" si="0"/>
        <v>73656</v>
      </c>
      <c r="C30" s="1423">
        <v>28871</v>
      </c>
      <c r="D30" s="1423">
        <v>12727</v>
      </c>
      <c r="E30" s="1423">
        <v>16371</v>
      </c>
      <c r="F30" s="1423">
        <v>15687</v>
      </c>
      <c r="G30" s="1423">
        <f t="shared" si="1"/>
        <v>44558</v>
      </c>
      <c r="H30" s="1423">
        <f t="shared" si="2"/>
        <v>29098</v>
      </c>
    </row>
    <row r="31" spans="1:8">
      <c r="A31" s="1420" t="s">
        <v>1371</v>
      </c>
      <c r="B31" s="1486">
        <f t="shared" si="0"/>
        <v>63213</v>
      </c>
      <c r="C31" s="1423">
        <v>18247</v>
      </c>
      <c r="D31" s="1423">
        <v>13067</v>
      </c>
      <c r="E31" s="1423">
        <v>17004</v>
      </c>
      <c r="F31" s="1423">
        <v>14895</v>
      </c>
      <c r="G31" s="1423">
        <f t="shared" si="1"/>
        <v>33142</v>
      </c>
      <c r="H31" s="1423">
        <f t="shared" si="2"/>
        <v>30071</v>
      </c>
    </row>
    <row r="32" spans="1:8">
      <c r="A32" s="1420" t="s">
        <v>1372</v>
      </c>
      <c r="B32" s="1486">
        <f t="shared" si="0"/>
        <v>148698</v>
      </c>
      <c r="C32" s="1423">
        <v>59080</v>
      </c>
      <c r="D32" s="1423">
        <v>33521</v>
      </c>
      <c r="E32" s="1423">
        <v>29193</v>
      </c>
      <c r="F32" s="1423">
        <v>26904</v>
      </c>
      <c r="G32" s="1423">
        <f t="shared" si="1"/>
        <v>85984</v>
      </c>
      <c r="H32" s="1423">
        <f t="shared" si="2"/>
        <v>62714</v>
      </c>
    </row>
    <row r="33" spans="1:10">
      <c r="A33" s="1420" t="s">
        <v>1373</v>
      </c>
      <c r="B33" s="1486">
        <f t="shared" si="0"/>
        <v>21163</v>
      </c>
      <c r="C33" s="1423">
        <v>5515</v>
      </c>
      <c r="D33" s="1423">
        <v>4855</v>
      </c>
      <c r="E33" s="1423">
        <v>5588</v>
      </c>
      <c r="F33" s="1423">
        <v>5205</v>
      </c>
      <c r="G33" s="1423">
        <f t="shared" si="1"/>
        <v>10720</v>
      </c>
      <c r="H33" s="1423">
        <f t="shared" si="2"/>
        <v>10443</v>
      </c>
    </row>
    <row r="34" spans="1:10">
      <c r="A34" s="1420" t="s">
        <v>1374</v>
      </c>
      <c r="B34" s="1486">
        <f t="shared" si="0"/>
        <v>460473</v>
      </c>
      <c r="C34" s="1423">
        <v>169549</v>
      </c>
      <c r="D34" s="1423">
        <v>82319</v>
      </c>
      <c r="E34" s="1423">
        <v>109199</v>
      </c>
      <c r="F34" s="1423">
        <v>99406</v>
      </c>
      <c r="G34" s="1423">
        <f t="shared" si="1"/>
        <v>268955</v>
      </c>
      <c r="H34" s="1423">
        <f t="shared" si="2"/>
        <v>191518</v>
      </c>
    </row>
    <row r="35" spans="1:10">
      <c r="A35" s="1420" t="s">
        <v>1375</v>
      </c>
      <c r="B35" s="1486">
        <f t="shared" si="0"/>
        <v>46649</v>
      </c>
      <c r="C35" s="1423">
        <v>15142</v>
      </c>
      <c r="D35" s="1423">
        <v>9444</v>
      </c>
      <c r="E35" s="1423">
        <v>11836</v>
      </c>
      <c r="F35" s="1423">
        <v>10227</v>
      </c>
      <c r="G35" s="1423">
        <f t="shared" si="1"/>
        <v>25369</v>
      </c>
      <c r="H35" s="1423">
        <f t="shared" si="2"/>
        <v>21280</v>
      </c>
      <c r="J35" s="1416"/>
    </row>
    <row r="36" spans="1:10">
      <c r="A36" s="1456" t="s">
        <v>1155</v>
      </c>
      <c r="B36" s="1487">
        <f>+C36+D36+E36+F36</f>
        <v>2478874</v>
      </c>
      <c r="C36" s="1487">
        <f t="shared" ref="C36:H36" si="3">SUM(C4:C35)</f>
        <v>818719</v>
      </c>
      <c r="D36" s="1487">
        <f t="shared" si="3"/>
        <v>503001</v>
      </c>
      <c r="E36" s="1487">
        <f t="shared" si="3"/>
        <v>604638</v>
      </c>
      <c r="F36" s="1487">
        <f t="shared" si="3"/>
        <v>552516</v>
      </c>
      <c r="G36" s="1487">
        <f t="shared" si="3"/>
        <v>1371235</v>
      </c>
      <c r="H36" s="1487">
        <f t="shared" si="3"/>
        <v>1107639</v>
      </c>
    </row>
  </sheetData>
  <mergeCells count="1">
    <mergeCell ref="A1:L1"/>
  </mergeCells>
  <pageMargins left="0.7" right="0.7" top="0.75" bottom="0.75" header="0.3" footer="0.3"/>
  <pageSetup scale="48"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L13"/>
  <sheetViews>
    <sheetView showGridLines="0" view="pageBreakPreview" zoomScale="85" zoomScaleNormal="100" zoomScaleSheetLayoutView="85" workbookViewId="0">
      <selection activeCell="J10" sqref="J10"/>
    </sheetView>
  </sheetViews>
  <sheetFormatPr baseColWidth="10" defaultColWidth="11.42578125" defaultRowHeight="15"/>
  <cols>
    <col min="1" max="1" width="20.28515625" style="1297" customWidth="1"/>
    <col min="2" max="2" width="11.42578125" style="1297"/>
    <col min="3" max="3" width="14.7109375" style="1297" customWidth="1"/>
    <col min="4" max="4" width="12.7109375" style="1297" bestFit="1" customWidth="1"/>
    <col min="5" max="5" width="11.42578125" style="1297"/>
    <col min="6" max="6" width="12.28515625" style="1297" customWidth="1"/>
    <col min="7" max="16384" width="11.42578125" style="1297"/>
  </cols>
  <sheetData>
    <row r="1" spans="1:12" ht="68.25" customHeight="1">
      <c r="A1" s="2371" t="s">
        <v>1622</v>
      </c>
      <c r="B1" s="2371"/>
      <c r="C1" s="2371"/>
      <c r="D1" s="2371"/>
      <c r="E1" s="2371"/>
      <c r="F1" s="2371"/>
      <c r="G1" s="2371"/>
      <c r="H1" s="2371"/>
      <c r="I1" s="2371"/>
      <c r="J1" s="2371"/>
      <c r="K1" s="2371"/>
      <c r="L1" s="2371"/>
    </row>
    <row r="2" spans="1:12" ht="4.5" customHeight="1"/>
    <row r="3" spans="1:12" ht="34.5" customHeight="1">
      <c r="A3" s="1369" t="s">
        <v>1024</v>
      </c>
      <c r="B3" s="1369" t="s">
        <v>1494</v>
      </c>
      <c r="C3" s="1369" t="s">
        <v>1495</v>
      </c>
      <c r="D3" s="1370" t="s">
        <v>1450</v>
      </c>
      <c r="E3" s="1370" t="s">
        <v>1466</v>
      </c>
    </row>
    <row r="4" spans="1:12">
      <c r="A4" s="1371" t="s">
        <v>545</v>
      </c>
      <c r="B4" s="1412">
        <v>403778</v>
      </c>
      <c r="C4" s="1412">
        <v>335182</v>
      </c>
      <c r="D4" s="1436">
        <f t="shared" ref="D4:D12" si="0">+C4/B4</f>
        <v>0.83011456790612659</v>
      </c>
      <c r="E4" s="1437">
        <f t="shared" ref="E4:E12" si="1">+C4+B4</f>
        <v>738960</v>
      </c>
    </row>
    <row r="5" spans="1:12">
      <c r="A5" s="1371" t="s">
        <v>544</v>
      </c>
      <c r="B5" s="1412">
        <v>126550</v>
      </c>
      <c r="C5" s="1412">
        <v>130085</v>
      </c>
      <c r="D5" s="1436">
        <f t="shared" si="0"/>
        <v>1.0279336230738838</v>
      </c>
      <c r="E5" s="1437">
        <f t="shared" si="1"/>
        <v>256635</v>
      </c>
    </row>
    <row r="6" spans="1:12">
      <c r="A6" s="1371" t="s">
        <v>543</v>
      </c>
      <c r="B6" s="1412">
        <v>179756</v>
      </c>
      <c r="C6" s="1412">
        <v>112587</v>
      </c>
      <c r="D6" s="1436">
        <f t="shared" si="0"/>
        <v>0.62633236164578654</v>
      </c>
      <c r="E6" s="1437">
        <f t="shared" si="1"/>
        <v>292343</v>
      </c>
    </row>
    <row r="7" spans="1:12">
      <c r="A7" s="1371" t="s">
        <v>542</v>
      </c>
      <c r="B7" s="1412">
        <v>124996</v>
      </c>
      <c r="C7" s="1412">
        <v>107974</v>
      </c>
      <c r="D7" s="1436">
        <f t="shared" si="0"/>
        <v>0.86381964222855134</v>
      </c>
      <c r="E7" s="1437">
        <f t="shared" si="1"/>
        <v>232970</v>
      </c>
    </row>
    <row r="8" spans="1:12">
      <c r="A8" s="1371" t="s">
        <v>541</v>
      </c>
      <c r="B8" s="1412">
        <v>75291</v>
      </c>
      <c r="C8" s="1412">
        <v>85780</v>
      </c>
      <c r="D8" s="1436">
        <f t="shared" si="0"/>
        <v>1.1393127996706114</v>
      </c>
      <c r="E8" s="1437">
        <f t="shared" si="1"/>
        <v>161071</v>
      </c>
    </row>
    <row r="9" spans="1:12">
      <c r="A9" s="1371" t="s">
        <v>540</v>
      </c>
      <c r="B9" s="1412">
        <v>117102</v>
      </c>
      <c r="C9" s="1412">
        <v>85448</v>
      </c>
      <c r="D9" s="1436">
        <f t="shared" si="0"/>
        <v>0.72968864750388551</v>
      </c>
      <c r="E9" s="1437">
        <f t="shared" si="1"/>
        <v>202550</v>
      </c>
    </row>
    <row r="10" spans="1:12">
      <c r="A10" s="1371" t="s">
        <v>539</v>
      </c>
      <c r="B10" s="1412">
        <v>92676</v>
      </c>
      <c r="C10" s="1412">
        <v>117216</v>
      </c>
      <c r="D10" s="1436">
        <f t="shared" si="0"/>
        <v>1.264793474038586</v>
      </c>
      <c r="E10" s="1437">
        <f t="shared" si="1"/>
        <v>209892</v>
      </c>
    </row>
    <row r="11" spans="1:12">
      <c r="A11" s="1371" t="s">
        <v>538</v>
      </c>
      <c r="B11" s="1412">
        <v>65774</v>
      </c>
      <c r="C11" s="1412">
        <v>60826</v>
      </c>
      <c r="D11" s="1436">
        <f t="shared" si="0"/>
        <v>0.9247727065405783</v>
      </c>
      <c r="E11" s="1437">
        <f t="shared" si="1"/>
        <v>126600</v>
      </c>
    </row>
    <row r="12" spans="1:12">
      <c r="A12" s="1371" t="s">
        <v>537</v>
      </c>
      <c r="B12" s="1412">
        <v>135797</v>
      </c>
      <c r="C12" s="1412">
        <v>122056</v>
      </c>
      <c r="D12" s="1436">
        <f t="shared" si="0"/>
        <v>0.89881219761850406</v>
      </c>
      <c r="E12" s="1437">
        <f t="shared" si="1"/>
        <v>257853</v>
      </c>
    </row>
    <row r="13" spans="1:12">
      <c r="A13" s="1374" t="s">
        <v>1155</v>
      </c>
      <c r="B13" s="1415">
        <f>SUM(B4:B12)</f>
        <v>1321720</v>
      </c>
      <c r="C13" s="1415">
        <f>SUM(C4:C12)</f>
        <v>1157154</v>
      </c>
      <c r="D13" s="1438">
        <f>AVERAGE(D4:D12)</f>
        <v>0.9228422244696125</v>
      </c>
      <c r="E13" s="1415">
        <f>SUM(E4:E12)</f>
        <v>2478874</v>
      </c>
    </row>
  </sheetData>
  <mergeCells count="1">
    <mergeCell ref="A1:L1"/>
  </mergeCells>
  <pageMargins left="0.7" right="0.7" top="0.75" bottom="0.75" header="0.3" footer="0.3"/>
  <pageSetup scale="8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T30"/>
  <sheetViews>
    <sheetView showGridLines="0" view="pageBreakPreview" zoomScaleNormal="70" zoomScaleSheetLayoutView="100" workbookViewId="0">
      <selection activeCell="I11" sqref="I11"/>
    </sheetView>
  </sheetViews>
  <sheetFormatPr baseColWidth="10" defaultColWidth="11.42578125" defaultRowHeight="15"/>
  <cols>
    <col min="1" max="1" width="14.5703125" style="1439" customWidth="1"/>
    <col min="2" max="2" width="12.85546875" style="1439" customWidth="1"/>
    <col min="3" max="3" width="11.7109375" style="1439" customWidth="1"/>
    <col min="4" max="4" width="13.42578125" style="1439" customWidth="1"/>
    <col min="5" max="5" width="8.7109375" style="1439" customWidth="1"/>
    <col min="6" max="6" width="11.42578125" style="1439"/>
    <col min="7" max="7" width="9" style="1439" customWidth="1"/>
    <col min="8" max="9" width="11.42578125" style="1439"/>
    <col min="10" max="10" width="7.85546875" style="1439" customWidth="1"/>
    <col min="11" max="12" width="11.42578125" style="1439"/>
    <col min="13" max="13" width="7.85546875" style="1439" customWidth="1"/>
    <col min="14" max="16" width="11.42578125" style="1439"/>
    <col min="17" max="17" width="20.42578125" style="1439" bestFit="1" customWidth="1"/>
    <col min="18" max="18" width="19.7109375" style="1439" bestFit="1" customWidth="1"/>
    <col min="19" max="19" width="10.42578125" style="1439" customWidth="1"/>
    <col min="20" max="16384" width="11.42578125" style="1439"/>
  </cols>
  <sheetData>
    <row r="1" spans="1:20" ht="60" customHeight="1">
      <c r="A1" s="2406" t="s">
        <v>1623</v>
      </c>
      <c r="B1" s="2406"/>
      <c r="C1" s="2406"/>
      <c r="D1" s="2406"/>
      <c r="E1" s="2406"/>
      <c r="F1" s="2406"/>
      <c r="G1" s="2406"/>
      <c r="H1" s="2406"/>
      <c r="I1" s="2406"/>
      <c r="J1" s="2406"/>
      <c r="K1" s="2406"/>
      <c r="L1" s="2406"/>
      <c r="M1" s="2406"/>
    </row>
    <row r="2" spans="1:20" ht="3" customHeight="1"/>
    <row r="3" spans="1:20" ht="16.5" customHeight="1">
      <c r="A3" s="2407" t="s">
        <v>259</v>
      </c>
      <c r="B3" s="2409" t="s">
        <v>1143</v>
      </c>
      <c r="C3" s="2410"/>
      <c r="D3" s="2411"/>
      <c r="P3" s="1439">
        <f>+-1</f>
        <v>-1</v>
      </c>
    </row>
    <row r="4" spans="1:20">
      <c r="A4" s="2408"/>
      <c r="B4" s="1440" t="s">
        <v>55</v>
      </c>
      <c r="C4" s="1440" t="s">
        <v>54</v>
      </c>
      <c r="D4" s="1440" t="s">
        <v>23</v>
      </c>
    </row>
    <row r="5" spans="1:20" ht="15" customHeight="1">
      <c r="A5" s="1441" t="s">
        <v>451</v>
      </c>
      <c r="B5" s="1442">
        <v>4550</v>
      </c>
      <c r="C5" s="1442">
        <v>4787</v>
      </c>
      <c r="D5" s="1443">
        <f>+C5+B5</f>
        <v>9337</v>
      </c>
      <c r="E5" s="1444"/>
      <c r="P5" s="1445" t="s">
        <v>195</v>
      </c>
      <c r="Q5" s="1446" t="s">
        <v>55</v>
      </c>
      <c r="R5" s="1446" t="s">
        <v>54</v>
      </c>
      <c r="S5" s="1447"/>
      <c r="T5" s="1447"/>
    </row>
    <row r="6" spans="1:20">
      <c r="A6" s="1441" t="s">
        <v>1531</v>
      </c>
      <c r="B6" s="1442">
        <v>22450</v>
      </c>
      <c r="C6" s="1442">
        <v>23812</v>
      </c>
      <c r="D6" s="1443">
        <f t="shared" ref="D6:D24" si="0">+C6+B6</f>
        <v>46262</v>
      </c>
      <c r="E6" s="1444"/>
      <c r="P6" s="1448" t="str">
        <f>+A5</f>
        <v>0-1</v>
      </c>
      <c r="Q6" s="1442">
        <f>+B5</f>
        <v>4550</v>
      </c>
      <c r="R6" s="1449">
        <f t="shared" ref="R6:R25" si="1">+C5*$P$3</f>
        <v>-4787</v>
      </c>
      <c r="S6" s="1450"/>
      <c r="T6" s="1451"/>
    </row>
    <row r="7" spans="1:20" ht="16.5" customHeight="1">
      <c r="A7" s="1441" t="s">
        <v>908</v>
      </c>
      <c r="B7" s="1442">
        <v>72853</v>
      </c>
      <c r="C7" s="1442">
        <v>76241</v>
      </c>
      <c r="D7" s="1443">
        <f t="shared" si="0"/>
        <v>149094</v>
      </c>
      <c r="E7" s="1444"/>
      <c r="P7" s="1448" t="str">
        <f t="shared" ref="P7:Q23" si="2">+A6</f>
        <v>2-4</v>
      </c>
      <c r="Q7" s="1442">
        <f t="shared" si="2"/>
        <v>22450</v>
      </c>
      <c r="R7" s="1449">
        <f t="shared" si="1"/>
        <v>-23812</v>
      </c>
      <c r="S7" s="1450"/>
      <c r="T7" s="1451"/>
    </row>
    <row r="8" spans="1:20">
      <c r="A8" s="1441" t="s">
        <v>909</v>
      </c>
      <c r="B8" s="1442">
        <v>118610</v>
      </c>
      <c r="C8" s="1442">
        <v>123056</v>
      </c>
      <c r="D8" s="1443">
        <f t="shared" si="0"/>
        <v>241666</v>
      </c>
      <c r="E8" s="1444"/>
      <c r="P8" s="1448" t="str">
        <f t="shared" si="2"/>
        <v>5-9</v>
      </c>
      <c r="Q8" s="1442">
        <f t="shared" si="2"/>
        <v>72853</v>
      </c>
      <c r="R8" s="1449">
        <f t="shared" si="1"/>
        <v>-76241</v>
      </c>
      <c r="S8" s="1450"/>
      <c r="T8" s="1451"/>
    </row>
    <row r="9" spans="1:20">
      <c r="A9" s="1441" t="s">
        <v>143</v>
      </c>
      <c r="B9" s="1442">
        <v>121364</v>
      </c>
      <c r="C9" s="1442">
        <v>121721</v>
      </c>
      <c r="D9" s="1443">
        <f t="shared" si="0"/>
        <v>243085</v>
      </c>
      <c r="E9" s="1444"/>
      <c r="P9" s="1448" t="str">
        <f t="shared" si="2"/>
        <v>10-14</v>
      </c>
      <c r="Q9" s="1442">
        <f t="shared" si="2"/>
        <v>118610</v>
      </c>
      <c r="R9" s="1449">
        <f t="shared" si="1"/>
        <v>-123056</v>
      </c>
      <c r="S9" s="1450"/>
      <c r="T9" s="1451"/>
    </row>
    <row r="10" spans="1:20">
      <c r="A10" s="1441" t="s">
        <v>63</v>
      </c>
      <c r="B10" s="1442">
        <v>108538</v>
      </c>
      <c r="C10" s="1442">
        <v>78778</v>
      </c>
      <c r="D10" s="1443">
        <f t="shared" si="0"/>
        <v>187316</v>
      </c>
      <c r="E10" s="1444"/>
      <c r="P10" s="1448" t="str">
        <f t="shared" si="2"/>
        <v>15-19</v>
      </c>
      <c r="Q10" s="1442">
        <f t="shared" si="2"/>
        <v>121364</v>
      </c>
      <c r="R10" s="1449">
        <f t="shared" si="1"/>
        <v>-121721</v>
      </c>
      <c r="S10" s="1450"/>
      <c r="T10" s="1451"/>
    </row>
    <row r="11" spans="1:20">
      <c r="A11" s="1441" t="s">
        <v>64</v>
      </c>
      <c r="B11" s="1442">
        <v>100884</v>
      </c>
      <c r="C11" s="1442">
        <v>66998</v>
      </c>
      <c r="D11" s="1443">
        <f t="shared" si="0"/>
        <v>167882</v>
      </c>
      <c r="E11" s="1444"/>
      <c r="P11" s="1448" t="str">
        <f t="shared" si="2"/>
        <v>20-24</v>
      </c>
      <c r="Q11" s="1442">
        <f t="shared" si="2"/>
        <v>108538</v>
      </c>
      <c r="R11" s="1449">
        <f t="shared" si="1"/>
        <v>-78778</v>
      </c>
      <c r="S11" s="1450"/>
      <c r="T11" s="1451"/>
    </row>
    <row r="12" spans="1:20">
      <c r="A12" s="1441" t="s">
        <v>65</v>
      </c>
      <c r="B12" s="1442">
        <v>104370</v>
      </c>
      <c r="C12" s="1442">
        <v>67337</v>
      </c>
      <c r="D12" s="1443">
        <f t="shared" si="0"/>
        <v>171707</v>
      </c>
      <c r="E12" s="1444"/>
      <c r="P12" s="1448" t="str">
        <f t="shared" si="2"/>
        <v>25-29</v>
      </c>
      <c r="Q12" s="1442">
        <f t="shared" si="2"/>
        <v>100884</v>
      </c>
      <c r="R12" s="1449">
        <f t="shared" si="1"/>
        <v>-66998</v>
      </c>
      <c r="S12" s="1450"/>
      <c r="T12" s="1451"/>
    </row>
    <row r="13" spans="1:20">
      <c r="A13" s="1441" t="s">
        <v>66</v>
      </c>
      <c r="B13" s="1442">
        <v>106755</v>
      </c>
      <c r="C13" s="1442">
        <v>72594</v>
      </c>
      <c r="D13" s="1443">
        <f t="shared" si="0"/>
        <v>179349</v>
      </c>
      <c r="E13" s="1444"/>
      <c r="P13" s="1448" t="str">
        <f t="shared" si="2"/>
        <v>30-34</v>
      </c>
      <c r="Q13" s="1442">
        <f t="shared" si="2"/>
        <v>104370</v>
      </c>
      <c r="R13" s="1449">
        <f t="shared" si="1"/>
        <v>-67337</v>
      </c>
      <c r="S13" s="1450"/>
      <c r="T13" s="1451"/>
    </row>
    <row r="14" spans="1:20">
      <c r="A14" s="1441" t="s">
        <v>67</v>
      </c>
      <c r="B14" s="1442">
        <v>107611</v>
      </c>
      <c r="C14" s="1442">
        <v>77536</v>
      </c>
      <c r="D14" s="1443">
        <f t="shared" si="0"/>
        <v>185147</v>
      </c>
      <c r="E14" s="1444"/>
      <c r="P14" s="1448" t="str">
        <f t="shared" si="2"/>
        <v>35-39</v>
      </c>
      <c r="Q14" s="1442">
        <f t="shared" si="2"/>
        <v>106755</v>
      </c>
      <c r="R14" s="1449">
        <f t="shared" si="1"/>
        <v>-72594</v>
      </c>
      <c r="S14" s="1450"/>
      <c r="T14" s="1451"/>
    </row>
    <row r="15" spans="1:20">
      <c r="A15" s="1441" t="s">
        <v>68</v>
      </c>
      <c r="B15" s="1442">
        <v>99539</v>
      </c>
      <c r="C15" s="1442">
        <v>75299</v>
      </c>
      <c r="D15" s="1443">
        <f t="shared" si="0"/>
        <v>174838</v>
      </c>
      <c r="E15" s="1444"/>
      <c r="P15" s="1448" t="str">
        <f t="shared" si="2"/>
        <v>40-44</v>
      </c>
      <c r="Q15" s="1442">
        <f t="shared" si="2"/>
        <v>107611</v>
      </c>
      <c r="R15" s="1449">
        <f t="shared" si="1"/>
        <v>-77536</v>
      </c>
      <c r="S15" s="1450"/>
      <c r="T15" s="1451"/>
    </row>
    <row r="16" spans="1:20">
      <c r="A16" s="1441" t="s">
        <v>69</v>
      </c>
      <c r="B16" s="1442">
        <v>85644</v>
      </c>
      <c r="C16" s="1442">
        <v>66993</v>
      </c>
      <c r="D16" s="1443">
        <f t="shared" si="0"/>
        <v>152637</v>
      </c>
      <c r="P16" s="1448" t="str">
        <f t="shared" si="2"/>
        <v>45-49</v>
      </c>
      <c r="Q16" s="1442">
        <f t="shared" si="2"/>
        <v>99539</v>
      </c>
      <c r="R16" s="1449">
        <f t="shared" si="1"/>
        <v>-75299</v>
      </c>
      <c r="S16" s="1450"/>
      <c r="T16" s="1451"/>
    </row>
    <row r="17" spans="1:18">
      <c r="A17" s="1441" t="s">
        <v>70</v>
      </c>
      <c r="B17" s="1442">
        <v>74006</v>
      </c>
      <c r="C17" s="1442">
        <v>57932</v>
      </c>
      <c r="D17" s="1443">
        <f t="shared" si="0"/>
        <v>131938</v>
      </c>
      <c r="P17" s="1448" t="str">
        <f t="shared" si="2"/>
        <v>50-54</v>
      </c>
      <c r="Q17" s="1442">
        <f t="shared" si="2"/>
        <v>85644</v>
      </c>
      <c r="R17" s="1449">
        <f t="shared" si="1"/>
        <v>-66993</v>
      </c>
    </row>
    <row r="18" spans="1:18">
      <c r="A18" s="1441" t="s">
        <v>71</v>
      </c>
      <c r="B18" s="1442">
        <v>65513</v>
      </c>
      <c r="C18" s="1442">
        <v>49819</v>
      </c>
      <c r="D18" s="1443">
        <f t="shared" si="0"/>
        <v>115332</v>
      </c>
      <c r="P18" s="1448" t="str">
        <f t="shared" si="2"/>
        <v>55-59</v>
      </c>
      <c r="Q18" s="1442">
        <f t="shared" si="2"/>
        <v>74006</v>
      </c>
      <c r="R18" s="1449">
        <f t="shared" si="1"/>
        <v>-57932</v>
      </c>
    </row>
    <row r="19" spans="1:18">
      <c r="A19" s="1441" t="s">
        <v>144</v>
      </c>
      <c r="B19" s="1442">
        <v>51865</v>
      </c>
      <c r="C19" s="1442">
        <v>41951</v>
      </c>
      <c r="D19" s="1443">
        <f t="shared" si="0"/>
        <v>93816</v>
      </c>
      <c r="P19" s="1448" t="str">
        <f t="shared" si="2"/>
        <v>60-64</v>
      </c>
      <c r="Q19" s="1442">
        <f t="shared" si="2"/>
        <v>65513</v>
      </c>
      <c r="R19" s="1449">
        <f t="shared" si="1"/>
        <v>-49819</v>
      </c>
    </row>
    <row r="20" spans="1:18">
      <c r="A20" s="1441" t="s">
        <v>145</v>
      </c>
      <c r="B20" s="1442">
        <v>43710</v>
      </c>
      <c r="C20" s="1442">
        <v>35500</v>
      </c>
      <c r="D20" s="1443">
        <f t="shared" si="0"/>
        <v>79210</v>
      </c>
      <c r="P20" s="1448" t="str">
        <f t="shared" si="2"/>
        <v>65-69</v>
      </c>
      <c r="Q20" s="1442">
        <f t="shared" si="2"/>
        <v>51865</v>
      </c>
      <c r="R20" s="1449">
        <f t="shared" si="1"/>
        <v>-41951</v>
      </c>
    </row>
    <row r="21" spans="1:18">
      <c r="A21" s="1441" t="s">
        <v>146</v>
      </c>
      <c r="B21" s="1442">
        <v>35165</v>
      </c>
      <c r="C21" s="1442">
        <v>26668</v>
      </c>
      <c r="D21" s="1443">
        <f t="shared" si="0"/>
        <v>61833</v>
      </c>
      <c r="P21" s="1448" t="str">
        <f t="shared" si="2"/>
        <v>70-74</v>
      </c>
      <c r="Q21" s="1442">
        <f t="shared" si="2"/>
        <v>43710</v>
      </c>
      <c r="R21" s="1449">
        <f t="shared" si="1"/>
        <v>-35500</v>
      </c>
    </row>
    <row r="22" spans="1:18">
      <c r="A22" s="1441" t="s">
        <v>147</v>
      </c>
      <c r="B22" s="1442">
        <v>24697</v>
      </c>
      <c r="C22" s="1442">
        <v>20483</v>
      </c>
      <c r="D22" s="1443">
        <f t="shared" si="0"/>
        <v>45180</v>
      </c>
      <c r="P22" s="1448" t="str">
        <f t="shared" si="2"/>
        <v>75-79</v>
      </c>
      <c r="Q22" s="1442">
        <f t="shared" si="2"/>
        <v>35165</v>
      </c>
      <c r="R22" s="1449">
        <f t="shared" si="1"/>
        <v>-26668</v>
      </c>
    </row>
    <row r="23" spans="1:18">
      <c r="A23" s="1441" t="s">
        <v>1492</v>
      </c>
      <c r="B23" s="1442">
        <v>23101</v>
      </c>
      <c r="C23" s="1442">
        <v>20118</v>
      </c>
      <c r="D23" s="1443">
        <f t="shared" si="0"/>
        <v>43219</v>
      </c>
      <c r="P23" s="1448" t="str">
        <f t="shared" si="2"/>
        <v>80-84</v>
      </c>
      <c r="Q23" s="1442">
        <f t="shared" si="2"/>
        <v>24697</v>
      </c>
      <c r="R23" s="1449">
        <f t="shared" si="1"/>
        <v>-20483</v>
      </c>
    </row>
    <row r="24" spans="1:18">
      <c r="A24" s="1441" t="s">
        <v>711</v>
      </c>
      <c r="B24" s="1442">
        <v>10</v>
      </c>
      <c r="C24" s="1442">
        <v>16</v>
      </c>
      <c r="D24" s="1443">
        <f t="shared" si="0"/>
        <v>26</v>
      </c>
      <c r="P24" s="1448" t="str">
        <f>+A23</f>
        <v>85+</v>
      </c>
      <c r="Q24" s="1442">
        <f>+B23</f>
        <v>23101</v>
      </c>
      <c r="R24" s="1449">
        <f t="shared" si="1"/>
        <v>-20118</v>
      </c>
    </row>
    <row r="25" spans="1:18">
      <c r="A25" s="1441" t="s">
        <v>23</v>
      </c>
      <c r="B25" s="1443">
        <f>+B24+B23+B22+B21+B20+B19+B18+B17+B16+B15+B14+B13+B12+B11+B10+B9+B8+B7+B6+B5</f>
        <v>1371235</v>
      </c>
      <c r="C25" s="1443">
        <f>+C24+C23+C22+C21+C20+C19+C18+C17+C16+C15+C14+C13+C12+C11+C10+C9+C8+C7+C6+C5</f>
        <v>1107639</v>
      </c>
      <c r="D25" s="1443">
        <f>+D24+D23+D22+D21+D20+D19+D18+D17+D16+D15+D14+D13+D12+D11+D10+D9+D8+D7+D6+D5</f>
        <v>2478874</v>
      </c>
      <c r="P25" s="1448" t="str">
        <f>+A24</f>
        <v>No especificado</v>
      </c>
      <c r="Q25" s="1442">
        <f>+B24</f>
        <v>10</v>
      </c>
      <c r="R25" s="1449">
        <f t="shared" si="1"/>
        <v>-16</v>
      </c>
    </row>
    <row r="27" spans="1:18">
      <c r="Q27" s="1439">
        <f>SUM(Q6:Q26)</f>
        <v>1371235</v>
      </c>
      <c r="R27" s="1439">
        <f>SUM(R6:R26)</f>
        <v>-1107639</v>
      </c>
    </row>
    <row r="30" spans="1:18">
      <c r="R30" s="1439">
        <f>+Q27-R27</f>
        <v>2478874</v>
      </c>
    </row>
  </sheetData>
  <mergeCells count="3">
    <mergeCell ref="A1:M1"/>
    <mergeCell ref="A3:A4"/>
    <mergeCell ref="B3:D3"/>
  </mergeCells>
  <pageMargins left="0.7" right="0.7" top="0.75" bottom="0.75" header="0.3" footer="0.3"/>
  <pageSetup scale="6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39997558519241921"/>
  </sheetPr>
  <dimension ref="A1:X86"/>
  <sheetViews>
    <sheetView showGridLines="0" view="pageBreakPreview" zoomScale="70" zoomScaleNormal="85" zoomScaleSheetLayoutView="70" workbookViewId="0">
      <selection sqref="A1:M1"/>
    </sheetView>
  </sheetViews>
  <sheetFormatPr baseColWidth="10" defaultColWidth="11.42578125" defaultRowHeight="15"/>
  <cols>
    <col min="1" max="1" width="19.140625" style="1297" customWidth="1"/>
    <col min="2" max="2" width="19.5703125" style="1297" customWidth="1"/>
    <col min="3" max="3" width="20.140625" style="1297" customWidth="1"/>
    <col min="4" max="4" width="17.28515625" style="1297" customWidth="1"/>
    <col min="5" max="5" width="21.5703125" style="1297" customWidth="1"/>
    <col min="6" max="6" width="18.5703125" style="1297" customWidth="1"/>
    <col min="7" max="7" width="20.85546875" style="1297" customWidth="1"/>
    <col min="8" max="8" width="13.42578125" style="1297" bestFit="1" customWidth="1"/>
    <col min="9" max="9" width="19.140625" style="1297" customWidth="1"/>
    <col min="10" max="10" width="11.42578125" style="1297" bestFit="1" customWidth="1"/>
    <col min="11" max="11" width="14.42578125" style="1297" customWidth="1"/>
    <col min="12" max="12" width="11.140625" style="1297" bestFit="1" customWidth="1"/>
    <col min="13" max="13" width="14.140625" style="1297" customWidth="1"/>
    <col min="14" max="14" width="14.28515625" style="1297" customWidth="1"/>
    <col min="15" max="15" width="8.7109375" style="1297" customWidth="1"/>
    <col min="16" max="16" width="8.28515625" style="1297" customWidth="1"/>
    <col min="17" max="17" width="8.42578125" style="1297" customWidth="1"/>
    <col min="18" max="18" width="7.85546875" style="1297" customWidth="1"/>
    <col min="19" max="19" width="7.7109375" style="1297" bestFit="1" customWidth="1"/>
    <col min="20" max="20" width="9.28515625" style="1297" bestFit="1" customWidth="1"/>
    <col min="21" max="21" width="6.85546875" style="1297" customWidth="1"/>
    <col min="22" max="22" width="7.5703125" style="1297" customWidth="1"/>
    <col min="23" max="23" width="8.140625" style="1297" customWidth="1"/>
    <col min="24" max="16384" width="11.42578125" style="1297"/>
  </cols>
  <sheetData>
    <row r="1" spans="1:24" ht="66" customHeight="1">
      <c r="A1" s="2412" t="s">
        <v>1532</v>
      </c>
      <c r="B1" s="2412"/>
      <c r="C1" s="2412"/>
      <c r="D1" s="2412"/>
      <c r="E1" s="2412"/>
      <c r="F1" s="2412"/>
      <c r="G1" s="2412"/>
      <c r="H1" s="2412"/>
      <c r="I1" s="2412"/>
      <c r="J1" s="2412"/>
      <c r="K1" s="2412"/>
      <c r="L1" s="2412"/>
      <c r="M1" s="2412"/>
      <c r="N1" s="1452"/>
      <c r="O1" s="1452"/>
      <c r="P1" s="1452"/>
      <c r="Q1" s="1452"/>
      <c r="R1" s="1452"/>
      <c r="S1" s="1452"/>
      <c r="T1" s="1452"/>
      <c r="U1" s="1452"/>
      <c r="V1" s="1452"/>
      <c r="W1" s="1452"/>
      <c r="X1" s="1452"/>
    </row>
    <row r="2" spans="1:24" ht="3.75" customHeight="1"/>
    <row r="3" spans="1:24" s="1457" customFormat="1" ht="51" customHeight="1">
      <c r="A3" s="1453" t="s">
        <v>1024</v>
      </c>
      <c r="B3" s="1454" t="s">
        <v>1533</v>
      </c>
      <c r="C3" s="1454" t="s">
        <v>1534</v>
      </c>
      <c r="D3" s="1455" t="s">
        <v>1535</v>
      </c>
      <c r="E3" s="1456" t="s">
        <v>1536</v>
      </c>
      <c r="F3" s="1456" t="s">
        <v>1537</v>
      </c>
    </row>
    <row r="4" spans="1:24">
      <c r="A4" s="1458" t="s">
        <v>1451</v>
      </c>
      <c r="B4" s="1459">
        <v>974622</v>
      </c>
      <c r="C4" s="1460">
        <f t="shared" ref="C4:C12" si="0">+D4/B4</f>
        <v>0.75820164125168532</v>
      </c>
      <c r="D4" s="1459">
        <v>738960</v>
      </c>
      <c r="E4" s="1459">
        <f>105909+478533+32172+80579+26545+167823</f>
        <v>891561</v>
      </c>
      <c r="F4" s="1461">
        <f>+D4/E4</f>
        <v>0.82883840814032916</v>
      </c>
    </row>
    <row r="5" spans="1:24">
      <c r="A5" s="1458" t="s">
        <v>1452</v>
      </c>
      <c r="B5" s="1459">
        <v>518134</v>
      </c>
      <c r="C5" s="1460">
        <f t="shared" si="0"/>
        <v>0.49530623352260228</v>
      </c>
      <c r="D5" s="1459">
        <v>256635</v>
      </c>
      <c r="E5" s="1459">
        <f>32121+176287+27548+69079+16263+60012+10413+22366</f>
        <v>414089</v>
      </c>
      <c r="F5" s="1461">
        <f t="shared" ref="F5:F12" si="1">+D5/E5</f>
        <v>0.61975807133249128</v>
      </c>
    </row>
    <row r="6" spans="1:24">
      <c r="A6" s="1458" t="s">
        <v>1453</v>
      </c>
      <c r="B6" s="1459">
        <v>510087</v>
      </c>
      <c r="C6" s="1460">
        <f t="shared" si="0"/>
        <v>0.57312380044972722</v>
      </c>
      <c r="D6" s="1459">
        <v>292343</v>
      </c>
      <c r="E6" s="1459">
        <f>32446+222645+10645+73612+15215+71229</f>
        <v>425792</v>
      </c>
      <c r="F6" s="1461">
        <f t="shared" si="1"/>
        <v>0.68658640838719376</v>
      </c>
    </row>
    <row r="7" spans="1:24">
      <c r="A7" s="1458" t="s">
        <v>1454</v>
      </c>
      <c r="B7" s="1459">
        <v>325986</v>
      </c>
      <c r="C7" s="1460">
        <f t="shared" si="0"/>
        <v>0.71466259287208656</v>
      </c>
      <c r="D7" s="1459">
        <v>232970</v>
      </c>
      <c r="E7" s="1459">
        <f>15616+90772+7803+43237+4910+31466+5760+34794</f>
        <v>234358</v>
      </c>
      <c r="F7" s="1461">
        <f t="shared" si="1"/>
        <v>0.99407743708343643</v>
      </c>
    </row>
    <row r="8" spans="1:24">
      <c r="A8" s="1458" t="s">
        <v>1455</v>
      </c>
      <c r="B8" s="1459">
        <v>248034</v>
      </c>
      <c r="C8" s="1460">
        <f t="shared" si="0"/>
        <v>0.64939080932452808</v>
      </c>
      <c r="D8" s="1459">
        <v>161071</v>
      </c>
      <c r="E8" s="1459">
        <f>31131+64574+22403+32376+4591+7043+8546+16236</f>
        <v>186900</v>
      </c>
      <c r="F8" s="1461">
        <f t="shared" si="1"/>
        <v>0.8618031032637774</v>
      </c>
    </row>
    <row r="9" spans="1:24">
      <c r="A9" s="1458" t="s">
        <v>1456</v>
      </c>
      <c r="B9" s="1459">
        <v>494058</v>
      </c>
      <c r="C9" s="1460">
        <f t="shared" si="0"/>
        <v>0.40997210853786398</v>
      </c>
      <c r="D9" s="1459">
        <v>202550</v>
      </c>
      <c r="E9" s="1459">
        <f>21792+86847+15333+65676+19884+24691+12896+28131+13463+58586</f>
        <v>347299</v>
      </c>
      <c r="F9" s="1461">
        <f t="shared" si="1"/>
        <v>0.58321503949046782</v>
      </c>
    </row>
    <row r="10" spans="1:24">
      <c r="A10" s="1458" t="s">
        <v>1457</v>
      </c>
      <c r="B10" s="1459">
        <v>215498</v>
      </c>
      <c r="C10" s="1460">
        <f t="shared" si="0"/>
        <v>0.97398583745556799</v>
      </c>
      <c r="D10" s="1459">
        <v>209892</v>
      </c>
      <c r="E10" s="1459">
        <f>36578+81470+15736+14021</f>
        <v>147805</v>
      </c>
      <c r="F10" s="1461">
        <f t="shared" si="1"/>
        <v>1.4200602144717702</v>
      </c>
    </row>
    <row r="11" spans="1:24">
      <c r="A11" s="1458" t="s">
        <v>1458</v>
      </c>
      <c r="B11" s="1459">
        <v>215844</v>
      </c>
      <c r="C11" s="1460">
        <f t="shared" si="0"/>
        <v>0.58653471951965308</v>
      </c>
      <c r="D11" s="1459">
        <v>126600</v>
      </c>
      <c r="E11" s="1459">
        <f>17646+57494+5466+19766+6301+24391+15162+36547</f>
        <v>182773</v>
      </c>
      <c r="F11" s="1461">
        <f t="shared" si="1"/>
        <v>0.69266248297067945</v>
      </c>
    </row>
    <row r="12" spans="1:24">
      <c r="A12" s="1458" t="s">
        <v>1459</v>
      </c>
      <c r="B12" s="1459">
        <v>313429</v>
      </c>
      <c r="C12" s="1460">
        <f t="shared" si="0"/>
        <v>0.82268392522708489</v>
      </c>
      <c r="D12" s="1459">
        <v>257853</v>
      </c>
      <c r="E12" s="1459">
        <f>13727+113490+9425+53638+3205+31312</f>
        <v>224797</v>
      </c>
      <c r="F12" s="1461">
        <f t="shared" si="1"/>
        <v>1.1470482257325498</v>
      </c>
    </row>
    <row r="13" spans="1:24">
      <c r="A13" s="1462" t="s">
        <v>1155</v>
      </c>
      <c r="B13" s="1463">
        <f>SUM(B4:B12)</f>
        <v>3815692</v>
      </c>
      <c r="C13" s="1463"/>
      <c r="D13" s="1463">
        <f>SUM(D4:D12)</f>
        <v>2478874</v>
      </c>
      <c r="E13" s="1463">
        <f>SUM(E4:E12)</f>
        <v>3055374</v>
      </c>
      <c r="F13" s="1463"/>
    </row>
    <row r="53" spans="5:14" ht="47.25">
      <c r="E53" s="1464" t="s">
        <v>1538</v>
      </c>
      <c r="F53" s="1464" t="s">
        <v>1539</v>
      </c>
      <c r="G53" s="1464" t="s">
        <v>1540</v>
      </c>
      <c r="H53" s="1464" t="s">
        <v>1541</v>
      </c>
      <c r="I53" s="1465" t="s">
        <v>1542</v>
      </c>
      <c r="J53" s="1464" t="s">
        <v>1543</v>
      </c>
      <c r="K53" s="1464" t="s">
        <v>1544</v>
      </c>
      <c r="L53" s="1464" t="s">
        <v>1545</v>
      </c>
      <c r="M53" s="1464" t="s">
        <v>1546</v>
      </c>
      <c r="N53" s="1464" t="s">
        <v>1547</v>
      </c>
    </row>
    <row r="54" spans="5:14" ht="15.75" hidden="1">
      <c r="E54" s="1466" t="s">
        <v>545</v>
      </c>
      <c r="F54" s="1467" t="s">
        <v>560</v>
      </c>
      <c r="G54" s="1468">
        <v>116763</v>
      </c>
      <c r="H54" s="1469">
        <v>185956</v>
      </c>
      <c r="I54" s="1470">
        <v>0.73299999999999998</v>
      </c>
      <c r="J54" s="1471">
        <v>0.23400000000000001</v>
      </c>
      <c r="K54" s="1471">
        <v>0.20899999999999999</v>
      </c>
      <c r="L54" s="1469">
        <f t="shared" ref="L54:L85" si="2">+I54*H54</f>
        <v>136305.74799999999</v>
      </c>
      <c r="M54" s="1472">
        <v>89384</v>
      </c>
      <c r="N54" s="1473">
        <f t="shared" ref="N54:N85" si="3">+M54/L54</f>
        <v>0.6557610468488827</v>
      </c>
    </row>
    <row r="55" spans="5:14" ht="15.75" hidden="1">
      <c r="E55" s="1466" t="s">
        <v>545</v>
      </c>
      <c r="F55" s="1466" t="s">
        <v>156</v>
      </c>
      <c r="G55" s="1468">
        <v>763476</v>
      </c>
      <c r="H55" s="1469">
        <v>2374370</v>
      </c>
      <c r="I55" s="1470">
        <v>0.27300000000000002</v>
      </c>
      <c r="J55" s="1470">
        <v>0.04</v>
      </c>
      <c r="K55" s="1474"/>
      <c r="L55" s="1469">
        <f t="shared" si="2"/>
        <v>648203.01</v>
      </c>
      <c r="M55" s="1472">
        <v>424739</v>
      </c>
      <c r="N55" s="1473">
        <f t="shared" si="3"/>
        <v>0.65525613649958214</v>
      </c>
    </row>
    <row r="56" spans="5:14" ht="15.75" hidden="1">
      <c r="E56" s="1475" t="s">
        <v>545</v>
      </c>
      <c r="F56" s="1475" t="s">
        <v>155</v>
      </c>
      <c r="G56" s="1468">
        <v>325372</v>
      </c>
      <c r="H56" s="1469">
        <v>965040</v>
      </c>
      <c r="I56" s="1470">
        <v>0.19700000000000001</v>
      </c>
      <c r="J56" s="1476">
        <v>1.0999999999999999E-2</v>
      </c>
      <c r="K56" s="1474"/>
      <c r="L56" s="1469">
        <f t="shared" si="2"/>
        <v>190112.88</v>
      </c>
      <c r="M56" s="1472">
        <v>168820</v>
      </c>
      <c r="N56" s="1473">
        <f t="shared" si="3"/>
        <v>0.88799875105779258</v>
      </c>
    </row>
    <row r="57" spans="5:14" ht="15.75" hidden="1">
      <c r="E57" s="1477" t="s">
        <v>1510</v>
      </c>
      <c r="F57" s="1477" t="s">
        <v>1525</v>
      </c>
      <c r="G57" s="1468">
        <v>20656</v>
      </c>
      <c r="H57" s="1469">
        <v>59544</v>
      </c>
      <c r="I57" s="1470">
        <v>0.66200000000000003</v>
      </c>
      <c r="J57" s="1476">
        <v>0.248</v>
      </c>
      <c r="K57" s="1471">
        <v>0.22900000000000001</v>
      </c>
      <c r="L57" s="1469">
        <f t="shared" si="2"/>
        <v>39418.128000000004</v>
      </c>
      <c r="M57" s="1472">
        <v>28624</v>
      </c>
      <c r="N57" s="1473">
        <f t="shared" si="3"/>
        <v>0.72616335306435653</v>
      </c>
    </row>
    <row r="58" spans="5:14" ht="15.75" hidden="1">
      <c r="E58" s="1477" t="s">
        <v>1510</v>
      </c>
      <c r="F58" s="1477" t="s">
        <v>573</v>
      </c>
      <c r="G58" s="1468">
        <v>64043</v>
      </c>
      <c r="H58" s="1469">
        <v>214311</v>
      </c>
      <c r="I58" s="1470">
        <v>0.62</v>
      </c>
      <c r="J58" s="1476">
        <v>0.216</v>
      </c>
      <c r="K58" s="1476">
        <v>2.1000000000000001E-2</v>
      </c>
      <c r="L58" s="1469">
        <f t="shared" si="2"/>
        <v>132872.82</v>
      </c>
      <c r="M58" s="1472">
        <v>78539</v>
      </c>
      <c r="N58" s="1473">
        <f t="shared" si="3"/>
        <v>0.59108401552702794</v>
      </c>
    </row>
    <row r="59" spans="5:14" ht="15.75" hidden="1">
      <c r="E59" s="1477" t="s">
        <v>1510</v>
      </c>
      <c r="F59" s="1477" t="s">
        <v>553</v>
      </c>
      <c r="G59" s="1468">
        <v>167868</v>
      </c>
      <c r="H59" s="1469">
        <v>569930</v>
      </c>
      <c r="I59" s="1470">
        <v>0.45899999999999996</v>
      </c>
      <c r="J59" s="1476">
        <v>6.0400000000000002E-2</v>
      </c>
      <c r="K59" s="1476">
        <v>6.4000000000000001E-2</v>
      </c>
      <c r="L59" s="1469">
        <f t="shared" si="2"/>
        <v>261597.86999999997</v>
      </c>
      <c r="M59" s="1472">
        <v>150699</v>
      </c>
      <c r="N59" s="1473">
        <f t="shared" si="3"/>
        <v>0.57607120424948421</v>
      </c>
    </row>
    <row r="60" spans="5:14" ht="15.75" hidden="1">
      <c r="E60" s="1477" t="s">
        <v>1510</v>
      </c>
      <c r="F60" s="1477" t="s">
        <v>1523</v>
      </c>
      <c r="G60" s="1468">
        <v>59261</v>
      </c>
      <c r="H60" s="1469">
        <v>184344</v>
      </c>
      <c r="I60" s="1470">
        <v>0.45700000000000002</v>
      </c>
      <c r="J60" s="1476">
        <v>7.3999999999999996E-2</v>
      </c>
      <c r="K60" s="1476">
        <v>7.0000000000000007E-2</v>
      </c>
      <c r="L60" s="1469">
        <f t="shared" si="2"/>
        <v>84245.207999999999</v>
      </c>
      <c r="M60" s="1472">
        <v>55274</v>
      </c>
      <c r="N60" s="1473">
        <f t="shared" si="3"/>
        <v>0.656108534980411</v>
      </c>
    </row>
    <row r="61" spans="5:14" ht="15.75" hidden="1">
      <c r="E61" s="1477" t="s">
        <v>1516</v>
      </c>
      <c r="F61" s="1477" t="s">
        <v>1524</v>
      </c>
      <c r="G61" s="1468">
        <v>116763</v>
      </c>
      <c r="H61" s="1469">
        <v>321597</v>
      </c>
      <c r="I61" s="1470">
        <v>0.44700000000000001</v>
      </c>
      <c r="J61" s="1476">
        <v>8.5000000000000006E-2</v>
      </c>
      <c r="K61" s="1476">
        <v>0.08</v>
      </c>
      <c r="L61" s="1469">
        <f t="shared" si="2"/>
        <v>143753.859</v>
      </c>
      <c r="M61" s="1472">
        <v>69692</v>
      </c>
      <c r="N61" s="1473">
        <f t="shared" si="3"/>
        <v>0.48480089845796764</v>
      </c>
    </row>
    <row r="62" spans="5:14" ht="15.75" hidden="1">
      <c r="E62" s="1477" t="s">
        <v>1516</v>
      </c>
      <c r="F62" s="1477" t="s">
        <v>567</v>
      </c>
      <c r="G62" s="1468">
        <v>73279</v>
      </c>
      <c r="H62" s="1469">
        <v>231938</v>
      </c>
      <c r="I62" s="1470">
        <v>0.433</v>
      </c>
      <c r="J62" s="1476">
        <v>5.5E-2</v>
      </c>
      <c r="K62" s="1476">
        <v>4.8000000000000001E-2</v>
      </c>
      <c r="L62" s="1469">
        <f t="shared" si="2"/>
        <v>100429.15399999999</v>
      </c>
      <c r="M62" s="1472">
        <v>58121</v>
      </c>
      <c r="N62" s="1473">
        <f t="shared" si="3"/>
        <v>0.57872637262283422</v>
      </c>
    </row>
    <row r="63" spans="5:14" ht="15.75" hidden="1">
      <c r="E63" s="1477" t="s">
        <v>1516</v>
      </c>
      <c r="F63" s="1477" t="s">
        <v>1528</v>
      </c>
      <c r="G63" s="1468">
        <v>331792</v>
      </c>
      <c r="H63" s="1469">
        <v>963422</v>
      </c>
      <c r="I63" s="1470">
        <v>0.27600000000000002</v>
      </c>
      <c r="J63" s="1471">
        <v>3.1E-2</v>
      </c>
      <c r="K63" s="1474"/>
      <c r="L63" s="1469">
        <f t="shared" si="2"/>
        <v>265904.47200000001</v>
      </c>
      <c r="M63" s="1472">
        <v>127556</v>
      </c>
      <c r="N63" s="1473">
        <f t="shared" si="3"/>
        <v>0.47970611039591693</v>
      </c>
    </row>
    <row r="64" spans="5:14" ht="15.75">
      <c r="E64" s="1477" t="s">
        <v>1513</v>
      </c>
      <c r="F64" s="1477" t="s">
        <v>1548</v>
      </c>
      <c r="G64" s="1468">
        <v>36621</v>
      </c>
      <c r="H64" s="1469">
        <v>101494</v>
      </c>
      <c r="I64" s="1470">
        <v>0.56000000000000005</v>
      </c>
      <c r="J64" s="1471">
        <v>8.7999999999999995E-2</v>
      </c>
      <c r="K64" s="1476">
        <v>0.08</v>
      </c>
      <c r="L64" s="1469">
        <f t="shared" si="2"/>
        <v>56836.640000000007</v>
      </c>
      <c r="M64" s="1472">
        <v>27728</v>
      </c>
      <c r="N64" s="1473">
        <f t="shared" si="3"/>
        <v>0.48785431369623533</v>
      </c>
    </row>
    <row r="65" spans="5:14" ht="31.5">
      <c r="E65" s="1477" t="s">
        <v>1513</v>
      </c>
      <c r="F65" s="1477" t="s">
        <v>562</v>
      </c>
      <c r="G65" s="1468">
        <v>46452</v>
      </c>
      <c r="H65" s="1469">
        <v>140925</v>
      </c>
      <c r="I65" s="1470">
        <v>0.54200000000000004</v>
      </c>
      <c r="J65" s="1476">
        <v>9.1999999999999998E-2</v>
      </c>
      <c r="K65" s="1476">
        <v>8.3000000000000004E-2</v>
      </c>
      <c r="L65" s="1469">
        <f t="shared" si="2"/>
        <v>76381.350000000006</v>
      </c>
      <c r="M65" s="1472">
        <v>50425</v>
      </c>
      <c r="N65" s="1473">
        <f t="shared" si="3"/>
        <v>0.66017424410540004</v>
      </c>
    </row>
    <row r="66" spans="5:14" ht="31.5">
      <c r="E66" s="1477" t="s">
        <v>1513</v>
      </c>
      <c r="F66" s="1477" t="s">
        <v>896</v>
      </c>
      <c r="G66" s="1468">
        <v>30560</v>
      </c>
      <c r="H66" s="1469">
        <v>92193</v>
      </c>
      <c r="I66" s="1470">
        <v>0.53299999999999992</v>
      </c>
      <c r="J66" s="1476">
        <v>7.6999999999999999E-2</v>
      </c>
      <c r="K66" s="1476">
        <v>7.2300000000000003E-2</v>
      </c>
      <c r="L66" s="1469">
        <f t="shared" si="2"/>
        <v>49138.868999999992</v>
      </c>
      <c r="M66" s="1472">
        <v>33578</v>
      </c>
      <c r="N66" s="1473">
        <f t="shared" si="3"/>
        <v>0.68332871071981749</v>
      </c>
    </row>
    <row r="67" spans="5:14" ht="15.75">
      <c r="E67" s="1477" t="s">
        <v>1513</v>
      </c>
      <c r="F67" s="1477" t="s">
        <v>569</v>
      </c>
      <c r="G67" s="1468">
        <v>95261</v>
      </c>
      <c r="H67" s="1469">
        <v>289574</v>
      </c>
      <c r="I67" s="1470">
        <v>0.496</v>
      </c>
      <c r="J67" s="1471">
        <v>6.8000000000000005E-2</v>
      </c>
      <c r="K67" s="1476">
        <v>6.2E-2</v>
      </c>
      <c r="L67" s="1469">
        <f t="shared" si="2"/>
        <v>143628.704</v>
      </c>
      <c r="M67" s="1472">
        <v>96343</v>
      </c>
      <c r="N67" s="1473">
        <f t="shared" si="3"/>
        <v>0.67077817537085072</v>
      </c>
    </row>
    <row r="68" spans="5:14" ht="15.75" hidden="1">
      <c r="E68" s="1477" t="s">
        <v>1511</v>
      </c>
      <c r="F68" s="1477" t="s">
        <v>1549</v>
      </c>
      <c r="G68" s="1468">
        <v>26060</v>
      </c>
      <c r="H68" s="1469">
        <v>97313</v>
      </c>
      <c r="I68" s="1470">
        <v>0.75599999999999989</v>
      </c>
      <c r="J68" s="1476">
        <v>0.316</v>
      </c>
      <c r="K68" s="1476">
        <v>3.0200000000000001E-2</v>
      </c>
      <c r="L68" s="1469">
        <f t="shared" si="2"/>
        <v>73568.627999999997</v>
      </c>
      <c r="M68" s="1472">
        <v>46117</v>
      </c>
      <c r="N68" s="1473">
        <f t="shared" si="3"/>
        <v>0.62685687165458626</v>
      </c>
    </row>
    <row r="69" spans="5:14" ht="15.75" hidden="1">
      <c r="E69" s="1477" t="s">
        <v>1511</v>
      </c>
      <c r="F69" s="1477" t="s">
        <v>1517</v>
      </c>
      <c r="G69" s="1468">
        <v>14516</v>
      </c>
      <c r="H69" s="1469">
        <v>52589</v>
      </c>
      <c r="I69" s="1470">
        <v>0.70200000000000007</v>
      </c>
      <c r="J69" s="1476">
        <v>0.23899999999999999</v>
      </c>
      <c r="K69" s="1476">
        <v>2.2499999999999999E-2</v>
      </c>
      <c r="L69" s="1469">
        <f t="shared" si="2"/>
        <v>36917.478000000003</v>
      </c>
      <c r="M69" s="1472">
        <v>17988</v>
      </c>
      <c r="N69" s="1473">
        <f t="shared" si="3"/>
        <v>0.48724888520282988</v>
      </c>
    </row>
    <row r="70" spans="5:14" ht="15.75" hidden="1">
      <c r="E70" s="1467" t="s">
        <v>1511</v>
      </c>
      <c r="F70" s="1467" t="s">
        <v>571</v>
      </c>
      <c r="G70" s="1478">
        <v>54359</v>
      </c>
      <c r="H70" s="1469">
        <v>187105</v>
      </c>
      <c r="I70" s="1470">
        <v>0.63300000000000001</v>
      </c>
      <c r="J70" s="1476">
        <v>0.216</v>
      </c>
      <c r="K70" s="1476">
        <v>2.1000000000000001E-2</v>
      </c>
      <c r="L70" s="1469">
        <f t="shared" si="2"/>
        <v>118437.465</v>
      </c>
      <c r="M70" s="1472">
        <v>85640</v>
      </c>
      <c r="N70" s="1473">
        <f t="shared" si="3"/>
        <v>0.72308200787647725</v>
      </c>
    </row>
    <row r="71" spans="5:14" ht="15.75" hidden="1">
      <c r="E71" s="1477" t="s">
        <v>1511</v>
      </c>
      <c r="F71" s="1477" t="s">
        <v>558</v>
      </c>
      <c r="G71" s="1468">
        <v>7167</v>
      </c>
      <c r="H71" s="1469">
        <v>31587</v>
      </c>
      <c r="I71" s="1470">
        <v>0.60499999999999998</v>
      </c>
      <c r="J71" s="1476">
        <v>0.26800000000000002</v>
      </c>
      <c r="K71" s="1471">
        <v>0.26100000000000001</v>
      </c>
      <c r="L71" s="1469">
        <f t="shared" si="2"/>
        <v>19110.134999999998</v>
      </c>
      <c r="M71" s="1472">
        <v>8009</v>
      </c>
      <c r="N71" s="1473">
        <f t="shared" si="3"/>
        <v>0.41909698701762182</v>
      </c>
    </row>
    <row r="72" spans="5:14" ht="15.75" hidden="1">
      <c r="E72" s="1477" t="s">
        <v>1514</v>
      </c>
      <c r="F72" s="1477" t="s">
        <v>1515</v>
      </c>
      <c r="G72" s="1468">
        <v>26959</v>
      </c>
      <c r="H72" s="1469">
        <v>87680</v>
      </c>
      <c r="I72" s="1470">
        <v>0.70200000000000007</v>
      </c>
      <c r="J72" s="1471">
        <v>0.247</v>
      </c>
      <c r="K72" s="1476">
        <v>0.20899999999999999</v>
      </c>
      <c r="L72" s="1469">
        <f t="shared" si="2"/>
        <v>61551.360000000008</v>
      </c>
      <c r="M72" s="1472">
        <v>21122</v>
      </c>
      <c r="N72" s="1473">
        <f t="shared" si="3"/>
        <v>0.34316057354378515</v>
      </c>
    </row>
    <row r="73" spans="5:14" ht="15.75" hidden="1">
      <c r="E73" s="1467" t="s">
        <v>1514</v>
      </c>
      <c r="F73" s="1477" t="s">
        <v>566</v>
      </c>
      <c r="G73" s="1468">
        <v>28395</v>
      </c>
      <c r="H73" s="1469">
        <v>85017</v>
      </c>
      <c r="I73" s="1470">
        <v>0.63500000000000001</v>
      </c>
      <c r="J73" s="1471">
        <v>0.19800000000000001</v>
      </c>
      <c r="K73" s="1476">
        <v>0.1691</v>
      </c>
      <c r="L73" s="1469">
        <f t="shared" si="2"/>
        <v>53985.794999999998</v>
      </c>
      <c r="M73" s="1472">
        <v>28618</v>
      </c>
      <c r="N73" s="1473">
        <f t="shared" si="3"/>
        <v>0.53010240934675501</v>
      </c>
    </row>
    <row r="74" spans="5:14" ht="15.75" hidden="1">
      <c r="E74" s="1477" t="s">
        <v>1514</v>
      </c>
      <c r="F74" s="1477" t="s">
        <v>1518</v>
      </c>
      <c r="G74" s="1468">
        <v>106972</v>
      </c>
      <c r="H74" s="1469">
        <v>273210</v>
      </c>
      <c r="I74" s="1470">
        <v>0.49099999999999999</v>
      </c>
      <c r="J74" s="1471">
        <v>9.4E-2</v>
      </c>
      <c r="K74" s="1476">
        <v>8.0399999999999999E-2</v>
      </c>
      <c r="L74" s="1469">
        <f t="shared" si="2"/>
        <v>134146.10999999999</v>
      </c>
      <c r="M74" s="1472">
        <v>28436</v>
      </c>
      <c r="N74" s="1473">
        <f t="shared" si="3"/>
        <v>0.21197782030354814</v>
      </c>
    </row>
    <row r="75" spans="5:14" ht="31.5" hidden="1">
      <c r="E75" s="1477" t="s">
        <v>1514</v>
      </c>
      <c r="F75" s="1477" t="s">
        <v>550</v>
      </c>
      <c r="G75" s="1468">
        <v>105004</v>
      </c>
      <c r="H75" s="1469">
        <v>290458</v>
      </c>
      <c r="I75" s="1470">
        <v>0.47799999999999998</v>
      </c>
      <c r="J75" s="1471">
        <v>7.0000000000000007E-2</v>
      </c>
      <c r="K75" s="1476">
        <v>6.0999999999999999E-2</v>
      </c>
      <c r="L75" s="1469">
        <f t="shared" si="2"/>
        <v>138838.924</v>
      </c>
      <c r="M75" s="1472">
        <v>63964</v>
      </c>
      <c r="N75" s="1473">
        <f t="shared" si="3"/>
        <v>0.46070653788702653</v>
      </c>
    </row>
    <row r="76" spans="5:14" ht="15.75" hidden="1">
      <c r="E76" s="1477" t="s">
        <v>1514</v>
      </c>
      <c r="F76" s="1477" t="s">
        <v>1519</v>
      </c>
      <c r="G76" s="1468">
        <v>83093</v>
      </c>
      <c r="H76" s="1469">
        <v>245433</v>
      </c>
      <c r="I76" s="1470">
        <v>0.43</v>
      </c>
      <c r="J76" s="1471">
        <v>6.0999999999999999E-2</v>
      </c>
      <c r="K76" s="1476">
        <v>5.6000000000000001E-2</v>
      </c>
      <c r="L76" s="1469">
        <f t="shared" si="2"/>
        <v>105536.19</v>
      </c>
      <c r="M76" s="1472">
        <v>31999</v>
      </c>
      <c r="N76" s="1473">
        <f t="shared" si="3"/>
        <v>0.30320404782473198</v>
      </c>
    </row>
    <row r="77" spans="5:14" ht="15.75" hidden="1">
      <c r="E77" s="1467" t="s">
        <v>1526</v>
      </c>
      <c r="F77" s="1467" t="s">
        <v>1550</v>
      </c>
      <c r="G77" s="1478">
        <v>17443</v>
      </c>
      <c r="H77" s="1469">
        <v>63029</v>
      </c>
      <c r="I77" s="1470">
        <v>0.82400000000000007</v>
      </c>
      <c r="J77" s="1476">
        <v>0.47599999999999998</v>
      </c>
      <c r="K77" s="1479">
        <v>4.7199999999999999E-2</v>
      </c>
      <c r="L77" s="1469">
        <f t="shared" si="2"/>
        <v>51935.896000000001</v>
      </c>
      <c r="M77" s="1472">
        <v>21775</v>
      </c>
      <c r="N77" s="1473">
        <f t="shared" si="3"/>
        <v>0.41926685928360607</v>
      </c>
    </row>
    <row r="78" spans="5:14" ht="15.75" hidden="1">
      <c r="E78" s="1477" t="s">
        <v>1526</v>
      </c>
      <c r="F78" s="1477" t="s">
        <v>1527</v>
      </c>
      <c r="G78" s="1468">
        <v>72163</v>
      </c>
      <c r="H78" s="1469">
        <v>232333</v>
      </c>
      <c r="I78" s="1470">
        <v>0.70400000000000007</v>
      </c>
      <c r="J78" s="1476">
        <v>0.29199999999999998</v>
      </c>
      <c r="K78" s="1471">
        <v>0.27900000000000003</v>
      </c>
      <c r="L78" s="1469">
        <f t="shared" si="2"/>
        <v>163562.43200000003</v>
      </c>
      <c r="M78" s="1472">
        <v>98650</v>
      </c>
      <c r="N78" s="1473">
        <f t="shared" si="3"/>
        <v>0.60313360955650241</v>
      </c>
    </row>
    <row r="79" spans="5:14" ht="31.5" hidden="1">
      <c r="E79" s="1467" t="s">
        <v>1512</v>
      </c>
      <c r="F79" s="1477" t="s">
        <v>1529</v>
      </c>
      <c r="G79" s="1468">
        <v>18659</v>
      </c>
      <c r="H79" s="1469">
        <v>57476</v>
      </c>
      <c r="I79" s="1470">
        <v>0.58599999999999997</v>
      </c>
      <c r="J79" s="1471">
        <v>0.152</v>
      </c>
      <c r="K79" s="1471">
        <v>0.14000000000000001</v>
      </c>
      <c r="L79" s="1469">
        <f t="shared" si="2"/>
        <v>33680.936000000002</v>
      </c>
      <c r="M79" s="1472">
        <v>20109</v>
      </c>
      <c r="N79" s="1473">
        <f t="shared" si="3"/>
        <v>0.59704397763767603</v>
      </c>
    </row>
    <row r="80" spans="5:14" ht="15.75" hidden="1">
      <c r="E80" s="1477" t="s">
        <v>1512</v>
      </c>
      <c r="F80" s="1467" t="s">
        <v>1522</v>
      </c>
      <c r="G80" s="1468">
        <v>49414</v>
      </c>
      <c r="H80" s="1469">
        <v>109607</v>
      </c>
      <c r="I80" s="1470">
        <v>0.57100000000000006</v>
      </c>
      <c r="J80" s="1476">
        <v>0.13600000000000001</v>
      </c>
      <c r="K80" s="1471">
        <v>0.12</v>
      </c>
      <c r="L80" s="1469">
        <f t="shared" si="2"/>
        <v>62585.597000000009</v>
      </c>
      <c r="M80" s="1472">
        <v>33150</v>
      </c>
      <c r="N80" s="1473">
        <f t="shared" si="3"/>
        <v>0.5296745831153451</v>
      </c>
    </row>
    <row r="81" spans="5:14" ht="15.75" hidden="1">
      <c r="E81" s="1477" t="s">
        <v>1512</v>
      </c>
      <c r="F81" s="1467" t="s">
        <v>570</v>
      </c>
      <c r="G81" s="1468">
        <v>19266</v>
      </c>
      <c r="H81" s="1469">
        <v>63955</v>
      </c>
      <c r="I81" s="1470">
        <v>0.56200000000000006</v>
      </c>
      <c r="J81" s="1476">
        <v>6.8000000000000005E-2</v>
      </c>
      <c r="K81" s="1476">
        <v>6.2E-2</v>
      </c>
      <c r="L81" s="1469">
        <f t="shared" si="2"/>
        <v>35942.710000000006</v>
      </c>
      <c r="M81" s="1472">
        <v>22355</v>
      </c>
      <c r="N81" s="1473">
        <f t="shared" si="3"/>
        <v>0.62196200564732029</v>
      </c>
    </row>
    <row r="82" spans="5:14" ht="15.75" hidden="1">
      <c r="E82" s="1477" t="s">
        <v>1512</v>
      </c>
      <c r="F82" s="1467" t="s">
        <v>1530</v>
      </c>
      <c r="G82" s="1468">
        <v>51785</v>
      </c>
      <c r="H82" s="1469">
        <v>163030</v>
      </c>
      <c r="I82" s="1470">
        <v>0.51300000000000001</v>
      </c>
      <c r="J82" s="1471">
        <v>0.108</v>
      </c>
      <c r="K82" s="1476">
        <v>9.1999999999999998E-2</v>
      </c>
      <c r="L82" s="1469">
        <f t="shared" si="2"/>
        <v>83634.39</v>
      </c>
      <c r="M82" s="1472">
        <v>44131</v>
      </c>
      <c r="N82" s="1473">
        <f t="shared" si="3"/>
        <v>0.52766571263328399</v>
      </c>
    </row>
    <row r="83" spans="5:14" ht="15.75" hidden="1">
      <c r="E83" s="1477" t="s">
        <v>1520</v>
      </c>
      <c r="F83" s="1467" t="s">
        <v>549</v>
      </c>
      <c r="G83" s="1478">
        <v>43004</v>
      </c>
      <c r="H83" s="1469">
        <v>151392</v>
      </c>
      <c r="I83" s="1470">
        <v>0.53400000000000003</v>
      </c>
      <c r="J83" s="1471">
        <v>0.105</v>
      </c>
      <c r="K83" s="1476">
        <v>9.8000000000000004E-2</v>
      </c>
      <c r="L83" s="1469">
        <f t="shared" si="2"/>
        <v>80843.328000000009</v>
      </c>
      <c r="M83" s="1472">
        <v>60334</v>
      </c>
      <c r="N83" s="1473">
        <f t="shared" si="3"/>
        <v>0.74630772251236355</v>
      </c>
    </row>
    <row r="84" spans="5:14" ht="15.75" hidden="1">
      <c r="E84" s="1477" t="s">
        <v>1520</v>
      </c>
      <c r="F84" s="1477" t="s">
        <v>1521</v>
      </c>
      <c r="G84" s="1468">
        <v>122789</v>
      </c>
      <c r="H84" s="1469">
        <v>394205</v>
      </c>
      <c r="I84" s="1470">
        <v>0.43200000000000005</v>
      </c>
      <c r="J84" s="1476">
        <v>5.8000000000000003E-2</v>
      </c>
      <c r="K84" s="1476">
        <v>5.2999999999999999E-2</v>
      </c>
      <c r="L84" s="1469">
        <f t="shared" si="2"/>
        <v>170296.56000000003</v>
      </c>
      <c r="M84" s="1472">
        <v>135732</v>
      </c>
      <c r="N84" s="1473">
        <f t="shared" si="3"/>
        <v>0.7970331285611405</v>
      </c>
    </row>
    <row r="85" spans="5:14" ht="15.75" hidden="1">
      <c r="E85" s="1477" t="s">
        <v>1520</v>
      </c>
      <c r="F85" s="1467" t="s">
        <v>561</v>
      </c>
      <c r="G85" s="1478">
        <v>56856</v>
      </c>
      <c r="H85" s="1469">
        <v>165224</v>
      </c>
      <c r="I85" s="1470">
        <v>0.377</v>
      </c>
      <c r="J85" s="1476">
        <v>4.9000000000000002E-2</v>
      </c>
      <c r="K85" s="1476">
        <v>4.3999999999999997E-2</v>
      </c>
      <c r="L85" s="1469">
        <f t="shared" si="2"/>
        <v>62289.447999999997</v>
      </c>
      <c r="M85" s="1472">
        <v>47338</v>
      </c>
      <c r="N85" s="1473">
        <f t="shared" si="3"/>
        <v>0.75996820520868968</v>
      </c>
    </row>
    <row r="86" spans="5:14" ht="15.75" hidden="1">
      <c r="E86" s="1464"/>
      <c r="F86" s="1464" t="s">
        <v>23</v>
      </c>
      <c r="G86" s="1480">
        <f>SUM(G54:G85)</f>
        <v>3152071</v>
      </c>
      <c r="H86" s="1480">
        <f>SUM(H54:H85)</f>
        <v>9445281</v>
      </c>
      <c r="I86" s="1481"/>
      <c r="J86" s="1481">
        <f>AVERAGE(J54:J85)</f>
        <v>0.14163749999999997</v>
      </c>
      <c r="K86" s="1481">
        <f>AVERAGE(K54:K85)</f>
        <v>9.8748275862068954E-2</v>
      </c>
      <c r="L86" s="1480">
        <f>SUM(L54:L85)</f>
        <v>3815692.094</v>
      </c>
      <c r="M86" s="1480">
        <f>SUM(M54:M85)</f>
        <v>2274989</v>
      </c>
      <c r="N86" s="1481">
        <f>AVERAGE(N54:N85)</f>
        <v>0.57816574413780786</v>
      </c>
    </row>
  </sheetData>
  <autoFilter ref="E53:N86">
    <filterColumn colId="0">
      <filters>
        <filter val="Region III"/>
      </filters>
    </filterColumn>
  </autoFilter>
  <mergeCells count="1">
    <mergeCell ref="A1:M1"/>
  </mergeCells>
  <pageMargins left="0.7" right="0.7" top="0.75" bottom="0.75" header="0.3" footer="0.3"/>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128" customWidth="1"/>
    <col min="2" max="2" width="20" style="128" customWidth="1"/>
    <col min="3" max="3" width="19.140625" style="128" customWidth="1"/>
    <col min="4" max="4" width="16.140625" style="128" customWidth="1"/>
    <col min="5" max="5" width="19.42578125" style="128" customWidth="1"/>
    <col min="6" max="6" width="16.85546875" style="128" customWidth="1"/>
    <col min="7" max="7" width="16.42578125" style="128" customWidth="1"/>
    <col min="8" max="8" width="14.85546875" style="128" customWidth="1"/>
    <col min="9" max="9" width="22.42578125" style="128" customWidth="1"/>
    <col min="10" max="10" width="18.7109375" style="128" customWidth="1"/>
    <col min="11" max="11" width="17.140625" style="128" customWidth="1"/>
    <col min="12" max="12" width="24.28515625" style="128" customWidth="1"/>
    <col min="13" max="13" width="16.85546875" style="128" customWidth="1"/>
    <col min="14" max="14" width="16.28515625" style="128" customWidth="1"/>
    <col min="15" max="15" width="15" style="128" customWidth="1"/>
    <col min="16" max="16" width="21.42578125" style="128" customWidth="1"/>
    <col min="17" max="17" width="18" style="128" bestFit="1" customWidth="1"/>
    <col min="18" max="18" width="17.42578125" style="128" customWidth="1"/>
    <col min="19" max="19" width="24.7109375" style="128" customWidth="1"/>
    <col min="20" max="20" width="20.42578125" style="128" customWidth="1"/>
    <col min="21" max="21" width="14.7109375" style="128" customWidth="1"/>
    <col min="22" max="22" width="13" style="128" customWidth="1"/>
    <col min="23" max="26" width="11.42578125" style="128"/>
    <col min="27" max="27" width="18.7109375" style="128" bestFit="1" customWidth="1"/>
    <col min="28" max="16384" width="11.42578125" style="128"/>
  </cols>
  <sheetData>
    <row r="1" spans="1:33" ht="90.75" customHeight="1">
      <c r="A1" s="2209" t="s">
        <v>729</v>
      </c>
      <c r="B1" s="2210"/>
      <c r="C1" s="2210"/>
      <c r="D1" s="2210"/>
      <c r="E1" s="2210"/>
      <c r="F1" s="2210"/>
      <c r="G1" s="2210"/>
      <c r="H1" s="2210"/>
      <c r="I1" s="2210"/>
      <c r="J1" s="2210"/>
      <c r="K1" s="2210"/>
      <c r="L1" s="2210"/>
      <c r="M1" s="2210"/>
      <c r="N1" s="2210"/>
      <c r="O1" s="2210"/>
      <c r="P1" s="2211"/>
    </row>
    <row r="2" spans="1:33" ht="408.75" customHeight="1">
      <c r="A2" s="2203" t="s">
        <v>937</v>
      </c>
      <c r="B2" s="2204"/>
      <c r="C2" s="2204"/>
      <c r="D2" s="2204"/>
      <c r="E2" s="2204"/>
      <c r="F2" s="2204"/>
      <c r="G2" s="2204"/>
      <c r="H2" s="2204"/>
      <c r="I2" s="2204"/>
      <c r="J2" s="2204"/>
      <c r="K2" s="2204"/>
      <c r="L2" s="2204"/>
      <c r="M2" s="2204"/>
      <c r="N2" s="2204"/>
      <c r="O2" s="2204"/>
      <c r="P2" s="2204"/>
      <c r="Q2" s="90"/>
      <c r="R2" s="90"/>
      <c r="S2" s="31"/>
      <c r="T2" s="31"/>
      <c r="U2" s="31"/>
      <c r="V2" s="31"/>
    </row>
    <row r="3" spans="1:33" ht="408.75" customHeight="1">
      <c r="A3" s="2205"/>
      <c r="B3" s="2205"/>
      <c r="C3" s="2205"/>
      <c r="D3" s="2205"/>
      <c r="E3" s="2205"/>
      <c r="F3" s="2205"/>
      <c r="G3" s="2205"/>
      <c r="H3" s="2205"/>
      <c r="I3" s="2205"/>
      <c r="J3" s="2205"/>
      <c r="K3" s="2205"/>
      <c r="L3" s="2205"/>
      <c r="M3" s="2205"/>
      <c r="N3" s="2205"/>
      <c r="O3" s="2205"/>
      <c r="P3" s="2205"/>
      <c r="Q3" s="90"/>
      <c r="R3" s="90"/>
      <c r="S3" s="31"/>
      <c r="T3" s="31"/>
      <c r="U3" s="31"/>
      <c r="V3" s="31"/>
    </row>
    <row r="4" spans="1:33" ht="409.5" customHeight="1">
      <c r="A4" s="2205"/>
      <c r="B4" s="2205"/>
      <c r="C4" s="2205"/>
      <c r="D4" s="2205"/>
      <c r="E4" s="2205"/>
      <c r="F4" s="2205"/>
      <c r="G4" s="2205"/>
      <c r="H4" s="2205"/>
      <c r="I4" s="2205"/>
      <c r="J4" s="2205"/>
      <c r="K4" s="2205"/>
      <c r="L4" s="2205"/>
      <c r="M4" s="2205"/>
      <c r="N4" s="2205"/>
      <c r="O4" s="2205"/>
      <c r="P4" s="2205"/>
      <c r="Q4" s="90"/>
      <c r="R4" s="90"/>
      <c r="S4" s="31"/>
      <c r="T4" s="31"/>
      <c r="U4" s="31"/>
      <c r="V4" s="31"/>
    </row>
    <row r="5" spans="1:33" ht="386.25" customHeight="1">
      <c r="A5" s="2206"/>
      <c r="B5" s="2206"/>
      <c r="C5" s="2206"/>
      <c r="D5" s="2206"/>
      <c r="E5" s="2206"/>
      <c r="F5" s="2206"/>
      <c r="G5" s="2206"/>
      <c r="H5" s="2206"/>
      <c r="I5" s="2206"/>
      <c r="J5" s="2206"/>
      <c r="K5" s="2206"/>
      <c r="L5" s="2206"/>
      <c r="M5" s="2206"/>
      <c r="N5" s="2206"/>
      <c r="O5" s="2206"/>
      <c r="P5" s="2206"/>
      <c r="Q5" s="90"/>
      <c r="R5" s="90"/>
      <c r="S5" s="31"/>
      <c r="T5" s="31"/>
      <c r="U5" s="31"/>
      <c r="V5" s="31"/>
    </row>
    <row r="6" spans="1:33" ht="25.5" customHeight="1">
      <c r="Q6" s="90"/>
      <c r="R6" s="90"/>
      <c r="S6" s="31"/>
      <c r="T6" s="31"/>
      <c r="U6" s="31"/>
      <c r="V6" s="31"/>
    </row>
    <row r="7" spans="1:33" ht="25.5" customHeight="1">
      <c r="Q7" s="90"/>
      <c r="R7" s="90"/>
      <c r="S7" s="31"/>
      <c r="T7" s="31"/>
      <c r="U7" s="31"/>
      <c r="V7" s="31"/>
    </row>
    <row r="8" spans="1:33" ht="25.5" customHeight="1">
      <c r="Q8" s="90"/>
      <c r="R8" s="90"/>
      <c r="S8" s="31"/>
      <c r="T8" s="31"/>
      <c r="U8" s="31"/>
      <c r="V8" s="31"/>
    </row>
    <row r="9" spans="1:33" ht="25.5" customHeight="1">
      <c r="Q9" s="90"/>
      <c r="R9" s="90"/>
      <c r="S9" s="31"/>
      <c r="T9" s="31"/>
      <c r="U9" s="31"/>
      <c r="V9" s="31"/>
    </row>
    <row r="10" spans="1:33" ht="25.5" customHeight="1">
      <c r="Q10" s="90"/>
      <c r="R10" s="90"/>
      <c r="S10" s="31"/>
      <c r="T10" s="31"/>
      <c r="U10" s="31"/>
      <c r="V10" s="31"/>
    </row>
    <row r="11" spans="1:33" ht="25.5" customHeight="1">
      <c r="Q11" s="90"/>
      <c r="R11" s="90"/>
      <c r="S11" s="31"/>
      <c r="T11" s="31"/>
      <c r="U11" s="31"/>
      <c r="V11" s="31"/>
    </row>
    <row r="12" spans="1:33" ht="23.25" customHeight="1">
      <c r="Q12" s="90"/>
      <c r="R12" s="90"/>
      <c r="S12" s="31"/>
      <c r="T12" s="31"/>
      <c r="U12" s="31"/>
      <c r="V12" s="31"/>
    </row>
    <row r="13" spans="1:33" ht="25.5" customHeight="1">
      <c r="A13" s="39"/>
      <c r="B13" s="39"/>
      <c r="C13" s="39"/>
      <c r="D13" s="39"/>
      <c r="E13" s="39"/>
      <c r="F13" s="39"/>
      <c r="G13" s="39"/>
      <c r="H13" s="39"/>
      <c r="I13" s="39"/>
      <c r="J13" s="39"/>
      <c r="K13" s="39"/>
      <c r="L13" s="39"/>
      <c r="M13" s="39"/>
      <c r="N13" s="39"/>
      <c r="O13" s="39"/>
      <c r="P13" s="39"/>
      <c r="R13" s="90"/>
      <c r="S13" s="31"/>
      <c r="T13" s="31"/>
      <c r="U13" s="31"/>
      <c r="V13" s="31"/>
    </row>
    <row r="14" spans="1:33" ht="25.5" customHeight="1">
      <c r="A14" s="39"/>
      <c r="B14" s="39"/>
      <c r="C14" s="39"/>
      <c r="D14" s="39"/>
      <c r="E14" s="39"/>
      <c r="F14" s="39"/>
      <c r="G14" s="39"/>
      <c r="H14" s="39"/>
      <c r="I14" s="39"/>
      <c r="J14" s="39"/>
      <c r="K14" s="39"/>
      <c r="L14" s="39"/>
      <c r="M14" s="39"/>
      <c r="N14" s="39"/>
      <c r="O14" s="39"/>
      <c r="P14" s="39"/>
      <c r="Q14" s="39"/>
      <c r="R14" s="39"/>
      <c r="S14" s="39"/>
      <c r="T14" s="39"/>
      <c r="U14" s="39"/>
      <c r="V14" s="39"/>
    </row>
    <row r="15" spans="1:33" ht="25.5" customHeight="1">
      <c r="A15" s="39"/>
      <c r="B15" s="39"/>
      <c r="C15" s="39"/>
      <c r="D15" s="39"/>
      <c r="E15" s="39"/>
      <c r="F15" s="39"/>
      <c r="G15" s="39"/>
      <c r="H15" s="39"/>
      <c r="I15" s="39"/>
      <c r="J15" s="39"/>
      <c r="K15" s="39"/>
      <c r="L15" s="39"/>
      <c r="M15" s="39"/>
      <c r="N15" s="39"/>
      <c r="O15" s="39"/>
      <c r="P15" s="39"/>
      <c r="Q15" s="39"/>
      <c r="R15" s="39"/>
      <c r="S15" s="39"/>
      <c r="T15" s="39"/>
      <c r="U15" s="39"/>
      <c r="V15" s="39"/>
      <c r="AG15" s="128" t="s">
        <v>36</v>
      </c>
    </row>
    <row r="16" spans="1:33" ht="25.5" customHeight="1">
      <c r="A16" s="39"/>
      <c r="B16" s="39"/>
      <c r="C16" s="39"/>
      <c r="D16" s="39"/>
      <c r="E16" s="39"/>
      <c r="F16" s="39"/>
      <c r="G16" s="39"/>
      <c r="H16" s="39"/>
      <c r="I16" s="39"/>
      <c r="J16" s="39"/>
      <c r="K16" s="39"/>
      <c r="L16" s="39"/>
      <c r="M16" s="39"/>
      <c r="N16" s="39"/>
      <c r="O16" s="39"/>
      <c r="P16" s="39"/>
      <c r="Q16" s="39"/>
      <c r="R16" s="39"/>
      <c r="S16" s="39"/>
      <c r="T16" s="39"/>
      <c r="U16" s="39"/>
      <c r="V16" s="39"/>
    </row>
    <row r="17" spans="1:23" ht="25.5" customHeight="1">
      <c r="A17" s="39"/>
      <c r="B17" s="39"/>
      <c r="C17" s="39"/>
      <c r="D17" s="39"/>
      <c r="E17" s="39"/>
      <c r="F17" s="39"/>
      <c r="G17" s="39"/>
      <c r="H17" s="39"/>
      <c r="I17" s="39"/>
      <c r="J17" s="39"/>
      <c r="K17" s="39"/>
      <c r="L17" s="39"/>
      <c r="M17" s="39"/>
      <c r="N17" s="39"/>
      <c r="O17" s="39"/>
      <c r="P17" s="39"/>
      <c r="Q17" s="39"/>
      <c r="R17" s="39"/>
      <c r="S17" s="39"/>
      <c r="T17" s="39"/>
      <c r="U17" s="39"/>
      <c r="V17" s="39"/>
    </row>
    <row r="18" spans="1:23" ht="25.5" customHeight="1">
      <c r="A18" s="39"/>
      <c r="B18" s="39"/>
      <c r="C18" s="39"/>
      <c r="D18" s="39"/>
      <c r="E18" s="39"/>
      <c r="F18" s="39"/>
      <c r="G18" s="39"/>
      <c r="H18" s="39"/>
      <c r="I18" s="39"/>
      <c r="J18" s="39"/>
      <c r="K18" s="39"/>
      <c r="L18" s="39"/>
      <c r="M18" s="39"/>
      <c r="N18" s="39"/>
      <c r="O18" s="39"/>
      <c r="P18" s="39"/>
      <c r="Q18" s="39"/>
      <c r="R18" s="39"/>
      <c r="S18" s="39"/>
      <c r="T18" s="39"/>
      <c r="U18" s="39"/>
      <c r="V18" s="39"/>
    </row>
    <row r="19" spans="1:23" ht="25.5" customHeight="1">
      <c r="A19" s="39"/>
      <c r="B19" s="39"/>
      <c r="C19" s="39"/>
      <c r="D19" s="39"/>
      <c r="E19" s="39"/>
      <c r="F19" s="39"/>
      <c r="G19" s="39"/>
      <c r="H19" s="39"/>
      <c r="I19" s="39"/>
      <c r="J19" s="39"/>
      <c r="K19" s="39"/>
      <c r="L19" s="39"/>
      <c r="M19" s="39"/>
      <c r="N19" s="39"/>
      <c r="O19" s="39"/>
      <c r="P19" s="39"/>
      <c r="Q19" s="39"/>
      <c r="R19" s="39"/>
      <c r="S19" s="39"/>
      <c r="T19" s="39"/>
      <c r="U19" s="39"/>
      <c r="V19" s="39"/>
    </row>
    <row r="20" spans="1:23" ht="25.5" customHeight="1">
      <c r="A20" s="39"/>
      <c r="B20" s="39"/>
      <c r="C20" s="39"/>
      <c r="D20" s="39"/>
      <c r="E20" s="39"/>
      <c r="F20" s="39"/>
      <c r="G20" s="39"/>
      <c r="H20" s="39"/>
      <c r="I20" s="39"/>
      <c r="J20" s="39"/>
      <c r="K20" s="39"/>
      <c r="L20" s="39"/>
      <c r="M20" s="39"/>
      <c r="N20" s="39"/>
      <c r="O20" s="39"/>
      <c r="P20" s="39"/>
      <c r="Q20" s="39"/>
      <c r="R20" s="39"/>
      <c r="S20" s="39"/>
      <c r="T20" s="39"/>
      <c r="U20" s="39"/>
      <c r="V20" s="39"/>
    </row>
    <row r="21" spans="1:23" ht="25.5" customHeight="1">
      <c r="A21" s="39"/>
      <c r="B21" s="39"/>
      <c r="C21" s="39"/>
      <c r="D21" s="39"/>
      <c r="E21" s="39"/>
      <c r="F21" s="39"/>
      <c r="G21" s="39"/>
      <c r="H21" s="39"/>
      <c r="I21" s="39"/>
      <c r="J21" s="39"/>
      <c r="K21" s="39"/>
      <c r="L21" s="39"/>
      <c r="M21" s="39"/>
      <c r="N21" s="39"/>
      <c r="O21" s="39"/>
      <c r="P21" s="39"/>
      <c r="Q21" s="39"/>
      <c r="R21" s="39"/>
      <c r="S21" s="39"/>
      <c r="T21" s="39"/>
      <c r="U21" s="39"/>
      <c r="V21" s="39"/>
    </row>
    <row r="22" spans="1:23" ht="25.5" customHeight="1">
      <c r="A22" s="39"/>
      <c r="B22" s="39"/>
      <c r="C22" s="39"/>
      <c r="D22" s="39"/>
      <c r="E22" s="39"/>
      <c r="F22" s="39"/>
      <c r="G22" s="39"/>
      <c r="H22" s="39"/>
      <c r="I22" s="39"/>
      <c r="J22" s="39"/>
      <c r="K22" s="39"/>
      <c r="L22" s="39"/>
      <c r="M22" s="39"/>
      <c r="N22" s="39"/>
      <c r="O22" s="39"/>
      <c r="P22" s="39"/>
      <c r="Q22" s="39"/>
      <c r="R22" s="39"/>
      <c r="S22" s="39"/>
      <c r="T22" s="39"/>
      <c r="U22" s="39"/>
      <c r="V22" s="39"/>
    </row>
    <row r="23" spans="1:23" ht="25.5" customHeight="1">
      <c r="A23" s="39"/>
      <c r="B23" s="39"/>
      <c r="C23" s="39"/>
      <c r="D23" s="39"/>
      <c r="E23" s="39"/>
      <c r="F23" s="39"/>
      <c r="G23" s="39"/>
      <c r="H23" s="39"/>
      <c r="I23" s="39"/>
      <c r="J23" s="39"/>
      <c r="K23" s="39"/>
      <c r="L23" s="39"/>
      <c r="M23" s="39"/>
      <c r="N23" s="39"/>
      <c r="O23" s="39"/>
      <c r="P23" s="39"/>
      <c r="Q23" s="39"/>
      <c r="R23" s="39"/>
      <c r="S23" s="39"/>
      <c r="T23" s="39"/>
      <c r="U23" s="39"/>
      <c r="V23" s="39"/>
    </row>
    <row r="24" spans="1:23" ht="25.5" customHeight="1">
      <c r="A24" s="39"/>
      <c r="B24" s="39"/>
      <c r="C24" s="39"/>
      <c r="D24" s="39"/>
      <c r="E24" s="39"/>
      <c r="F24" s="39"/>
      <c r="G24" s="39"/>
      <c r="H24" s="39"/>
      <c r="I24" s="39"/>
      <c r="J24" s="39"/>
      <c r="K24" s="39"/>
      <c r="L24" s="39"/>
      <c r="M24" s="39"/>
      <c r="N24" s="39"/>
      <c r="O24" s="39"/>
      <c r="P24" s="39"/>
      <c r="Q24" s="39"/>
      <c r="R24" s="39"/>
      <c r="S24" s="39"/>
      <c r="T24" s="39"/>
      <c r="U24" s="39"/>
      <c r="V24" s="39"/>
    </row>
    <row r="25" spans="1:23" ht="25.5" customHeight="1">
      <c r="A25" s="39"/>
      <c r="B25" s="39"/>
      <c r="C25" s="39"/>
      <c r="D25" s="39"/>
      <c r="E25" s="39"/>
      <c r="F25" s="39"/>
      <c r="G25" s="39"/>
      <c r="H25" s="39"/>
      <c r="I25" s="39"/>
      <c r="J25" s="39"/>
      <c r="K25" s="39"/>
      <c r="L25" s="39"/>
      <c r="M25" s="39"/>
      <c r="N25" s="39"/>
      <c r="O25" s="39"/>
      <c r="P25" s="39"/>
      <c r="Q25" s="39"/>
      <c r="R25" s="39"/>
      <c r="S25" s="39"/>
      <c r="T25" s="39"/>
      <c r="U25" s="39"/>
      <c r="V25" s="39"/>
    </row>
    <row r="26" spans="1:23" ht="25.5" customHeight="1">
      <c r="A26" s="39"/>
      <c r="B26" s="39"/>
      <c r="C26" s="39"/>
      <c r="D26" s="39"/>
      <c r="E26" s="39"/>
      <c r="F26" s="39"/>
      <c r="G26" s="39"/>
      <c r="H26" s="39"/>
      <c r="I26" s="39"/>
      <c r="J26" s="39"/>
      <c r="K26" s="39"/>
      <c r="L26" s="39"/>
      <c r="M26" s="39"/>
      <c r="N26" s="39"/>
      <c r="O26" s="39"/>
      <c r="P26" s="39"/>
      <c r="Q26" s="39"/>
      <c r="R26" s="39"/>
      <c r="S26" s="39"/>
      <c r="T26" s="39"/>
      <c r="U26" s="39"/>
      <c r="V26" s="39"/>
    </row>
    <row r="27" spans="1:23" ht="25.5" customHeight="1">
      <c r="A27" s="39"/>
      <c r="B27" s="39"/>
      <c r="C27" s="39"/>
      <c r="D27" s="39"/>
      <c r="E27" s="39"/>
      <c r="F27" s="39"/>
      <c r="G27" s="39"/>
      <c r="H27" s="39"/>
      <c r="I27" s="39"/>
      <c r="J27" s="39"/>
      <c r="K27" s="39"/>
      <c r="L27" s="39"/>
      <c r="M27" s="39"/>
      <c r="N27" s="39"/>
      <c r="O27" s="39"/>
      <c r="P27" s="39"/>
      <c r="Q27" s="39"/>
      <c r="R27" s="39"/>
      <c r="S27" s="39"/>
      <c r="T27" s="39"/>
      <c r="U27" s="39"/>
      <c r="V27" s="39"/>
      <c r="W27" s="128" t="s">
        <v>36</v>
      </c>
    </row>
    <row r="28" spans="1:23" ht="25.5" customHeight="1">
      <c r="A28" s="39"/>
      <c r="B28" s="39"/>
      <c r="C28" s="39"/>
      <c r="D28" s="39"/>
      <c r="E28" s="39"/>
      <c r="F28" s="39"/>
      <c r="G28" s="39"/>
      <c r="H28" s="39"/>
      <c r="I28" s="39"/>
      <c r="J28" s="39"/>
      <c r="K28" s="39"/>
      <c r="L28" s="39"/>
      <c r="M28" s="39"/>
      <c r="N28" s="39"/>
      <c r="O28" s="39"/>
      <c r="P28" s="39"/>
      <c r="Q28" s="39"/>
      <c r="R28" s="39"/>
      <c r="S28" s="39"/>
      <c r="T28" s="39"/>
      <c r="U28" s="39"/>
      <c r="V28" s="39"/>
    </row>
    <row r="29" spans="1:23" ht="25.5" customHeight="1">
      <c r="A29" s="39"/>
      <c r="B29" s="39"/>
      <c r="C29" s="39"/>
      <c r="D29" s="39"/>
      <c r="E29" s="39"/>
      <c r="F29" s="39"/>
      <c r="G29" s="39"/>
      <c r="H29" s="39"/>
      <c r="I29" s="39"/>
      <c r="J29" s="39"/>
      <c r="K29" s="39"/>
      <c r="L29" s="39"/>
      <c r="M29" s="39"/>
      <c r="N29" s="39"/>
      <c r="O29" s="39"/>
      <c r="P29" s="39"/>
      <c r="Q29" s="39"/>
      <c r="R29" s="39"/>
      <c r="S29" s="39"/>
      <c r="T29" s="39"/>
      <c r="U29" s="39"/>
      <c r="V29" s="39"/>
    </row>
    <row r="30" spans="1:23" ht="25.5" customHeight="1">
      <c r="A30" s="39"/>
      <c r="B30" s="39"/>
      <c r="C30" s="39"/>
      <c r="D30" s="39"/>
      <c r="E30" s="39"/>
      <c r="F30" s="39"/>
      <c r="G30" s="39"/>
      <c r="H30" s="39"/>
      <c r="I30" s="39"/>
      <c r="J30" s="39"/>
      <c r="K30" s="39"/>
      <c r="L30" s="39"/>
      <c r="M30" s="39"/>
      <c r="N30" s="39"/>
      <c r="O30" s="39"/>
      <c r="P30" s="39"/>
      <c r="Q30" s="39"/>
      <c r="R30" s="39"/>
      <c r="S30" s="39"/>
      <c r="T30" s="39"/>
      <c r="U30" s="39"/>
      <c r="V30" s="39"/>
    </row>
    <row r="31" spans="1:23" ht="25.5" customHeight="1">
      <c r="A31" s="39"/>
      <c r="B31" s="39"/>
      <c r="C31" s="39"/>
      <c r="D31" s="39"/>
      <c r="E31" s="39"/>
      <c r="F31" s="39"/>
      <c r="G31" s="39"/>
      <c r="H31" s="39"/>
      <c r="I31" s="39"/>
      <c r="J31" s="39"/>
      <c r="K31" s="39"/>
      <c r="L31" s="39"/>
      <c r="M31" s="39"/>
      <c r="N31" s="39"/>
      <c r="O31" s="39"/>
      <c r="P31" s="39"/>
      <c r="Q31" s="39"/>
      <c r="R31" s="39"/>
      <c r="S31" s="39"/>
      <c r="T31" s="39"/>
      <c r="U31" s="39"/>
      <c r="V31" s="39"/>
    </row>
    <row r="32" spans="1:23" ht="25.5" customHeight="1">
      <c r="A32" s="39"/>
      <c r="B32" s="39"/>
      <c r="C32" s="39"/>
      <c r="D32" s="39"/>
      <c r="E32" s="39"/>
      <c r="F32" s="39"/>
      <c r="G32" s="39"/>
      <c r="H32" s="39"/>
      <c r="I32" s="39"/>
      <c r="J32" s="39"/>
      <c r="K32" s="39"/>
      <c r="L32" s="39"/>
      <c r="M32" s="39"/>
      <c r="N32" s="39"/>
      <c r="O32" s="39"/>
      <c r="P32" s="39"/>
      <c r="Q32" s="39"/>
      <c r="R32" s="39"/>
      <c r="S32" s="39"/>
      <c r="T32" s="39"/>
      <c r="U32" s="39"/>
      <c r="V32" s="39"/>
    </row>
    <row r="33" spans="1:30" ht="25.5" customHeight="1">
      <c r="A33" s="39"/>
      <c r="B33" s="39"/>
      <c r="C33" s="39"/>
      <c r="D33" s="39"/>
      <c r="E33" s="39"/>
      <c r="F33" s="39"/>
      <c r="G33" s="39"/>
      <c r="H33" s="39"/>
      <c r="I33" s="39"/>
      <c r="J33" s="39"/>
      <c r="K33" s="39"/>
      <c r="L33" s="39"/>
      <c r="M33" s="39"/>
      <c r="N33" s="39"/>
      <c r="O33" s="39"/>
      <c r="P33" s="39"/>
      <c r="Q33" s="39"/>
      <c r="R33" s="39"/>
      <c r="S33" s="39"/>
      <c r="T33" s="39"/>
      <c r="U33" s="39"/>
      <c r="V33" s="39"/>
    </row>
    <row r="34" spans="1:30" ht="25.5" customHeight="1">
      <c r="A34" s="39"/>
      <c r="B34" s="39"/>
      <c r="C34" s="39"/>
      <c r="D34" s="39"/>
      <c r="E34" s="39"/>
      <c r="F34" s="39"/>
      <c r="G34" s="39"/>
      <c r="H34" s="39"/>
      <c r="I34" s="39"/>
      <c r="J34" s="39"/>
      <c r="K34" s="39"/>
      <c r="L34" s="39"/>
      <c r="M34" s="39"/>
      <c r="N34" s="39"/>
      <c r="O34" s="39"/>
      <c r="P34" s="39"/>
      <c r="Q34" s="39"/>
      <c r="R34" s="39"/>
      <c r="S34" s="39"/>
      <c r="T34" s="39"/>
      <c r="U34" s="39"/>
      <c r="V34" s="39"/>
    </row>
    <row r="35" spans="1:30">
      <c r="S35" s="149"/>
      <c r="T35" s="149"/>
      <c r="U35" s="149"/>
      <c r="V35" s="149"/>
      <c r="W35" s="151"/>
      <c r="X35" s="151"/>
      <c r="Y35" s="151"/>
      <c r="Z35" s="151"/>
      <c r="AA35" s="151"/>
      <c r="AB35" s="151"/>
    </row>
    <row r="36" spans="1:30">
      <c r="S36" s="149"/>
      <c r="T36" s="149"/>
      <c r="U36" s="149"/>
      <c r="V36" s="149"/>
      <c r="W36" s="151"/>
      <c r="X36" s="151"/>
      <c r="Y36" s="151"/>
      <c r="Z36" s="151"/>
      <c r="AA36" s="151"/>
      <c r="AB36" s="151"/>
    </row>
    <row r="37" spans="1:30">
      <c r="S37" s="149"/>
      <c r="T37" s="149"/>
      <c r="U37" s="149"/>
      <c r="V37" s="149"/>
      <c r="W37" s="151"/>
      <c r="X37" s="151"/>
      <c r="Y37" s="151"/>
      <c r="Z37" s="151"/>
      <c r="AA37" s="151"/>
      <c r="AB37" s="151"/>
    </row>
    <row r="38" spans="1:30">
      <c r="S38" s="149"/>
      <c r="T38" s="149"/>
      <c r="U38" s="149"/>
      <c r="V38" s="149"/>
      <c r="W38" s="151"/>
      <c r="X38" s="151"/>
      <c r="Y38" s="151"/>
      <c r="Z38" s="151"/>
      <c r="AA38" s="151"/>
      <c r="AB38" s="151"/>
    </row>
    <row r="39" spans="1:30" ht="51" customHeight="1">
      <c r="S39" s="149"/>
      <c r="T39" s="149"/>
      <c r="U39" s="149"/>
      <c r="V39" s="149"/>
      <c r="W39" s="151"/>
      <c r="X39" s="151"/>
      <c r="Y39" s="151"/>
      <c r="Z39" s="151"/>
      <c r="AA39" s="151"/>
      <c r="AB39" s="151"/>
    </row>
    <row r="40" spans="1:30" ht="78" customHeight="1">
      <c r="A40" s="2199"/>
      <c r="B40" s="2199"/>
      <c r="C40" s="2199"/>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151"/>
      <c r="AA40" s="151"/>
      <c r="AB40" s="151"/>
    </row>
    <row r="41" spans="1:30">
      <c r="S41" s="151"/>
      <c r="T41" s="151"/>
      <c r="U41" s="151"/>
      <c r="V41" s="151"/>
      <c r="W41" s="151"/>
    </row>
    <row r="42" spans="1:30">
      <c r="S42" s="151"/>
      <c r="T42" s="151"/>
      <c r="U42" s="151"/>
      <c r="V42" s="151"/>
      <c r="W42" s="151"/>
    </row>
    <row r="43" spans="1:30">
      <c r="S43" s="151"/>
      <c r="T43" s="151"/>
      <c r="U43" s="151"/>
      <c r="V43" s="151"/>
      <c r="W43" s="151"/>
    </row>
    <row r="44" spans="1:30">
      <c r="S44" s="151"/>
      <c r="T44" s="151"/>
      <c r="U44" s="151"/>
      <c r="V44" s="151"/>
      <c r="W44" s="151"/>
    </row>
    <row r="45" spans="1:30">
      <c r="S45" s="151"/>
      <c r="T45" s="151"/>
      <c r="U45" s="151"/>
      <c r="V45" s="151"/>
      <c r="W45" s="151"/>
    </row>
    <row r="46" spans="1:30">
      <c r="S46" s="151"/>
      <c r="T46" s="151"/>
      <c r="U46" s="151"/>
      <c r="V46" s="151"/>
      <c r="W46" s="151"/>
      <c r="X46" s="151"/>
      <c r="Y46" s="151"/>
      <c r="Z46" s="151"/>
      <c r="AA46" s="151"/>
      <c r="AB46" s="151"/>
      <c r="AC46" s="151"/>
      <c r="AD46" s="151"/>
    </row>
    <row r="47" spans="1:30">
      <c r="S47" s="151"/>
      <c r="T47" s="151"/>
      <c r="U47" s="151"/>
      <c r="V47" s="151"/>
      <c r="W47" s="151"/>
      <c r="X47" s="151"/>
      <c r="Y47" s="151"/>
      <c r="Z47" s="151"/>
      <c r="AA47" s="151"/>
      <c r="AB47" s="151"/>
      <c r="AC47" s="151"/>
      <c r="AD47" s="151"/>
    </row>
    <row r="48" spans="1:30">
      <c r="S48" s="151"/>
      <c r="T48" s="151"/>
      <c r="U48" s="151"/>
      <c r="V48" s="151"/>
      <c r="W48" s="151"/>
      <c r="X48" s="151"/>
      <c r="Y48" s="151"/>
      <c r="Z48" s="151"/>
      <c r="AA48" s="151"/>
      <c r="AB48" s="151"/>
      <c r="AC48" s="151"/>
      <c r="AD48" s="151"/>
    </row>
    <row r="49" spans="2:30">
      <c r="S49" s="151"/>
      <c r="T49" s="151"/>
      <c r="U49" s="151"/>
      <c r="V49" s="151"/>
      <c r="W49" s="151"/>
      <c r="X49" s="151"/>
      <c r="Y49" s="151"/>
      <c r="Z49" s="151"/>
      <c r="AA49" s="151"/>
      <c r="AB49" s="151"/>
      <c r="AC49" s="151"/>
      <c r="AD49" s="151"/>
    </row>
    <row r="50" spans="2:30">
      <c r="S50" s="151"/>
      <c r="T50" s="151"/>
      <c r="U50" s="151"/>
      <c r="V50" s="151"/>
      <c r="W50" s="151"/>
      <c r="X50" s="151"/>
      <c r="Y50" s="151"/>
      <c r="Z50" s="151"/>
      <c r="AA50" s="151"/>
      <c r="AB50" s="151"/>
      <c r="AC50" s="151"/>
      <c r="AD50" s="151"/>
    </row>
    <row r="51" spans="2:30">
      <c r="S51" s="151"/>
      <c r="T51" s="151"/>
      <c r="U51" s="151"/>
      <c r="V51" s="151"/>
      <c r="W51" s="151"/>
      <c r="X51" s="151"/>
      <c r="Y51" s="151"/>
      <c r="Z51" s="151"/>
      <c r="AA51" s="151"/>
      <c r="AB51" s="151"/>
      <c r="AC51" s="151"/>
      <c r="AD51" s="151"/>
    </row>
    <row r="52" spans="2:30">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row>
    <row r="71" spans="24:24">
      <c r="X71" s="151"/>
    </row>
    <row r="72" spans="24:24">
      <c r="X72" s="151"/>
    </row>
    <row r="73" spans="24:24">
      <c r="X73" s="151"/>
    </row>
    <row r="74" spans="24:24">
      <c r="X74" s="151"/>
    </row>
    <row r="75" spans="24:24">
      <c r="X75" s="151"/>
    </row>
    <row r="76" spans="24:24">
      <c r="X76" s="151"/>
    </row>
    <row r="77" spans="24:24">
      <c r="X77" s="151"/>
    </row>
    <row r="78" spans="24:24">
      <c r="X78" s="151"/>
    </row>
    <row r="88" spans="24:24">
      <c r="X88" s="151"/>
    </row>
    <row r="89" spans="24:24">
      <c r="X89" s="151"/>
    </row>
    <row r="90" spans="24:24">
      <c r="X90" s="151"/>
    </row>
    <row r="91" spans="24:24">
      <c r="X91" s="151"/>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V13"/>
  <sheetViews>
    <sheetView showGridLines="0" view="pageBreakPreview" zoomScale="85" zoomScaleNormal="85" zoomScaleSheetLayoutView="85" workbookViewId="0">
      <selection activeCell="J12" sqref="J12"/>
    </sheetView>
  </sheetViews>
  <sheetFormatPr baseColWidth="10" defaultColWidth="11.42578125" defaultRowHeight="15"/>
  <cols>
    <col min="1" max="1" width="12.140625" style="1297" customWidth="1"/>
    <col min="2" max="2" width="11.85546875" style="1297" customWidth="1"/>
    <col min="3" max="3" width="7.28515625" style="1297" customWidth="1"/>
    <col min="4" max="4" width="8.7109375" style="1297" customWidth="1"/>
    <col min="5" max="5" width="9.28515625" style="1297" customWidth="1"/>
    <col min="6" max="7" width="8.5703125" style="1297" customWidth="1"/>
    <col min="8" max="8" width="9.42578125" style="1297" customWidth="1"/>
    <col min="9" max="9" width="8.42578125" style="1297" customWidth="1"/>
    <col min="10" max="10" width="8.140625" style="1297" customWidth="1"/>
    <col min="11" max="11" width="9.140625" style="1297" customWidth="1"/>
    <col min="12" max="12" width="8.42578125" style="1297" customWidth="1"/>
    <col min="13" max="13" width="8.7109375" style="1297" customWidth="1"/>
    <col min="14" max="14" width="8.28515625" style="1297" customWidth="1"/>
    <col min="15" max="15" width="8.42578125" style="1297" customWidth="1"/>
    <col min="16" max="16" width="7.85546875" style="1297" customWidth="1"/>
    <col min="17" max="17" width="7.7109375" style="1297" bestFit="1" customWidth="1"/>
    <col min="18" max="18" width="9.28515625" style="1297" bestFit="1" customWidth="1"/>
    <col min="19" max="19" width="6.85546875" style="1297" customWidth="1"/>
    <col min="20" max="20" width="7.5703125" style="1297" customWidth="1"/>
    <col min="21" max="21" width="8.140625" style="1297" customWidth="1"/>
    <col min="22" max="16384" width="11.42578125" style="1297"/>
  </cols>
  <sheetData>
    <row r="1" spans="1:22" ht="69" customHeight="1">
      <c r="A1" s="2413" t="s">
        <v>1624</v>
      </c>
      <c r="B1" s="2414"/>
      <c r="C1" s="2414"/>
      <c r="D1" s="2414"/>
      <c r="E1" s="2414"/>
      <c r="F1" s="2414"/>
      <c r="G1" s="2414"/>
      <c r="H1" s="2414"/>
      <c r="I1" s="2414"/>
      <c r="J1" s="2414"/>
      <c r="K1" s="2414"/>
      <c r="L1" s="2414"/>
      <c r="M1" s="2414"/>
      <c r="N1" s="2414"/>
      <c r="O1" s="2414"/>
      <c r="P1" s="2414"/>
      <c r="Q1" s="2414"/>
      <c r="R1" s="2414"/>
      <c r="S1" s="2414"/>
      <c r="T1" s="2414"/>
      <c r="U1" s="2414"/>
      <c r="V1" s="2414"/>
    </row>
    <row r="2" spans="1:22" ht="3.75" customHeight="1"/>
    <row r="3" spans="1:22" s="1457" customFormat="1" ht="30.75" customHeight="1">
      <c r="A3" s="1453" t="s">
        <v>1024</v>
      </c>
      <c r="B3" s="1455" t="s">
        <v>711</v>
      </c>
      <c r="C3" s="1455" t="s">
        <v>1551</v>
      </c>
      <c r="D3" s="1455" t="s">
        <v>1552</v>
      </c>
      <c r="E3" s="1455" t="s">
        <v>1553</v>
      </c>
      <c r="F3" s="1455" t="s">
        <v>1554</v>
      </c>
      <c r="G3" s="1455" t="s">
        <v>1555</v>
      </c>
      <c r="H3" s="1455" t="s">
        <v>1556</v>
      </c>
      <c r="I3" s="1455" t="s">
        <v>1557</v>
      </c>
      <c r="J3" s="1455" t="s">
        <v>1558</v>
      </c>
      <c r="K3" s="1455" t="s">
        <v>1559</v>
      </c>
      <c r="L3" s="1455" t="s">
        <v>1560</v>
      </c>
      <c r="M3" s="1455" t="s">
        <v>1561</v>
      </c>
      <c r="N3" s="1455" t="s">
        <v>1562</v>
      </c>
      <c r="O3" s="1455" t="s">
        <v>1563</v>
      </c>
      <c r="P3" s="1455" t="s">
        <v>1564</v>
      </c>
      <c r="Q3" s="1455" t="s">
        <v>1565</v>
      </c>
      <c r="R3" s="1455" t="s">
        <v>1566</v>
      </c>
      <c r="S3" s="1455" t="s">
        <v>1567</v>
      </c>
      <c r="T3" s="1455" t="s">
        <v>1568</v>
      </c>
      <c r="U3" s="1455" t="s">
        <v>1569</v>
      </c>
      <c r="V3" s="1455" t="s">
        <v>23</v>
      </c>
    </row>
    <row r="4" spans="1:22">
      <c r="A4" s="1482" t="s">
        <v>1451</v>
      </c>
      <c r="B4" s="1372">
        <v>5</v>
      </c>
      <c r="C4" s="1372">
        <v>5168</v>
      </c>
      <c r="D4" s="1372">
        <v>18936</v>
      </c>
      <c r="E4" s="1372">
        <v>48101</v>
      </c>
      <c r="F4" s="1372">
        <v>72075</v>
      </c>
      <c r="G4" s="1372">
        <v>68330</v>
      </c>
      <c r="H4" s="1372">
        <v>56869</v>
      </c>
      <c r="I4" s="1372">
        <v>49870</v>
      </c>
      <c r="J4" s="1372">
        <v>52297</v>
      </c>
      <c r="K4" s="1372">
        <v>55205</v>
      </c>
      <c r="L4" s="1372">
        <v>57570</v>
      </c>
      <c r="M4" s="1372">
        <v>53737</v>
      </c>
      <c r="N4" s="1372">
        <v>46119</v>
      </c>
      <c r="O4" s="1372">
        <v>39416</v>
      </c>
      <c r="P4" s="1372">
        <v>33011</v>
      </c>
      <c r="Q4" s="1372">
        <v>26000</v>
      </c>
      <c r="R4" s="1372">
        <v>20539</v>
      </c>
      <c r="S4" s="1372">
        <v>15094</v>
      </c>
      <c r="T4" s="1372">
        <v>10783</v>
      </c>
      <c r="U4" s="1372">
        <v>9835</v>
      </c>
      <c r="V4" s="1483">
        <f>+U4+T4+S4+R4+Q4+P4+O4+N4+M4+L4+K4+J4+I4+H4+G4+F4+E4+D4+B4+C4</f>
        <v>738960</v>
      </c>
    </row>
    <row r="5" spans="1:22">
      <c r="A5" s="1482" t="s">
        <v>1452</v>
      </c>
      <c r="B5" s="1372">
        <v>2</v>
      </c>
      <c r="C5" s="1372">
        <v>1035</v>
      </c>
      <c r="D5" s="1372">
        <v>5160</v>
      </c>
      <c r="E5" s="1372">
        <v>17642</v>
      </c>
      <c r="F5" s="1372">
        <v>27383</v>
      </c>
      <c r="G5" s="1372">
        <v>26847</v>
      </c>
      <c r="H5" s="1372">
        <v>19305</v>
      </c>
      <c r="I5" s="1372">
        <v>17788</v>
      </c>
      <c r="J5" s="1372">
        <v>18072</v>
      </c>
      <c r="K5" s="1372">
        <v>19313</v>
      </c>
      <c r="L5" s="1372">
        <v>19374</v>
      </c>
      <c r="M5" s="1372">
        <v>17220</v>
      </c>
      <c r="N5" s="1372">
        <v>14914</v>
      </c>
      <c r="O5" s="1372">
        <v>12677</v>
      </c>
      <c r="P5" s="1372">
        <v>11209</v>
      </c>
      <c r="Q5" s="1372">
        <v>8464</v>
      </c>
      <c r="R5" s="1372">
        <v>7209</v>
      </c>
      <c r="S5" s="1372">
        <v>5561</v>
      </c>
      <c r="T5" s="1372">
        <v>3925</v>
      </c>
      <c r="U5" s="1372">
        <v>3535</v>
      </c>
      <c r="V5" s="1483">
        <f t="shared" ref="V5:V12" si="0">+U5+T5+S5+R5+Q5+P5+O5+N5+M5+L5+K5+J5+I5+H5+G5+F5+E5+D5+B5+C5</f>
        <v>256635</v>
      </c>
    </row>
    <row r="6" spans="1:22">
      <c r="A6" s="1482" t="s">
        <v>1453</v>
      </c>
      <c r="B6" s="1372">
        <v>5</v>
      </c>
      <c r="C6" s="1372">
        <v>494</v>
      </c>
      <c r="D6" s="1372">
        <v>3430</v>
      </c>
      <c r="E6" s="1372">
        <v>14330</v>
      </c>
      <c r="F6" s="1372">
        <v>22363</v>
      </c>
      <c r="G6" s="1372">
        <v>22479</v>
      </c>
      <c r="H6" s="1372">
        <v>20407</v>
      </c>
      <c r="I6" s="1372">
        <v>19176</v>
      </c>
      <c r="J6" s="1372">
        <v>20380</v>
      </c>
      <c r="K6" s="1372">
        <v>21961</v>
      </c>
      <c r="L6" s="1372">
        <v>24186</v>
      </c>
      <c r="M6" s="1372">
        <v>23758</v>
      </c>
      <c r="N6" s="1372">
        <v>19976</v>
      </c>
      <c r="O6" s="1372">
        <v>17449</v>
      </c>
      <c r="P6" s="1372">
        <v>15634</v>
      </c>
      <c r="Q6" s="1372">
        <v>12822</v>
      </c>
      <c r="R6" s="1372">
        <v>11074</v>
      </c>
      <c r="S6" s="1372">
        <v>8763</v>
      </c>
      <c r="T6" s="1372">
        <v>6732</v>
      </c>
      <c r="U6" s="1372">
        <v>6924</v>
      </c>
      <c r="V6" s="1483">
        <f t="shared" si="0"/>
        <v>292343</v>
      </c>
    </row>
    <row r="7" spans="1:22">
      <c r="A7" s="1482" t="s">
        <v>1454</v>
      </c>
      <c r="B7" s="1372"/>
      <c r="C7" s="1372">
        <v>582</v>
      </c>
      <c r="D7" s="1372">
        <v>4132</v>
      </c>
      <c r="E7" s="1372">
        <v>12372</v>
      </c>
      <c r="F7" s="1372">
        <v>21021</v>
      </c>
      <c r="G7" s="1372">
        <v>21663</v>
      </c>
      <c r="H7" s="1372">
        <v>18143</v>
      </c>
      <c r="I7" s="1372">
        <v>16429</v>
      </c>
      <c r="J7" s="1372">
        <v>16458</v>
      </c>
      <c r="K7" s="1372">
        <v>16906</v>
      </c>
      <c r="L7" s="1372">
        <v>16860</v>
      </c>
      <c r="M7" s="1372">
        <v>16238</v>
      </c>
      <c r="N7" s="1372">
        <v>14652</v>
      </c>
      <c r="O7" s="1372">
        <v>12818</v>
      </c>
      <c r="P7" s="1372">
        <v>11476</v>
      </c>
      <c r="Q7" s="1372">
        <v>9741</v>
      </c>
      <c r="R7" s="1372">
        <v>7920</v>
      </c>
      <c r="S7" s="1372">
        <v>6370</v>
      </c>
      <c r="T7" s="1372">
        <v>4699</v>
      </c>
      <c r="U7" s="1372">
        <v>4490</v>
      </c>
      <c r="V7" s="1483">
        <f t="shared" si="0"/>
        <v>232970</v>
      </c>
    </row>
    <row r="8" spans="1:22">
      <c r="A8" s="1482" t="s">
        <v>1455</v>
      </c>
      <c r="B8" s="1372">
        <v>3</v>
      </c>
      <c r="C8" s="1372">
        <v>444</v>
      </c>
      <c r="D8" s="1372">
        <v>3096</v>
      </c>
      <c r="E8" s="1372">
        <v>12012</v>
      </c>
      <c r="F8" s="1372">
        <v>20466</v>
      </c>
      <c r="G8" s="1372">
        <v>20788</v>
      </c>
      <c r="H8" s="1372">
        <v>12060</v>
      </c>
      <c r="I8" s="1372">
        <v>10597</v>
      </c>
      <c r="J8" s="1372">
        <v>11457</v>
      </c>
      <c r="K8" s="1372">
        <v>10193</v>
      </c>
      <c r="L8" s="1372">
        <v>9767</v>
      </c>
      <c r="M8" s="1372">
        <v>9017</v>
      </c>
      <c r="N8" s="1372">
        <v>8129</v>
      </c>
      <c r="O8" s="1372">
        <v>6787</v>
      </c>
      <c r="P8" s="1372">
        <v>6175</v>
      </c>
      <c r="Q8" s="1372">
        <v>5528</v>
      </c>
      <c r="R8" s="1372">
        <v>4932</v>
      </c>
      <c r="S8" s="1372">
        <v>3875</v>
      </c>
      <c r="T8" s="1372">
        <v>2849</v>
      </c>
      <c r="U8" s="1372">
        <v>2896</v>
      </c>
      <c r="V8" s="1483">
        <f t="shared" si="0"/>
        <v>161071</v>
      </c>
    </row>
    <row r="9" spans="1:22">
      <c r="A9" s="1482" t="s">
        <v>1456</v>
      </c>
      <c r="B9" s="1372">
        <v>5</v>
      </c>
      <c r="C9" s="1372">
        <v>355</v>
      </c>
      <c r="D9" s="1372">
        <v>2088</v>
      </c>
      <c r="E9" s="1372">
        <v>9600</v>
      </c>
      <c r="F9" s="1372">
        <v>18825</v>
      </c>
      <c r="G9" s="1372">
        <v>19518</v>
      </c>
      <c r="H9" s="1372">
        <v>13988</v>
      </c>
      <c r="I9" s="1372">
        <v>12939</v>
      </c>
      <c r="J9" s="1372">
        <v>14096</v>
      </c>
      <c r="K9" s="1372">
        <v>15254</v>
      </c>
      <c r="L9" s="1372">
        <v>16097</v>
      </c>
      <c r="M9" s="1372">
        <v>15138</v>
      </c>
      <c r="N9" s="1372">
        <v>14017</v>
      </c>
      <c r="O9" s="1372">
        <v>11300</v>
      </c>
      <c r="P9" s="1372">
        <v>9650</v>
      </c>
      <c r="Q9" s="1372">
        <v>7808</v>
      </c>
      <c r="R9" s="1372">
        <v>7248</v>
      </c>
      <c r="S9" s="1372">
        <v>5861</v>
      </c>
      <c r="T9" s="1372">
        <v>4312</v>
      </c>
      <c r="U9" s="1372">
        <v>4451</v>
      </c>
      <c r="V9" s="1483">
        <f t="shared" si="0"/>
        <v>202550</v>
      </c>
    </row>
    <row r="10" spans="1:22">
      <c r="A10" s="1482" t="s">
        <v>1457</v>
      </c>
      <c r="B10" s="1372">
        <v>2</v>
      </c>
      <c r="C10" s="1372">
        <v>498</v>
      </c>
      <c r="D10" s="1372">
        <v>3375</v>
      </c>
      <c r="E10" s="1372">
        <v>13026</v>
      </c>
      <c r="F10" s="1372">
        <v>23742</v>
      </c>
      <c r="G10" s="1372">
        <v>26334</v>
      </c>
      <c r="H10" s="1372">
        <v>18345</v>
      </c>
      <c r="I10" s="1372">
        <v>14076</v>
      </c>
      <c r="J10" s="1372">
        <v>12462</v>
      </c>
      <c r="K10" s="1372">
        <v>12574</v>
      </c>
      <c r="L10" s="1372">
        <v>12647</v>
      </c>
      <c r="M10" s="1372">
        <v>12394</v>
      </c>
      <c r="N10" s="1372">
        <v>10968</v>
      </c>
      <c r="O10" s="1372">
        <v>10837</v>
      </c>
      <c r="P10" s="1372">
        <v>9589</v>
      </c>
      <c r="Q10" s="1372">
        <v>8240</v>
      </c>
      <c r="R10" s="1372">
        <v>7550</v>
      </c>
      <c r="S10" s="1372">
        <v>5810</v>
      </c>
      <c r="T10" s="1372">
        <v>4032</v>
      </c>
      <c r="U10" s="1372">
        <v>3391</v>
      </c>
      <c r="V10" s="1483">
        <f t="shared" si="0"/>
        <v>209892</v>
      </c>
    </row>
    <row r="11" spans="1:22">
      <c r="A11" s="1482" t="s">
        <v>1458</v>
      </c>
      <c r="B11" s="1372"/>
      <c r="C11" s="1372">
        <v>136</v>
      </c>
      <c r="D11" s="1372">
        <v>1592</v>
      </c>
      <c r="E11" s="1372">
        <v>6463</v>
      </c>
      <c r="F11" s="1372">
        <v>11699</v>
      </c>
      <c r="G11" s="1372">
        <v>12563</v>
      </c>
      <c r="H11" s="1372">
        <v>8943</v>
      </c>
      <c r="I11" s="1372">
        <v>8288</v>
      </c>
      <c r="J11" s="1372">
        <v>8295</v>
      </c>
      <c r="K11" s="1372">
        <v>9029</v>
      </c>
      <c r="L11" s="1372">
        <v>9339</v>
      </c>
      <c r="M11" s="1372">
        <v>8818</v>
      </c>
      <c r="N11" s="1372">
        <v>7942</v>
      </c>
      <c r="O11" s="1372">
        <v>6937</v>
      </c>
      <c r="P11" s="1372">
        <v>6364</v>
      </c>
      <c r="Q11" s="1372">
        <v>5441</v>
      </c>
      <c r="R11" s="1372">
        <v>4748</v>
      </c>
      <c r="S11" s="1372">
        <v>3937</v>
      </c>
      <c r="T11" s="1372">
        <v>2943</v>
      </c>
      <c r="U11" s="1372">
        <v>3123</v>
      </c>
      <c r="V11" s="1483">
        <f t="shared" si="0"/>
        <v>126600</v>
      </c>
    </row>
    <row r="12" spans="1:22">
      <c r="A12" s="1482" t="s">
        <v>1459</v>
      </c>
      <c r="B12" s="1372">
        <v>4</v>
      </c>
      <c r="C12" s="1372">
        <v>625</v>
      </c>
      <c r="D12" s="1372">
        <v>4453</v>
      </c>
      <c r="E12" s="1372">
        <v>15548</v>
      </c>
      <c r="F12" s="1372">
        <v>24092</v>
      </c>
      <c r="G12" s="1372">
        <v>24563</v>
      </c>
      <c r="H12" s="1372">
        <v>19256</v>
      </c>
      <c r="I12" s="1372">
        <v>18719</v>
      </c>
      <c r="J12" s="1372">
        <v>18190</v>
      </c>
      <c r="K12" s="1372">
        <v>18914</v>
      </c>
      <c r="L12" s="1372">
        <v>19307</v>
      </c>
      <c r="M12" s="1372">
        <v>18518</v>
      </c>
      <c r="N12" s="1372">
        <v>15920</v>
      </c>
      <c r="O12" s="1372">
        <v>13717</v>
      </c>
      <c r="P12" s="1372">
        <v>12224</v>
      </c>
      <c r="Q12" s="1372">
        <v>9772</v>
      </c>
      <c r="R12" s="1372">
        <v>7990</v>
      </c>
      <c r="S12" s="1372">
        <v>6562</v>
      </c>
      <c r="T12" s="1372">
        <v>4905</v>
      </c>
      <c r="U12" s="1372">
        <v>4574</v>
      </c>
      <c r="V12" s="1483">
        <f t="shared" si="0"/>
        <v>257853</v>
      </c>
    </row>
    <row r="13" spans="1:22">
      <c r="A13" s="1484" t="s">
        <v>1155</v>
      </c>
      <c r="B13" s="1463">
        <f>SUM(B4:B12)</f>
        <v>26</v>
      </c>
      <c r="C13" s="1463">
        <f>SUM(C4:C12)</f>
        <v>9337</v>
      </c>
      <c r="D13" s="1463">
        <f t="shared" ref="D13:V13" si="1">SUM(D4:D12)</f>
        <v>46262</v>
      </c>
      <c r="E13" s="1463">
        <f t="shared" si="1"/>
        <v>149094</v>
      </c>
      <c r="F13" s="1463">
        <f t="shared" si="1"/>
        <v>241666</v>
      </c>
      <c r="G13" s="1463">
        <f t="shared" si="1"/>
        <v>243085</v>
      </c>
      <c r="H13" s="1463">
        <f t="shared" si="1"/>
        <v>187316</v>
      </c>
      <c r="I13" s="1463">
        <f t="shared" si="1"/>
        <v>167882</v>
      </c>
      <c r="J13" s="1463">
        <f t="shared" si="1"/>
        <v>171707</v>
      </c>
      <c r="K13" s="1463">
        <f t="shared" si="1"/>
        <v>179349</v>
      </c>
      <c r="L13" s="1463">
        <f t="shared" si="1"/>
        <v>185147</v>
      </c>
      <c r="M13" s="1463">
        <f t="shared" si="1"/>
        <v>174838</v>
      </c>
      <c r="N13" s="1463">
        <f t="shared" si="1"/>
        <v>152637</v>
      </c>
      <c r="O13" s="1463">
        <f t="shared" si="1"/>
        <v>131938</v>
      </c>
      <c r="P13" s="1463">
        <f t="shared" si="1"/>
        <v>115332</v>
      </c>
      <c r="Q13" s="1463">
        <f t="shared" si="1"/>
        <v>93816</v>
      </c>
      <c r="R13" s="1463">
        <f t="shared" si="1"/>
        <v>79210</v>
      </c>
      <c r="S13" s="1463">
        <f t="shared" si="1"/>
        <v>61833</v>
      </c>
      <c r="T13" s="1463">
        <f t="shared" si="1"/>
        <v>45180</v>
      </c>
      <c r="U13" s="1463">
        <f t="shared" si="1"/>
        <v>43219</v>
      </c>
      <c r="V13" s="1463">
        <f t="shared" si="1"/>
        <v>2478874</v>
      </c>
    </row>
  </sheetData>
  <mergeCells count="1">
    <mergeCell ref="A1:V1"/>
  </mergeCells>
  <pageMargins left="0.7" right="0.7" top="0.75" bottom="0.75" header="0.3" footer="0.3"/>
  <pageSetup scale="6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28" sqref="O28"/>
    </sheetView>
  </sheetViews>
  <sheetFormatPr baseColWidth="10" defaultColWidth="11.42578125" defaultRowHeight="15"/>
  <cols>
    <col min="1" max="6" width="11.42578125" style="128"/>
    <col min="7" max="7" width="15" style="128" customWidth="1"/>
    <col min="8" max="12" width="11.42578125" style="128"/>
    <col min="13" max="13" width="19.140625" style="128" customWidth="1"/>
    <col min="14" max="16384" width="11.42578125" style="128"/>
  </cols>
  <sheetData/>
  <pageMargins left="0.7" right="0.7" top="0.75" bottom="0.75" header="0.3" footer="0.3"/>
  <pageSetup scale="7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4" tint="-0.499984740745262"/>
    <pageSetUpPr fitToPage="1"/>
  </sheetPr>
  <dimension ref="A1:R47"/>
  <sheetViews>
    <sheetView showGridLines="0" view="pageBreakPreview" zoomScale="70" zoomScaleNormal="100" zoomScaleSheetLayoutView="70" workbookViewId="0">
      <selection activeCell="O41" sqref="O41"/>
    </sheetView>
  </sheetViews>
  <sheetFormatPr baseColWidth="10" defaultColWidth="11.42578125" defaultRowHeight="15"/>
  <cols>
    <col min="1" max="1" width="10.28515625" style="59" customWidth="1"/>
    <col min="2" max="2" width="14.140625" style="59" customWidth="1"/>
    <col min="3" max="3" width="14.42578125" style="59" customWidth="1"/>
    <col min="4" max="4" width="16.28515625" style="59" customWidth="1"/>
    <col min="5" max="5" width="13.42578125" style="59" customWidth="1"/>
    <col min="6" max="6" width="18.28515625" style="59" customWidth="1"/>
    <col min="7" max="7" width="14.7109375" style="59" customWidth="1"/>
    <col min="8" max="8" width="15.5703125" style="59" customWidth="1"/>
    <col min="9" max="9" width="15.28515625" style="59" customWidth="1"/>
    <col min="10" max="10" width="15.5703125" style="59" customWidth="1"/>
    <col min="11" max="11" width="13.5703125" style="59" customWidth="1"/>
    <col min="12" max="12" width="18" style="59" customWidth="1"/>
    <col min="13" max="13" width="17.5703125" style="59" customWidth="1"/>
    <col min="14" max="14" width="13.5703125" style="59" customWidth="1"/>
    <col min="15" max="15" width="11.42578125" style="59" customWidth="1"/>
    <col min="16" max="16384" width="11.42578125" style="59"/>
  </cols>
  <sheetData>
    <row r="1" spans="1:18" customFormat="1" ht="66.75" customHeight="1">
      <c r="A1" s="2415" t="s">
        <v>1953</v>
      </c>
      <c r="B1" s="2416"/>
      <c r="C1" s="2416"/>
      <c r="D1" s="2416"/>
      <c r="E1" s="2416"/>
      <c r="F1" s="2416"/>
      <c r="G1" s="2416"/>
      <c r="H1" s="2416"/>
      <c r="I1" s="2416"/>
      <c r="J1" s="2416"/>
      <c r="K1" s="2416"/>
      <c r="L1" s="2416"/>
      <c r="M1" s="2417"/>
    </row>
    <row r="2" spans="1:18" s="128" customFormat="1" ht="3" customHeight="1">
      <c r="A2" s="443"/>
      <c r="B2" s="443"/>
      <c r="C2" s="443"/>
      <c r="D2" s="443"/>
      <c r="E2" s="443"/>
      <c r="F2" s="443"/>
      <c r="G2" s="443"/>
      <c r="H2" s="443"/>
      <c r="I2" s="443"/>
      <c r="J2" s="443"/>
      <c r="K2" s="443"/>
      <c r="L2" s="443"/>
    </row>
    <row r="3" spans="1:18" customFormat="1" ht="49.5" customHeight="1">
      <c r="A3" s="627" t="s">
        <v>51</v>
      </c>
      <c r="B3" s="759" t="s">
        <v>1298</v>
      </c>
      <c r="C3" s="759" t="s">
        <v>500</v>
      </c>
      <c r="D3" s="759" t="s">
        <v>1299</v>
      </c>
      <c r="E3" s="759" t="s">
        <v>503</v>
      </c>
      <c r="F3" s="759" t="s">
        <v>1300</v>
      </c>
      <c r="G3" s="759" t="s">
        <v>502</v>
      </c>
      <c r="H3" s="759" t="s">
        <v>1301</v>
      </c>
      <c r="I3" s="759" t="s">
        <v>501</v>
      </c>
      <c r="J3" s="1952" t="s">
        <v>1302</v>
      </c>
      <c r="K3" s="1952" t="s">
        <v>500</v>
      </c>
      <c r="L3" s="628" t="s">
        <v>1303</v>
      </c>
      <c r="M3" s="108"/>
      <c r="N3" s="108"/>
      <c r="O3" s="59"/>
      <c r="P3" s="59"/>
      <c r="Q3" s="27"/>
      <c r="R3" s="27"/>
    </row>
    <row r="4" spans="1:18" customFormat="1" ht="15.75">
      <c r="A4" s="557" t="s">
        <v>34</v>
      </c>
      <c r="B4" s="1951">
        <v>21982</v>
      </c>
      <c r="C4" s="1978"/>
      <c r="D4" s="444">
        <v>12775</v>
      </c>
      <c r="E4" s="1981">
        <v>0.58115731052679465</v>
      </c>
      <c r="F4" s="444">
        <v>7188</v>
      </c>
      <c r="G4" s="1981">
        <v>0.32699481393867708</v>
      </c>
      <c r="H4" s="444">
        <v>2019</v>
      </c>
      <c r="I4" s="1981">
        <v>9.184787553452825E-2</v>
      </c>
      <c r="J4" s="1950">
        <v>23843</v>
      </c>
      <c r="K4" s="1984"/>
      <c r="L4" s="1985">
        <v>1.0846601765080521</v>
      </c>
      <c r="M4" s="108"/>
      <c r="N4" s="108"/>
      <c r="O4" s="108"/>
      <c r="P4" s="108"/>
      <c r="Q4" s="27"/>
      <c r="R4" s="27"/>
    </row>
    <row r="5" spans="1:18" customFormat="1">
      <c r="A5" s="557" t="s">
        <v>359</v>
      </c>
      <c r="B5" s="1951">
        <v>27354</v>
      </c>
      <c r="C5" s="1979">
        <v>0.24438176690019101</v>
      </c>
      <c r="D5" s="491">
        <v>14927</v>
      </c>
      <c r="E5" s="1982">
        <v>0.54569715580902245</v>
      </c>
      <c r="F5" s="491">
        <v>9946</v>
      </c>
      <c r="G5" s="1982">
        <v>0.36360312934122979</v>
      </c>
      <c r="H5" s="491">
        <v>2481</v>
      </c>
      <c r="I5" s="1982">
        <v>9.0699714849747745E-2</v>
      </c>
      <c r="J5" s="1950">
        <v>27577</v>
      </c>
      <c r="K5" s="1986">
        <v>0.15660780941995545</v>
      </c>
      <c r="L5" s="1985">
        <v>1.0081523725963295</v>
      </c>
      <c r="M5" s="59"/>
      <c r="N5" s="59"/>
      <c r="O5" s="59"/>
      <c r="P5" s="27"/>
      <c r="Q5" s="27"/>
    </row>
    <row r="6" spans="1:18" customFormat="1">
      <c r="A6" s="557" t="s">
        <v>477</v>
      </c>
      <c r="B6" s="1951">
        <v>29726</v>
      </c>
      <c r="C6" s="1979">
        <v>8.6714922863200927E-2</v>
      </c>
      <c r="D6" s="491">
        <v>16317</v>
      </c>
      <c r="E6" s="1982">
        <v>0.54891340913678266</v>
      </c>
      <c r="F6" s="491">
        <v>10524</v>
      </c>
      <c r="G6" s="1982">
        <v>0.35403350602166456</v>
      </c>
      <c r="H6" s="491">
        <v>2885</v>
      </c>
      <c r="I6" s="1982">
        <v>9.7053084841552853E-2</v>
      </c>
      <c r="J6" s="1950">
        <v>29648</v>
      </c>
      <c r="K6" s="1986">
        <v>7.5098814229249022E-2</v>
      </c>
      <c r="L6" s="1985">
        <v>0.99737603444795797</v>
      </c>
      <c r="M6" s="59"/>
      <c r="N6" s="59"/>
      <c r="O6" s="59"/>
      <c r="P6" s="27"/>
      <c r="Q6" s="27"/>
    </row>
    <row r="7" spans="1:18" customFormat="1" ht="15.75">
      <c r="A7" s="710" t="s">
        <v>1057</v>
      </c>
      <c r="B7" s="1951">
        <v>30703</v>
      </c>
      <c r="C7" s="1980">
        <v>3.2866850568525896E-2</v>
      </c>
      <c r="D7" s="1573">
        <v>16189</v>
      </c>
      <c r="E7" s="1983">
        <v>0.52727746474285897</v>
      </c>
      <c r="F7" s="1573">
        <v>10515</v>
      </c>
      <c r="G7" s="1983">
        <v>0.34247467674168647</v>
      </c>
      <c r="H7" s="1573">
        <v>3999</v>
      </c>
      <c r="I7" s="1983">
        <v>0.13024785851545451</v>
      </c>
      <c r="J7" s="1950">
        <v>30884</v>
      </c>
      <c r="K7" s="1987">
        <v>4.1689152725310263E-2</v>
      </c>
      <c r="L7" s="1985">
        <v>1.0058951893951731</v>
      </c>
      <c r="M7" s="108"/>
      <c r="N7" s="108"/>
      <c r="O7" s="108"/>
      <c r="P7" s="27"/>
      <c r="Q7" s="27"/>
    </row>
    <row r="8" spans="1:18" customFormat="1" ht="15.75">
      <c r="A8" s="710" t="s">
        <v>1640</v>
      </c>
      <c r="B8" s="1951">
        <v>27273</v>
      </c>
      <c r="C8" s="1980">
        <v>-0.11171546754388817</v>
      </c>
      <c r="D8" s="1573">
        <v>13249</v>
      </c>
      <c r="E8" s="1983">
        <v>0.48579180874857919</v>
      </c>
      <c r="F8" s="1573">
        <v>10016</v>
      </c>
      <c r="G8" s="1983">
        <v>0.36724966083672494</v>
      </c>
      <c r="H8" s="1573">
        <v>4008</v>
      </c>
      <c r="I8" s="1983">
        <v>0.14695853041469586</v>
      </c>
      <c r="J8" s="1950">
        <v>29217</v>
      </c>
      <c r="K8" s="1987">
        <v>-5.3976168890040199E-2</v>
      </c>
      <c r="L8" s="1985">
        <v>1.071279287207128</v>
      </c>
      <c r="M8" s="108"/>
      <c r="N8" s="108"/>
      <c r="O8" s="108"/>
      <c r="P8" s="27"/>
      <c r="Q8" s="27"/>
    </row>
    <row r="9" spans="1:18" customFormat="1" ht="15.75">
      <c r="A9" s="710" t="s">
        <v>1922</v>
      </c>
      <c r="B9" s="1951">
        <v>30370</v>
      </c>
      <c r="C9" s="1980">
        <v>0.11355553111135563</v>
      </c>
      <c r="D9" s="1573">
        <v>15039</v>
      </c>
      <c r="E9" s="1983">
        <v>0.49519262430029637</v>
      </c>
      <c r="F9" s="1573">
        <v>10509</v>
      </c>
      <c r="G9" s="1983">
        <v>0.34603226868620351</v>
      </c>
      <c r="H9" s="1573">
        <v>4822</v>
      </c>
      <c r="I9" s="1983">
        <v>0.15877510701350017</v>
      </c>
      <c r="J9" s="1950">
        <v>30470</v>
      </c>
      <c r="K9" s="1987">
        <v>4.2885991032618032E-2</v>
      </c>
      <c r="L9" s="1985">
        <v>1.0032927230819888</v>
      </c>
      <c r="M9" s="108"/>
      <c r="N9" s="108"/>
      <c r="O9" s="108"/>
      <c r="P9" s="27"/>
      <c r="Q9" s="27"/>
    </row>
    <row r="10" spans="1:18" customFormat="1" ht="15.75">
      <c r="C10" s="93"/>
      <c r="D10" s="93"/>
      <c r="E10" s="93"/>
      <c r="F10" s="93"/>
      <c r="G10" s="93"/>
      <c r="H10" s="93"/>
      <c r="I10" s="93"/>
      <c r="J10" s="108"/>
      <c r="K10" s="108"/>
      <c r="L10" s="108"/>
      <c r="M10" s="108"/>
      <c r="N10" s="108"/>
      <c r="O10" s="108"/>
      <c r="P10" s="148"/>
      <c r="Q10" s="27"/>
    </row>
    <row r="11" spans="1:18" customFormat="1" ht="15.75">
      <c r="C11" s="93"/>
      <c r="D11" s="93"/>
      <c r="E11" s="93"/>
      <c r="F11" s="93"/>
      <c r="G11" s="93"/>
      <c r="H11" s="93"/>
      <c r="I11" s="93"/>
      <c r="J11" s="108"/>
      <c r="K11" s="108"/>
      <c r="L11" s="108"/>
      <c r="M11" s="108"/>
      <c r="N11" s="108"/>
      <c r="O11" s="108"/>
      <c r="P11" s="108"/>
      <c r="Q11" s="108"/>
      <c r="R11" s="27"/>
    </row>
    <row r="12" spans="1:18" customFormat="1" ht="15.75">
      <c r="C12" s="93"/>
      <c r="D12" s="93"/>
      <c r="E12" s="93"/>
      <c r="F12" s="93"/>
      <c r="G12" s="93"/>
      <c r="H12" s="93"/>
      <c r="I12" s="93"/>
      <c r="J12" s="108"/>
      <c r="K12" s="203"/>
      <c r="L12" s="108"/>
      <c r="M12" s="108"/>
      <c r="N12" s="108"/>
      <c r="O12" s="108"/>
      <c r="P12" s="108"/>
      <c r="Q12" s="108"/>
      <c r="R12" s="27"/>
    </row>
    <row r="13" spans="1:18" customFormat="1" ht="15.75">
      <c r="C13" s="93"/>
      <c r="D13" s="93"/>
      <c r="E13" s="93"/>
      <c r="F13" s="93"/>
      <c r="G13" s="93"/>
      <c r="H13" s="93"/>
      <c r="I13" s="93"/>
      <c r="J13" s="108"/>
      <c r="K13" s="108"/>
      <c r="L13" s="108"/>
      <c r="M13" s="108"/>
      <c r="N13" s="108"/>
      <c r="O13" s="108"/>
      <c r="P13" s="108"/>
      <c r="Q13" s="108"/>
      <c r="R13" s="27"/>
    </row>
    <row r="14" spans="1:18" customFormat="1" ht="15.75">
      <c r="C14" s="13"/>
      <c r="D14" s="13"/>
      <c r="E14" s="13"/>
      <c r="F14" s="13"/>
      <c r="G14" s="13"/>
      <c r="H14" s="13"/>
      <c r="I14" s="13"/>
      <c r="J14" s="13"/>
      <c r="K14" s="13"/>
      <c r="L14" s="13"/>
      <c r="M14" s="13"/>
      <c r="N14" s="13"/>
      <c r="O14" s="13"/>
      <c r="P14" s="13"/>
      <c r="Q14" s="13"/>
    </row>
    <row r="15" spans="1:18" customFormat="1" ht="15.75">
      <c r="C15" s="13"/>
      <c r="D15" s="13"/>
      <c r="E15" s="13"/>
      <c r="F15" s="13"/>
      <c r="G15" s="13"/>
      <c r="H15" s="13"/>
      <c r="I15" s="13"/>
      <c r="J15" s="13"/>
      <c r="K15" s="13"/>
      <c r="L15" s="13"/>
      <c r="M15" s="13"/>
      <c r="N15" s="13"/>
      <c r="O15" s="13"/>
      <c r="P15" s="13"/>
      <c r="Q15" s="13"/>
    </row>
    <row r="16" spans="1:18" customFormat="1" ht="15.75">
      <c r="C16" s="13"/>
      <c r="D16" s="13"/>
      <c r="E16" s="13"/>
      <c r="F16" s="13"/>
      <c r="G16" s="13"/>
      <c r="H16" s="13"/>
      <c r="I16" s="13"/>
      <c r="J16" s="13"/>
      <c r="K16" s="13"/>
      <c r="L16" s="13"/>
      <c r="M16" s="13"/>
      <c r="N16" s="13"/>
      <c r="O16" s="13"/>
      <c r="P16" s="13"/>
      <c r="Q16" s="13"/>
    </row>
    <row r="17" spans="1:17" customFormat="1" ht="15.75">
      <c r="C17" s="13"/>
      <c r="D17" s="13"/>
      <c r="E17" s="13"/>
      <c r="F17" s="13"/>
      <c r="G17" s="13"/>
      <c r="H17" s="13"/>
      <c r="I17" s="13"/>
      <c r="J17" s="13"/>
      <c r="K17" s="13"/>
      <c r="L17" s="13"/>
      <c r="M17" s="13"/>
      <c r="N17" s="13"/>
      <c r="O17" s="13"/>
      <c r="P17" s="13"/>
      <c r="Q17" s="13"/>
    </row>
    <row r="18" spans="1:17" customFormat="1" ht="15.75">
      <c r="C18" s="13"/>
      <c r="D18" s="13"/>
      <c r="E18" s="13"/>
      <c r="F18" s="13"/>
      <c r="G18" s="13"/>
      <c r="H18" s="13"/>
      <c r="I18" s="13"/>
      <c r="J18" s="13"/>
      <c r="K18" s="13"/>
      <c r="L18" s="13"/>
      <c r="M18" s="13"/>
      <c r="N18" s="13"/>
      <c r="O18" s="13"/>
      <c r="P18" s="13"/>
      <c r="Q18" s="13"/>
    </row>
    <row r="19" spans="1:17" s="128" customFormat="1" ht="15.75">
      <c r="A19"/>
      <c r="B19"/>
      <c r="C19" s="13"/>
      <c r="D19" s="13"/>
      <c r="E19" s="13"/>
      <c r="F19" s="13"/>
      <c r="G19" s="13"/>
      <c r="H19" s="13"/>
      <c r="I19" s="13"/>
      <c r="J19" s="13"/>
      <c r="K19" s="13"/>
      <c r="L19" s="13"/>
      <c r="M19" s="13"/>
      <c r="N19" s="13"/>
      <c r="O19" s="13"/>
      <c r="P19" s="13"/>
      <c r="Q19" s="13"/>
    </row>
    <row r="20" spans="1:17" customFormat="1" ht="15.75">
      <c r="C20" s="13"/>
      <c r="D20" s="13"/>
      <c r="E20" s="13"/>
      <c r="F20" s="13"/>
      <c r="G20" s="13"/>
      <c r="H20" s="13"/>
      <c r="I20" s="13"/>
      <c r="J20" s="13"/>
      <c r="K20" s="13"/>
      <c r="L20" s="13"/>
      <c r="M20" s="13"/>
      <c r="N20" s="13"/>
      <c r="O20" s="13"/>
      <c r="P20" s="13"/>
      <c r="Q20" s="13"/>
    </row>
    <row r="21" spans="1:17" customFormat="1">
      <c r="D21" s="128"/>
      <c r="E21" s="128"/>
      <c r="F21" s="128"/>
      <c r="G21" s="128"/>
      <c r="H21" s="128"/>
      <c r="I21" s="128"/>
    </row>
    <row r="22" spans="1:17" customFormat="1">
      <c r="D22" s="128"/>
      <c r="E22" s="128"/>
      <c r="F22" s="128"/>
      <c r="G22" s="128"/>
      <c r="H22" s="128"/>
      <c r="I22" s="128"/>
    </row>
    <row r="23" spans="1:17" customFormat="1">
      <c r="D23" s="128"/>
      <c r="E23" s="128"/>
      <c r="F23" s="128"/>
      <c r="G23" s="128"/>
      <c r="H23" s="128"/>
      <c r="I23" s="128"/>
    </row>
    <row r="24" spans="1:17" customFormat="1">
      <c r="D24" s="128"/>
      <c r="E24" s="128"/>
      <c r="F24" s="128"/>
      <c r="G24" s="128"/>
      <c r="H24" s="128"/>
      <c r="I24" s="128"/>
    </row>
    <row r="25" spans="1:17" customFormat="1">
      <c r="D25" s="128"/>
      <c r="E25" s="128"/>
      <c r="F25" s="128"/>
      <c r="G25" s="128"/>
      <c r="H25" s="128"/>
      <c r="I25" s="128"/>
    </row>
    <row r="26" spans="1:17" customFormat="1">
      <c r="D26" s="128"/>
      <c r="E26" s="128"/>
      <c r="F26" s="128"/>
      <c r="G26" s="128"/>
      <c r="H26" s="128"/>
      <c r="I26" s="128"/>
    </row>
    <row r="27" spans="1:17" customFormat="1">
      <c r="D27" s="128"/>
      <c r="E27" s="128"/>
      <c r="F27" s="128"/>
      <c r="G27" s="128"/>
      <c r="H27" s="128"/>
      <c r="I27" s="128"/>
    </row>
    <row r="28" spans="1:17" customFormat="1">
      <c r="D28" s="128"/>
      <c r="E28" s="128"/>
      <c r="F28" s="128"/>
      <c r="G28" s="128"/>
      <c r="H28" s="128"/>
      <c r="I28" s="128"/>
    </row>
    <row r="29" spans="1:17" customFormat="1">
      <c r="D29" s="128"/>
      <c r="E29" s="128"/>
      <c r="F29" s="128"/>
      <c r="G29" s="128"/>
      <c r="H29" s="128"/>
      <c r="I29" s="128"/>
    </row>
    <row r="30" spans="1:17" customFormat="1">
      <c r="D30" s="128"/>
      <c r="E30" s="128"/>
      <c r="F30" s="128"/>
      <c r="G30" s="128"/>
      <c r="H30" s="128"/>
      <c r="I30" s="128"/>
    </row>
    <row r="31" spans="1:17" customFormat="1">
      <c r="D31" s="128"/>
      <c r="E31" s="128"/>
      <c r="F31" s="128"/>
      <c r="G31" s="128"/>
      <c r="H31" s="128"/>
      <c r="I31" s="128"/>
    </row>
    <row r="32" spans="1:17" customFormat="1">
      <c r="D32" s="128"/>
      <c r="E32" s="128"/>
      <c r="F32" s="128"/>
      <c r="G32" s="128"/>
      <c r="H32" s="128"/>
      <c r="I32" s="128"/>
    </row>
    <row r="33" spans="1:18" customFormat="1">
      <c r="D33" s="128"/>
      <c r="E33" s="128"/>
      <c r="F33" s="128"/>
      <c r="G33" s="128"/>
      <c r="H33" s="128"/>
      <c r="I33" s="128"/>
    </row>
    <row r="34" spans="1:18" customFormat="1">
      <c r="D34" s="128"/>
      <c r="E34" s="128"/>
      <c r="F34" s="128"/>
      <c r="G34" s="128"/>
      <c r="H34" s="128"/>
      <c r="I34" s="128"/>
    </row>
    <row r="35" spans="1:18" customFormat="1">
      <c r="D35" s="128"/>
      <c r="E35" s="128"/>
      <c r="F35" s="128"/>
      <c r="G35" s="128"/>
      <c r="H35" s="128"/>
      <c r="I35" s="128"/>
    </row>
    <row r="36" spans="1:18" customFormat="1">
      <c r="D36" s="128"/>
      <c r="E36" s="128"/>
      <c r="F36" s="128"/>
      <c r="G36" s="128"/>
      <c r="H36" s="128"/>
      <c r="I36" s="128"/>
    </row>
    <row r="37" spans="1:18" customFormat="1">
      <c r="D37" s="128"/>
      <c r="E37" s="128"/>
      <c r="F37" s="128"/>
      <c r="G37" s="128"/>
      <c r="H37" s="128"/>
      <c r="I37" s="128"/>
    </row>
    <row r="38" spans="1:18" customFormat="1">
      <c r="D38" s="128"/>
      <c r="E38" s="128"/>
      <c r="F38" s="128"/>
      <c r="G38" s="128"/>
      <c r="H38" s="128"/>
      <c r="I38" s="128"/>
    </row>
    <row r="39" spans="1:18" customFormat="1">
      <c r="D39" s="128"/>
      <c r="E39" s="128"/>
      <c r="F39" s="128"/>
      <c r="G39" s="128"/>
      <c r="H39" s="128"/>
      <c r="I39" s="128"/>
    </row>
    <row r="40" spans="1:18" customFormat="1">
      <c r="D40" s="128"/>
      <c r="E40" s="128"/>
      <c r="F40" s="128"/>
      <c r="G40" s="128"/>
      <c r="H40" s="128"/>
      <c r="I40" s="128"/>
    </row>
    <row r="47" spans="1:18" ht="29.25" customHeight="1">
      <c r="A47" s="2285"/>
      <c r="B47" s="2285"/>
      <c r="C47" s="2285"/>
      <c r="D47" s="2285"/>
      <c r="E47" s="2285"/>
      <c r="F47" s="2285"/>
      <c r="G47" s="2285"/>
      <c r="H47" s="2285"/>
      <c r="I47" s="2285"/>
      <c r="J47" s="2285"/>
      <c r="K47" s="2285"/>
      <c r="L47" s="2285"/>
      <c r="M47" s="2285"/>
      <c r="N47" s="2285"/>
      <c r="O47" s="2285"/>
      <c r="P47" s="2285"/>
      <c r="Q47" s="2285"/>
      <c r="R47" s="2285"/>
    </row>
  </sheetData>
  <mergeCells count="2">
    <mergeCell ref="A47:R47"/>
    <mergeCell ref="A1:M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8" tint="-0.499984740745262"/>
    <pageSetUpPr fitToPage="1"/>
  </sheetPr>
  <dimension ref="A1:S41"/>
  <sheetViews>
    <sheetView showGridLines="0" view="pageBreakPreview" topLeftCell="B1" zoomScale="70" zoomScaleNormal="100" zoomScaleSheetLayoutView="70" workbookViewId="0">
      <selection activeCell="Q57" sqref="Q57"/>
    </sheetView>
  </sheetViews>
  <sheetFormatPr baseColWidth="10" defaultColWidth="11.42578125" defaultRowHeight="15"/>
  <cols>
    <col min="1" max="1" width="13.28515625" style="59" customWidth="1"/>
    <col min="2" max="2" width="12.42578125" style="59" customWidth="1"/>
    <col min="3" max="3" width="11.28515625" style="59" customWidth="1"/>
    <col min="4" max="4" width="13.140625" style="59" customWidth="1"/>
    <col min="5" max="5" width="11.28515625" style="59" customWidth="1"/>
    <col min="6" max="6" width="13.5703125" style="59" customWidth="1"/>
    <col min="7" max="7" width="13.140625" style="59" customWidth="1"/>
    <col min="8" max="9" width="11.28515625" style="59" customWidth="1"/>
    <col min="10" max="10" width="13.42578125" style="59" customWidth="1"/>
    <col min="11" max="11" width="14" style="59" customWidth="1"/>
    <col min="12" max="12" width="15.5703125" style="59" customWidth="1"/>
    <col min="13" max="13" width="17" style="59" customWidth="1"/>
    <col min="14" max="14" width="13.140625" style="59" bestFit="1" customWidth="1"/>
    <col min="15" max="15" width="7.140625" style="59" customWidth="1"/>
    <col min="16" max="16" width="18.42578125" style="59" customWidth="1"/>
    <col min="17" max="17" width="27.28515625" style="59" customWidth="1"/>
    <col min="18" max="16384" width="11.42578125" style="59"/>
  </cols>
  <sheetData>
    <row r="1" spans="1:18" s="128" customFormat="1" ht="72" customHeight="1">
      <c r="A1" s="2418" t="s">
        <v>1954</v>
      </c>
      <c r="B1" s="2418"/>
      <c r="C1" s="2418"/>
      <c r="D1" s="2418"/>
      <c r="E1" s="2418"/>
      <c r="F1" s="2418"/>
      <c r="G1" s="2418"/>
      <c r="H1" s="2418"/>
      <c r="I1" s="2418"/>
      <c r="J1" s="2418"/>
      <c r="K1" s="2418"/>
      <c r="L1" s="2418"/>
      <c r="M1" s="2418"/>
    </row>
    <row r="2" spans="1:18" s="128" customFormat="1" ht="3.75" customHeight="1">
      <c r="A2" s="443"/>
      <c r="B2" s="443"/>
      <c r="C2" s="443"/>
      <c r="D2" s="443"/>
      <c r="E2" s="443"/>
      <c r="F2" s="443"/>
      <c r="G2" s="443"/>
      <c r="H2" s="443"/>
      <c r="I2" s="443"/>
      <c r="J2" s="443"/>
      <c r="K2" s="443"/>
      <c r="L2" s="443"/>
    </row>
    <row r="3" spans="1:18" s="128" customFormat="1" ht="51" customHeight="1">
      <c r="A3" s="627" t="s">
        <v>494</v>
      </c>
      <c r="B3" s="759" t="s">
        <v>1298</v>
      </c>
      <c r="C3" s="759" t="s">
        <v>500</v>
      </c>
      <c r="D3" s="759" t="s">
        <v>1299</v>
      </c>
      <c r="E3" s="759" t="s">
        <v>503</v>
      </c>
      <c r="F3" s="759" t="s">
        <v>1300</v>
      </c>
      <c r="G3" s="759" t="s">
        <v>502</v>
      </c>
      <c r="H3" s="759" t="s">
        <v>1301</v>
      </c>
      <c r="I3" s="759" t="s">
        <v>501</v>
      </c>
      <c r="J3" s="760" t="s">
        <v>1302</v>
      </c>
      <c r="K3" s="760" t="s">
        <v>500</v>
      </c>
      <c r="L3" s="628" t="s">
        <v>1303</v>
      </c>
      <c r="M3" s="108"/>
      <c r="N3" s="108"/>
      <c r="O3" s="59"/>
      <c r="P3" s="59"/>
      <c r="Q3" s="148"/>
      <c r="R3" s="148"/>
    </row>
    <row r="4" spans="1:18" s="128" customFormat="1" ht="15.75" hidden="1">
      <c r="A4" s="625" t="s">
        <v>1030</v>
      </c>
      <c r="B4" s="806">
        <f>D4+F4+H4</f>
        <v>29646</v>
      </c>
      <c r="C4" s="370"/>
      <c r="D4" s="371">
        <v>16233</v>
      </c>
      <c r="E4" s="372">
        <f t="shared" ref="E4:E19" si="0">D4/B4</f>
        <v>0.54756122242461036</v>
      </c>
      <c r="F4" s="371">
        <v>10524</v>
      </c>
      <c r="G4" s="372">
        <f>F4/B4</f>
        <v>0.35498886865007084</v>
      </c>
      <c r="H4" s="371">
        <v>2889</v>
      </c>
      <c r="I4" s="372">
        <f t="shared" ref="I4:I19" si="1">H4/B4</f>
        <v>9.7449908925318768E-2</v>
      </c>
      <c r="J4" s="824">
        <v>29731</v>
      </c>
      <c r="K4" s="373"/>
      <c r="L4" s="782">
        <f t="shared" ref="L4:L18" si="2">J4/B4</f>
        <v>1.0028671658908452</v>
      </c>
      <c r="M4" s="13"/>
      <c r="N4" s="13"/>
      <c r="O4" s="13"/>
      <c r="P4" s="59"/>
      <c r="Q4" s="148"/>
      <c r="R4" s="148"/>
    </row>
    <row r="5" spans="1:18" s="128" customFormat="1" ht="15.75" hidden="1">
      <c r="A5" s="625" t="s">
        <v>946</v>
      </c>
      <c r="B5" s="807">
        <f>D5+H5+F5</f>
        <v>29726</v>
      </c>
      <c r="C5" s="492">
        <f t="shared" ref="C5:C18" si="3">B5/B4-1</f>
        <v>2.69850907373681E-3</v>
      </c>
      <c r="D5" s="479">
        <v>16317</v>
      </c>
      <c r="E5" s="372">
        <f t="shared" si="0"/>
        <v>0.54891340913678266</v>
      </c>
      <c r="F5" s="479">
        <v>10524</v>
      </c>
      <c r="G5" s="372">
        <f>F5/B5</f>
        <v>0.35403350602166456</v>
      </c>
      <c r="H5" s="479">
        <v>2885</v>
      </c>
      <c r="I5" s="372">
        <f t="shared" si="1"/>
        <v>9.7053084841552853E-2</v>
      </c>
      <c r="J5" s="825">
        <v>29648</v>
      </c>
      <c r="K5" s="373">
        <f t="shared" ref="K5:K18" si="4">J5/J4-1</f>
        <v>-2.7916989001378623E-3</v>
      </c>
      <c r="L5" s="783">
        <f t="shared" si="2"/>
        <v>0.99737603444795797</v>
      </c>
      <c r="M5" s="13"/>
      <c r="N5" s="13"/>
      <c r="O5" s="13"/>
      <c r="P5" s="59"/>
      <c r="Q5" s="148"/>
      <c r="R5" s="148"/>
    </row>
    <row r="6" spans="1:18" s="128" customFormat="1" ht="15.75" hidden="1">
      <c r="A6" s="625" t="s">
        <v>1031</v>
      </c>
      <c r="B6" s="807">
        <f>+D6+F6+H6</f>
        <v>29695</v>
      </c>
      <c r="C6" s="492">
        <f t="shared" si="3"/>
        <v>-1.0428581040167195E-3</v>
      </c>
      <c r="D6" s="479">
        <v>16315</v>
      </c>
      <c r="E6" s="372">
        <f t="shared" si="0"/>
        <v>0.5494190941235898</v>
      </c>
      <c r="F6" s="479">
        <v>10503</v>
      </c>
      <c r="G6" s="372">
        <f>F6/B6</f>
        <v>0.35369590840208787</v>
      </c>
      <c r="H6" s="479">
        <v>2877</v>
      </c>
      <c r="I6" s="372">
        <f t="shared" si="1"/>
        <v>9.6884997474322276E-2</v>
      </c>
      <c r="J6" s="825">
        <v>29976</v>
      </c>
      <c r="K6" s="373">
        <f t="shared" si="4"/>
        <v>1.1063140852671349E-2</v>
      </c>
      <c r="L6" s="783">
        <f t="shared" si="2"/>
        <v>1.0094628725374641</v>
      </c>
      <c r="M6" s="13"/>
      <c r="N6" s="13"/>
      <c r="O6" s="13"/>
      <c r="P6" s="59"/>
      <c r="Q6" s="148"/>
      <c r="R6" s="148"/>
    </row>
    <row r="7" spans="1:18" s="128" customFormat="1" ht="15.75" hidden="1">
      <c r="A7" s="625" t="s">
        <v>1032</v>
      </c>
      <c r="B7" s="807">
        <f t="shared" ref="B7:B18" si="5">+D7+F7+H7</f>
        <v>29700</v>
      </c>
      <c r="C7" s="492">
        <f t="shared" si="3"/>
        <v>1.6837851490159039E-4</v>
      </c>
      <c r="D7" s="479">
        <v>16310</v>
      </c>
      <c r="E7" s="372">
        <f t="shared" si="0"/>
        <v>0.54915824915824918</v>
      </c>
      <c r="F7" s="479">
        <v>10519</v>
      </c>
      <c r="G7" s="372">
        <f t="shared" ref="G7:G19" si="6">F7/B7</f>
        <v>0.3541750841750842</v>
      </c>
      <c r="H7" s="479">
        <v>2871</v>
      </c>
      <c r="I7" s="372">
        <f t="shared" si="1"/>
        <v>9.6666666666666665E-2</v>
      </c>
      <c r="J7" s="825">
        <v>29977</v>
      </c>
      <c r="K7" s="373">
        <f t="shared" si="4"/>
        <v>3.3360021350459235E-5</v>
      </c>
      <c r="L7" s="783">
        <f t="shared" si="2"/>
        <v>1.0093265993265994</v>
      </c>
      <c r="M7" s="13"/>
      <c r="O7" s="13"/>
      <c r="P7" s="59"/>
      <c r="Q7" s="148"/>
      <c r="R7" s="148"/>
    </row>
    <row r="8" spans="1:18" s="128" customFormat="1" ht="15.75" hidden="1">
      <c r="A8" s="625" t="s">
        <v>943</v>
      </c>
      <c r="B8" s="807">
        <f t="shared" si="5"/>
        <v>29761</v>
      </c>
      <c r="C8" s="492">
        <f t="shared" si="3"/>
        <v>2.0538720538720856E-3</v>
      </c>
      <c r="D8" s="479">
        <v>16401</v>
      </c>
      <c r="E8" s="372">
        <f t="shared" si="0"/>
        <v>0.55109035314673571</v>
      </c>
      <c r="F8" s="479">
        <v>10511</v>
      </c>
      <c r="G8" s="372">
        <f t="shared" si="6"/>
        <v>0.35318033668223514</v>
      </c>
      <c r="H8" s="479">
        <v>2849</v>
      </c>
      <c r="I8" s="372">
        <f t="shared" si="1"/>
        <v>9.5729310171029203E-2</v>
      </c>
      <c r="J8" s="825">
        <v>29984</v>
      </c>
      <c r="K8" s="373">
        <f t="shared" si="4"/>
        <v>2.3351235947566273E-4</v>
      </c>
      <c r="L8" s="783">
        <f t="shared" si="2"/>
        <v>1.0074930277880447</v>
      </c>
      <c r="M8" s="13"/>
      <c r="N8" s="13"/>
      <c r="O8" s="13"/>
      <c r="P8" s="59"/>
      <c r="Q8" s="148"/>
      <c r="R8" s="148"/>
    </row>
    <row r="9" spans="1:18" s="128" customFormat="1" ht="15.75" hidden="1">
      <c r="A9" s="625" t="s">
        <v>957</v>
      </c>
      <c r="B9" s="807">
        <f t="shared" si="5"/>
        <v>29920</v>
      </c>
      <c r="C9" s="492">
        <f t="shared" si="3"/>
        <v>5.3425624138974115E-3</v>
      </c>
      <c r="D9" s="479">
        <v>16280</v>
      </c>
      <c r="E9" s="372">
        <f t="shared" si="0"/>
        <v>0.54411764705882348</v>
      </c>
      <c r="F9" s="479">
        <v>10509</v>
      </c>
      <c r="G9" s="372">
        <f t="shared" si="6"/>
        <v>0.3512366310160428</v>
      </c>
      <c r="H9" s="479">
        <v>3131</v>
      </c>
      <c r="I9" s="372">
        <f t="shared" si="1"/>
        <v>0.10464572192513369</v>
      </c>
      <c r="J9" s="825">
        <v>30141</v>
      </c>
      <c r="K9" s="373">
        <f t="shared" si="4"/>
        <v>5.2361259338313815E-3</v>
      </c>
      <c r="L9" s="783">
        <f t="shared" si="2"/>
        <v>1.0073863636363636</v>
      </c>
      <c r="M9" s="13"/>
      <c r="N9" s="13"/>
      <c r="O9" s="13"/>
      <c r="P9" s="59"/>
      <c r="Q9" s="148"/>
      <c r="R9" s="148"/>
    </row>
    <row r="10" spans="1:18" s="128" customFormat="1" ht="15.75" hidden="1">
      <c r="A10" s="625" t="s">
        <v>1033</v>
      </c>
      <c r="B10" s="807">
        <f t="shared" si="5"/>
        <v>29965</v>
      </c>
      <c r="C10" s="492">
        <f t="shared" si="3"/>
        <v>1.5040106951871302E-3</v>
      </c>
      <c r="D10" s="479">
        <v>16352</v>
      </c>
      <c r="E10" s="372">
        <f t="shared" si="0"/>
        <v>0.54570332054063075</v>
      </c>
      <c r="F10" s="479">
        <v>10507</v>
      </c>
      <c r="G10" s="372">
        <f t="shared" si="6"/>
        <v>0.35064241615217756</v>
      </c>
      <c r="H10" s="479">
        <v>3106</v>
      </c>
      <c r="I10" s="372">
        <f t="shared" si="1"/>
        <v>0.10365426330719173</v>
      </c>
      <c r="J10" s="825">
        <v>30197</v>
      </c>
      <c r="K10" s="373">
        <f t="shared" si="4"/>
        <v>1.8579343751037314E-3</v>
      </c>
      <c r="L10" s="783">
        <f t="shared" si="2"/>
        <v>1.0077423660937761</v>
      </c>
      <c r="M10" s="13"/>
      <c r="N10" s="13"/>
      <c r="O10" s="13"/>
      <c r="P10" s="59"/>
      <c r="Q10" s="148"/>
      <c r="R10" s="148"/>
    </row>
    <row r="11" spans="1:18" s="128" customFormat="1" ht="15.75" hidden="1">
      <c r="A11" s="625" t="s">
        <v>1034</v>
      </c>
      <c r="B11" s="807">
        <f t="shared" si="5"/>
        <v>29539</v>
      </c>
      <c r="C11" s="492">
        <f t="shared" si="3"/>
        <v>-1.4216586017019806E-2</v>
      </c>
      <c r="D11" s="479">
        <v>15888</v>
      </c>
      <c r="E11" s="372">
        <f t="shared" si="0"/>
        <v>0.53786519516571307</v>
      </c>
      <c r="F11" s="479">
        <v>10300</v>
      </c>
      <c r="G11" s="372">
        <f t="shared" si="6"/>
        <v>0.34869156031009851</v>
      </c>
      <c r="H11" s="479">
        <v>3351</v>
      </c>
      <c r="I11" s="372">
        <f t="shared" si="1"/>
        <v>0.11344324452418836</v>
      </c>
      <c r="J11" s="825">
        <v>30345</v>
      </c>
      <c r="K11" s="373">
        <f t="shared" si="4"/>
        <v>4.9011491207735514E-3</v>
      </c>
      <c r="L11" s="783">
        <f t="shared" si="2"/>
        <v>1.0272859609330038</v>
      </c>
      <c r="P11" s="59"/>
      <c r="Q11" s="148"/>
      <c r="R11" s="148"/>
    </row>
    <row r="12" spans="1:18" s="128" customFormat="1" ht="15.75" hidden="1">
      <c r="A12" s="625" t="s">
        <v>1035</v>
      </c>
      <c r="B12" s="807">
        <f t="shared" si="5"/>
        <v>29732</v>
      </c>
      <c r="C12" s="492">
        <f t="shared" si="3"/>
        <v>6.5337350621212931E-3</v>
      </c>
      <c r="D12" s="479">
        <v>15983</v>
      </c>
      <c r="E12" s="372">
        <f t="shared" si="0"/>
        <v>0.5375689492802368</v>
      </c>
      <c r="F12" s="479">
        <v>10347</v>
      </c>
      <c r="G12" s="372">
        <f t="shared" si="6"/>
        <v>0.34800887932194269</v>
      </c>
      <c r="H12" s="479">
        <v>3402</v>
      </c>
      <c r="I12" s="372">
        <f t="shared" si="1"/>
        <v>0.11442217139782053</v>
      </c>
      <c r="J12" s="825">
        <v>29869</v>
      </c>
      <c r="K12" s="373">
        <f t="shared" si="4"/>
        <v>-1.5686274509803977E-2</v>
      </c>
      <c r="L12" s="783">
        <f t="shared" si="2"/>
        <v>1.0046078299475312</v>
      </c>
      <c r="P12" s="59"/>
      <c r="Q12" s="148"/>
      <c r="R12" s="148"/>
    </row>
    <row r="13" spans="1:18" s="128" customFormat="1" ht="15.75" hidden="1">
      <c r="A13" s="625" t="s">
        <v>1022</v>
      </c>
      <c r="B13" s="807">
        <f t="shared" si="5"/>
        <v>29791</v>
      </c>
      <c r="C13" s="492">
        <f t="shared" si="3"/>
        <v>1.9843939190098414E-3</v>
      </c>
      <c r="D13" s="479">
        <v>15934</v>
      </c>
      <c r="E13" s="372">
        <f t="shared" si="0"/>
        <v>0.53485952133194592</v>
      </c>
      <c r="F13" s="479">
        <v>10323</v>
      </c>
      <c r="G13" s="372">
        <f t="shared" si="6"/>
        <v>0.3465140478668054</v>
      </c>
      <c r="H13" s="479">
        <v>3534</v>
      </c>
      <c r="I13" s="372">
        <f t="shared" si="1"/>
        <v>0.1186264308012487</v>
      </c>
      <c r="J13" s="826">
        <v>29898</v>
      </c>
      <c r="K13" s="373">
        <f t="shared" si="4"/>
        <v>9.7090629080320845E-4</v>
      </c>
      <c r="L13" s="783">
        <f t="shared" si="2"/>
        <v>1.0035916887650633</v>
      </c>
      <c r="P13" s="59"/>
      <c r="Q13" s="148"/>
      <c r="R13" s="148"/>
    </row>
    <row r="14" spans="1:18" s="128" customFormat="1" ht="15.75" hidden="1">
      <c r="A14" s="625" t="s">
        <v>1038</v>
      </c>
      <c r="B14" s="807">
        <f t="shared" si="5"/>
        <v>29882</v>
      </c>
      <c r="C14" s="492">
        <f t="shared" si="3"/>
        <v>3.0546138095397524E-3</v>
      </c>
      <c r="D14" s="479">
        <v>16018</v>
      </c>
      <c r="E14" s="372">
        <f t="shared" si="0"/>
        <v>0.53604176427280636</v>
      </c>
      <c r="F14" s="479">
        <v>10304</v>
      </c>
      <c r="G14" s="372">
        <f t="shared" si="6"/>
        <v>0.3448229703500435</v>
      </c>
      <c r="H14" s="479">
        <v>3560</v>
      </c>
      <c r="I14" s="372">
        <f t="shared" si="1"/>
        <v>0.11913526537715012</v>
      </c>
      <c r="J14" s="826">
        <v>29943</v>
      </c>
      <c r="K14" s="373">
        <f t="shared" si="4"/>
        <v>1.505117399157152E-3</v>
      </c>
      <c r="L14" s="783">
        <f t="shared" si="2"/>
        <v>1.0020413626932601</v>
      </c>
      <c r="P14" s="59"/>
      <c r="Q14" s="148"/>
      <c r="R14" s="148"/>
    </row>
    <row r="15" spans="1:18" s="128" customFormat="1" ht="15.75" hidden="1">
      <c r="A15" s="625" t="s">
        <v>1051</v>
      </c>
      <c r="B15" s="807">
        <f t="shared" si="5"/>
        <v>30324</v>
      </c>
      <c r="C15" s="492">
        <f t="shared" si="3"/>
        <v>1.479151328559003E-2</v>
      </c>
      <c r="D15" s="479">
        <v>16231</v>
      </c>
      <c r="E15" s="372">
        <f t="shared" si="0"/>
        <v>0.53525260519720352</v>
      </c>
      <c r="F15" s="479">
        <v>10370</v>
      </c>
      <c r="G15" s="372">
        <f t="shared" si="6"/>
        <v>0.34197335443872839</v>
      </c>
      <c r="H15" s="479">
        <v>3723</v>
      </c>
      <c r="I15" s="372">
        <f t="shared" si="1"/>
        <v>0.12277404036406807</v>
      </c>
      <c r="J15" s="826">
        <v>30581</v>
      </c>
      <c r="K15" s="373">
        <f t="shared" si="4"/>
        <v>2.1307150252145801E-2</v>
      </c>
      <c r="L15" s="783">
        <f t="shared" si="2"/>
        <v>1.0084751352064372</v>
      </c>
      <c r="P15" s="59"/>
      <c r="Q15" s="148"/>
      <c r="R15" s="148"/>
    </row>
    <row r="16" spans="1:18" s="128" customFormat="1" ht="15.75" hidden="1">
      <c r="A16" s="625" t="s">
        <v>1030</v>
      </c>
      <c r="B16" s="807">
        <f t="shared" si="5"/>
        <v>30528</v>
      </c>
      <c r="C16" s="492">
        <f t="shared" si="3"/>
        <v>6.7273446774831491E-3</v>
      </c>
      <c r="D16" s="479">
        <v>16328</v>
      </c>
      <c r="E16" s="372">
        <f t="shared" si="0"/>
        <v>0.53485324947589097</v>
      </c>
      <c r="F16" s="479">
        <v>10425</v>
      </c>
      <c r="G16" s="372">
        <f t="shared" si="6"/>
        <v>0.34148977987421386</v>
      </c>
      <c r="H16" s="479">
        <v>3775</v>
      </c>
      <c r="I16" s="372">
        <f t="shared" si="1"/>
        <v>0.12365697064989518</v>
      </c>
      <c r="J16" s="826">
        <v>30779</v>
      </c>
      <c r="K16" s="373">
        <f t="shared" si="4"/>
        <v>6.4746084169908791E-3</v>
      </c>
      <c r="L16" s="783">
        <f t="shared" si="2"/>
        <v>1.0082219601677149</v>
      </c>
      <c r="P16" s="59"/>
      <c r="Q16" s="148"/>
      <c r="R16" s="148"/>
    </row>
    <row r="17" spans="1:19" s="128" customFormat="1" ht="15.75" hidden="1">
      <c r="A17" s="625" t="s">
        <v>1060</v>
      </c>
      <c r="B17" s="807">
        <f t="shared" si="5"/>
        <v>30703</v>
      </c>
      <c r="C17" s="492">
        <f t="shared" si="3"/>
        <v>5.7324423480082931E-3</v>
      </c>
      <c r="D17" s="479">
        <v>16189</v>
      </c>
      <c r="E17" s="372">
        <f t="shared" si="0"/>
        <v>0.52727746474285897</v>
      </c>
      <c r="F17" s="479">
        <v>10515</v>
      </c>
      <c r="G17" s="372">
        <f t="shared" si="6"/>
        <v>0.34247467674168647</v>
      </c>
      <c r="H17" s="479">
        <v>3999</v>
      </c>
      <c r="I17" s="372">
        <f t="shared" si="1"/>
        <v>0.13024785851545451</v>
      </c>
      <c r="J17" s="826">
        <v>30884</v>
      </c>
      <c r="K17" s="373">
        <f t="shared" si="4"/>
        <v>3.4114168751422369E-3</v>
      </c>
      <c r="L17" s="783">
        <f t="shared" si="2"/>
        <v>1.0058951893951731</v>
      </c>
      <c r="P17" s="59"/>
      <c r="Q17" s="148"/>
      <c r="R17" s="148"/>
    </row>
    <row r="18" spans="1:19" s="128" customFormat="1" ht="15.75" hidden="1">
      <c r="A18" s="625" t="s">
        <v>1123</v>
      </c>
      <c r="B18" s="807">
        <f t="shared" si="5"/>
        <v>30659</v>
      </c>
      <c r="C18" s="492">
        <f t="shared" si="3"/>
        <v>-1.4330847148487091E-3</v>
      </c>
      <c r="D18" s="479">
        <v>16142</v>
      </c>
      <c r="E18" s="372">
        <f t="shared" si="0"/>
        <v>0.52650119051502009</v>
      </c>
      <c r="F18" s="479">
        <v>10510</v>
      </c>
      <c r="G18" s="372">
        <f t="shared" si="6"/>
        <v>0.34280309207736714</v>
      </c>
      <c r="H18" s="479">
        <v>4007</v>
      </c>
      <c r="I18" s="372">
        <f t="shared" si="1"/>
        <v>0.13069571740761277</v>
      </c>
      <c r="J18" s="826">
        <v>30729</v>
      </c>
      <c r="K18" s="372">
        <f t="shared" si="4"/>
        <v>-5.0187799507835917E-3</v>
      </c>
      <c r="L18" s="783">
        <f t="shared" si="2"/>
        <v>1.0022831794905247</v>
      </c>
      <c r="P18" s="59"/>
      <c r="Q18" s="148"/>
      <c r="R18" s="148"/>
    </row>
    <row r="19" spans="1:19" s="128" customFormat="1" ht="15.75" hidden="1">
      <c r="A19" s="625" t="s">
        <v>1232</v>
      </c>
      <c r="B19" s="807">
        <f t="shared" ref="B19:B24" si="7">+D19+F19+H19</f>
        <v>30621</v>
      </c>
      <c r="C19" s="492">
        <f t="shared" ref="C19:C24" si="8">B19/B18-1</f>
        <v>-1.2394402948563421E-3</v>
      </c>
      <c r="D19" s="479">
        <v>16108</v>
      </c>
      <c r="E19" s="372">
        <f t="shared" si="0"/>
        <v>0.52604421802031287</v>
      </c>
      <c r="F19" s="479">
        <v>10531</v>
      </c>
      <c r="G19" s="372">
        <f t="shared" si="6"/>
        <v>0.34391430717481469</v>
      </c>
      <c r="H19" s="479">
        <v>3982</v>
      </c>
      <c r="I19" s="372">
        <f t="shared" si="1"/>
        <v>0.13004147480487246</v>
      </c>
      <c r="J19" s="826">
        <v>30845</v>
      </c>
      <c r="K19" s="372">
        <f t="shared" ref="K19:K24" si="9">J19/J18-1</f>
        <v>3.7749357284648788E-3</v>
      </c>
      <c r="L19" s="783">
        <f t="shared" ref="L19:L24" si="10">J19/B19</f>
        <v>1.0073152411743576</v>
      </c>
      <c r="P19" s="59"/>
      <c r="Q19" s="148"/>
      <c r="R19" s="148"/>
    </row>
    <row r="20" spans="1:19" s="128" customFormat="1" ht="15.75" hidden="1">
      <c r="A20" s="625" t="s">
        <v>1309</v>
      </c>
      <c r="B20" s="1904">
        <f t="shared" si="7"/>
        <v>30728</v>
      </c>
      <c r="C20" s="492">
        <f t="shared" si="8"/>
        <v>3.4943339538224816E-3</v>
      </c>
      <c r="D20" s="479">
        <v>16188</v>
      </c>
      <c r="E20" s="372">
        <f t="shared" ref="E20:E26" si="11">D20/B20</f>
        <v>0.52681593335068988</v>
      </c>
      <c r="F20" s="479">
        <v>10512</v>
      </c>
      <c r="G20" s="372">
        <f t="shared" ref="G20:G26" si="12">F20/B20</f>
        <v>0.34209841187190837</v>
      </c>
      <c r="H20" s="479">
        <v>4028</v>
      </c>
      <c r="I20" s="372">
        <f t="shared" ref="I20:I26" si="13">H20/B20</f>
        <v>0.13108565477740172</v>
      </c>
      <c r="J20" s="1903">
        <v>30897</v>
      </c>
      <c r="K20" s="372">
        <f t="shared" si="9"/>
        <v>1.6858485978279436E-3</v>
      </c>
      <c r="L20" s="783">
        <f t="shared" si="10"/>
        <v>1.0054998698255662</v>
      </c>
      <c r="P20" s="59"/>
      <c r="Q20" s="148"/>
      <c r="R20" s="148"/>
    </row>
    <row r="21" spans="1:19" s="128" customFormat="1" ht="15.75" hidden="1">
      <c r="A21" s="625" t="s">
        <v>1317</v>
      </c>
      <c r="B21" s="1904">
        <f t="shared" si="7"/>
        <v>30810</v>
      </c>
      <c r="C21" s="492">
        <f t="shared" si="8"/>
        <v>2.668575891694891E-3</v>
      </c>
      <c r="D21" s="479">
        <v>16181</v>
      </c>
      <c r="E21" s="372">
        <f t="shared" si="11"/>
        <v>0.52518662771827329</v>
      </c>
      <c r="F21" s="479">
        <v>10525</v>
      </c>
      <c r="G21" s="372">
        <f t="shared" si="12"/>
        <v>0.34160986692632261</v>
      </c>
      <c r="H21" s="479">
        <v>4104</v>
      </c>
      <c r="I21" s="372">
        <f t="shared" si="13"/>
        <v>0.13320350535540409</v>
      </c>
      <c r="J21" s="1903">
        <v>30824</v>
      </c>
      <c r="K21" s="372">
        <f t="shared" si="9"/>
        <v>-2.362688934200774E-3</v>
      </c>
      <c r="L21" s="783">
        <f t="shared" si="10"/>
        <v>1.0004543979227523</v>
      </c>
      <c r="P21" s="59"/>
      <c r="Q21" s="148"/>
      <c r="R21" s="148"/>
    </row>
    <row r="22" spans="1:19" s="128" customFormat="1" ht="14.25" hidden="1" customHeight="1">
      <c r="A22" s="625" t="s">
        <v>1331</v>
      </c>
      <c r="B22" s="1904">
        <f t="shared" si="7"/>
        <v>30689</v>
      </c>
      <c r="C22" s="492">
        <f t="shared" si="8"/>
        <v>-3.9272963323596644E-3</v>
      </c>
      <c r="D22" s="479">
        <v>15815</v>
      </c>
      <c r="E22" s="372">
        <f t="shared" si="11"/>
        <v>0.51533122617224414</v>
      </c>
      <c r="F22" s="479">
        <v>10535</v>
      </c>
      <c r="G22" s="372">
        <f t="shared" si="12"/>
        <v>0.343282609404021</v>
      </c>
      <c r="H22" s="479">
        <v>4339</v>
      </c>
      <c r="I22" s="372">
        <f t="shared" si="13"/>
        <v>0.14138616442373489</v>
      </c>
      <c r="J22" s="1903">
        <v>31248</v>
      </c>
      <c r="K22" s="372">
        <f t="shared" si="9"/>
        <v>1.3755515182974243E-2</v>
      </c>
      <c r="L22" s="783">
        <f t="shared" si="10"/>
        <v>1.0182149956010298</v>
      </c>
      <c r="P22" s="59"/>
      <c r="Q22" s="148"/>
      <c r="R22" s="148"/>
    </row>
    <row r="23" spans="1:19" s="128" customFormat="1" ht="15.75" hidden="1">
      <c r="A23" s="625" t="s">
        <v>1403</v>
      </c>
      <c r="B23" s="1904">
        <f t="shared" si="7"/>
        <v>30868</v>
      </c>
      <c r="C23" s="492">
        <f t="shared" si="8"/>
        <v>5.8327087881651085E-3</v>
      </c>
      <c r="D23" s="479">
        <v>15871</v>
      </c>
      <c r="E23" s="372">
        <f t="shared" si="11"/>
        <v>0.51415705585071925</v>
      </c>
      <c r="F23" s="479">
        <v>10536</v>
      </c>
      <c r="G23" s="372">
        <f t="shared" si="12"/>
        <v>0.34132434884022289</v>
      </c>
      <c r="H23" s="479">
        <v>4461</v>
      </c>
      <c r="I23" s="372">
        <f t="shared" si="13"/>
        <v>0.14451859530905792</v>
      </c>
      <c r="J23" s="1903">
        <v>30979</v>
      </c>
      <c r="K23" s="372">
        <f t="shared" si="9"/>
        <v>-8.6085509472606514E-3</v>
      </c>
      <c r="L23" s="783">
        <f t="shared" si="10"/>
        <v>1.0035959569781003</v>
      </c>
      <c r="P23" s="59"/>
      <c r="Q23" s="148"/>
      <c r="R23" s="148"/>
    </row>
    <row r="24" spans="1:19" s="128" customFormat="1" ht="15.75" hidden="1">
      <c r="A24" s="625" t="s">
        <v>1425</v>
      </c>
      <c r="B24" s="1904">
        <f t="shared" si="7"/>
        <v>30022</v>
      </c>
      <c r="C24" s="492">
        <f t="shared" si="8"/>
        <v>-2.7407023454710355E-2</v>
      </c>
      <c r="D24" s="479">
        <v>15252</v>
      </c>
      <c r="E24" s="372">
        <f t="shared" si="11"/>
        <v>0.50802744653920462</v>
      </c>
      <c r="F24" s="479">
        <v>10313</v>
      </c>
      <c r="G24" s="372">
        <f t="shared" si="12"/>
        <v>0.34351475584571317</v>
      </c>
      <c r="H24" s="479">
        <v>4457</v>
      </c>
      <c r="I24" s="372">
        <f t="shared" si="13"/>
        <v>0.14845779761508227</v>
      </c>
      <c r="J24" s="1903">
        <v>31187</v>
      </c>
      <c r="K24" s="372">
        <f t="shared" si="9"/>
        <v>6.7142257658414639E-3</v>
      </c>
      <c r="L24" s="783">
        <f t="shared" si="10"/>
        <v>1.0388048764239557</v>
      </c>
      <c r="P24" s="59"/>
      <c r="Q24" s="148"/>
      <c r="R24" s="148"/>
    </row>
    <row r="25" spans="1:19" s="128" customFormat="1" ht="15.75" hidden="1">
      <c r="A25" s="625" t="s">
        <v>1436</v>
      </c>
      <c r="B25" s="1904">
        <f t="shared" ref="B25:B30" si="14">+D25+F25+H25</f>
        <v>29598</v>
      </c>
      <c r="C25" s="492">
        <f t="shared" ref="C25:C30" si="15">B25/B24-1</f>
        <v>-1.4122976483911809E-2</v>
      </c>
      <c r="D25" s="479">
        <v>14905</v>
      </c>
      <c r="E25" s="372">
        <f t="shared" si="11"/>
        <v>0.50358132306236902</v>
      </c>
      <c r="F25" s="479">
        <v>10322</v>
      </c>
      <c r="G25" s="372">
        <f t="shared" si="12"/>
        <v>0.3487397797148456</v>
      </c>
      <c r="H25" s="479">
        <v>4371</v>
      </c>
      <c r="I25" s="372">
        <f t="shared" si="13"/>
        <v>0.14767889722278532</v>
      </c>
      <c r="J25" s="1903">
        <v>30169</v>
      </c>
      <c r="K25" s="372">
        <f t="shared" ref="K25:K30" si="16">J25/J24-1</f>
        <v>-3.264180588065535E-2</v>
      </c>
      <c r="L25" s="783">
        <f t="shared" ref="L25:L30" si="17">J25/B25</f>
        <v>1.0192918440435164</v>
      </c>
      <c r="P25" s="59"/>
      <c r="Q25" s="148"/>
      <c r="R25" s="148"/>
    </row>
    <row r="26" spans="1:19" s="128" customFormat="1" ht="15.75" hidden="1">
      <c r="A26" s="625" t="s">
        <v>1442</v>
      </c>
      <c r="B26" s="1904">
        <f t="shared" si="14"/>
        <v>29457</v>
      </c>
      <c r="C26" s="492">
        <f t="shared" si="15"/>
        <v>-4.7638353942833778E-3</v>
      </c>
      <c r="D26" s="479">
        <v>14622</v>
      </c>
      <c r="E26" s="372">
        <f t="shared" si="11"/>
        <v>0.49638456054588043</v>
      </c>
      <c r="F26" s="479">
        <v>10471</v>
      </c>
      <c r="G26" s="372">
        <f t="shared" si="12"/>
        <v>0.35546729130597143</v>
      </c>
      <c r="H26" s="479">
        <v>4364</v>
      </c>
      <c r="I26" s="372">
        <f t="shared" si="13"/>
        <v>0.14814814814814814</v>
      </c>
      <c r="J26" s="1903">
        <v>30032</v>
      </c>
      <c r="K26" s="372">
        <f t="shared" si="16"/>
        <v>-4.5410852199276874E-3</v>
      </c>
      <c r="L26" s="783">
        <f t="shared" si="17"/>
        <v>1.0195199782734155</v>
      </c>
      <c r="P26" s="59"/>
      <c r="Q26" s="148"/>
      <c r="R26" s="148"/>
    </row>
    <row r="27" spans="1:19" s="128" customFormat="1" ht="15.75" hidden="1">
      <c r="A27" s="625" t="s">
        <v>1625</v>
      </c>
      <c r="B27" s="1904">
        <f t="shared" si="14"/>
        <v>29695</v>
      </c>
      <c r="C27" s="492">
        <f t="shared" si="15"/>
        <v>8.0795736157788234E-3</v>
      </c>
      <c r="D27" s="479">
        <v>14723</v>
      </c>
      <c r="E27" s="372">
        <f t="shared" ref="E27:E32" si="18">D27/B27</f>
        <v>0.49580737497895266</v>
      </c>
      <c r="F27" s="479">
        <v>10552</v>
      </c>
      <c r="G27" s="372">
        <f t="shared" ref="G27:G32" si="19">F27/B27</f>
        <v>0.35534601784812259</v>
      </c>
      <c r="H27" s="479">
        <v>4420</v>
      </c>
      <c r="I27" s="372">
        <f t="shared" ref="I27:I32" si="20">H27/B27</f>
        <v>0.14884660717292472</v>
      </c>
      <c r="J27" s="1903">
        <v>29695</v>
      </c>
      <c r="K27" s="372">
        <f t="shared" si="16"/>
        <v>-1.1221363878529567E-2</v>
      </c>
      <c r="L27" s="783">
        <f t="shared" si="17"/>
        <v>1</v>
      </c>
      <c r="P27" s="59"/>
      <c r="Q27" s="148"/>
      <c r="R27" s="148"/>
    </row>
    <row r="28" spans="1:19" s="128" customFormat="1" ht="15.75" hidden="1">
      <c r="A28" s="625" t="s">
        <v>1628</v>
      </c>
      <c r="B28" s="1904">
        <f t="shared" si="14"/>
        <v>28854</v>
      </c>
      <c r="C28" s="1606">
        <f t="shared" si="15"/>
        <v>-2.832126620643205E-2</v>
      </c>
      <c r="D28" s="1607">
        <v>14112</v>
      </c>
      <c r="E28" s="1608">
        <f t="shared" si="18"/>
        <v>0.48908296943231439</v>
      </c>
      <c r="F28" s="1607">
        <v>10546</v>
      </c>
      <c r="G28" s="1608">
        <f t="shared" si="19"/>
        <v>0.36549525195813404</v>
      </c>
      <c r="H28" s="1607">
        <v>4196</v>
      </c>
      <c r="I28" s="1608">
        <f t="shared" si="20"/>
        <v>0.14542177860955152</v>
      </c>
      <c r="J28" s="1903">
        <v>28854</v>
      </c>
      <c r="K28" s="372">
        <f t="shared" si="16"/>
        <v>-2.832126620643205E-2</v>
      </c>
      <c r="L28" s="1569">
        <f t="shared" si="17"/>
        <v>1</v>
      </c>
      <c r="P28" s="59"/>
      <c r="Q28" s="148"/>
      <c r="R28" s="148"/>
    </row>
    <row r="29" spans="1:19" s="128" customFormat="1" ht="15.75">
      <c r="A29" s="625" t="s">
        <v>1644</v>
      </c>
      <c r="B29" s="1904">
        <f t="shared" si="14"/>
        <v>27273</v>
      </c>
      <c r="C29" s="1606">
        <f t="shared" si="15"/>
        <v>-5.4793096277812481E-2</v>
      </c>
      <c r="D29" s="1607">
        <v>13249</v>
      </c>
      <c r="E29" s="1608">
        <f t="shared" si="18"/>
        <v>0.48579180874857919</v>
      </c>
      <c r="F29" s="1607">
        <v>10016</v>
      </c>
      <c r="G29" s="1608">
        <f t="shared" si="19"/>
        <v>0.36724966083672494</v>
      </c>
      <c r="H29" s="1607">
        <v>4008</v>
      </c>
      <c r="I29" s="1608">
        <f t="shared" si="20"/>
        <v>0.14695853041469586</v>
      </c>
      <c r="J29" s="1903">
        <v>29217</v>
      </c>
      <c r="K29" s="372">
        <f t="shared" si="16"/>
        <v>1.2580578082761473E-2</v>
      </c>
      <c r="L29" s="1569">
        <f t="shared" si="17"/>
        <v>1.071279287207128</v>
      </c>
      <c r="P29" s="59"/>
      <c r="Q29" s="148"/>
      <c r="R29" s="148"/>
    </row>
    <row r="30" spans="1:19" s="128" customFormat="1" ht="15.75">
      <c r="A30" s="625" t="s">
        <v>1657</v>
      </c>
      <c r="B30" s="1904">
        <f t="shared" si="14"/>
        <v>28811</v>
      </c>
      <c r="C30" s="1606">
        <f t="shared" si="15"/>
        <v>5.6392769405639198E-2</v>
      </c>
      <c r="D30" s="1607">
        <v>14156</v>
      </c>
      <c r="E30" s="1608">
        <f t="shared" si="18"/>
        <v>0.49134011315122694</v>
      </c>
      <c r="F30" s="1607">
        <v>10406</v>
      </c>
      <c r="G30" s="1608">
        <f t="shared" si="19"/>
        <v>0.36118149317968834</v>
      </c>
      <c r="H30" s="1607">
        <v>4249</v>
      </c>
      <c r="I30" s="1608">
        <f t="shared" si="20"/>
        <v>0.14747839366908472</v>
      </c>
      <c r="J30" s="1903">
        <v>29300</v>
      </c>
      <c r="K30" s="372">
        <f t="shared" si="16"/>
        <v>2.8408118561111806E-3</v>
      </c>
      <c r="L30" s="1569">
        <f t="shared" si="17"/>
        <v>1.0169726840442885</v>
      </c>
      <c r="P30" s="59"/>
      <c r="Q30" s="148"/>
      <c r="R30" s="148"/>
    </row>
    <row r="31" spans="1:19" ht="15.75">
      <c r="A31" s="625" t="s">
        <v>1736</v>
      </c>
      <c r="B31" s="1904">
        <f t="shared" ref="B31:B36" si="21">+D31+F31+H31</f>
        <v>29094</v>
      </c>
      <c r="C31" s="1606">
        <f t="shared" ref="C31:C36" si="22">B31/B30-1</f>
        <v>9.8226371871854568E-3</v>
      </c>
      <c r="D31" s="1607">
        <v>14291</v>
      </c>
      <c r="E31" s="1608">
        <f t="shared" si="18"/>
        <v>0.4912009349006668</v>
      </c>
      <c r="F31" s="1607">
        <v>10422</v>
      </c>
      <c r="G31" s="1608">
        <f t="shared" si="19"/>
        <v>0.35821818931738503</v>
      </c>
      <c r="H31" s="1607">
        <v>4381</v>
      </c>
      <c r="I31" s="1608">
        <f t="shared" si="20"/>
        <v>0.15058087578194818</v>
      </c>
      <c r="J31" s="1903">
        <v>29117</v>
      </c>
      <c r="K31" s="372">
        <f t="shared" ref="K31:K36" si="23">J31/J30-1</f>
        <v>-6.2457337883958797E-3</v>
      </c>
      <c r="L31" s="1569">
        <f t="shared" ref="L31:L36" si="24">J31/B31</f>
        <v>1.0007905410050182</v>
      </c>
      <c r="Q31" s="148"/>
      <c r="R31" s="148"/>
      <c r="S31" s="128"/>
    </row>
    <row r="32" spans="1:19" ht="15.75">
      <c r="A32" s="625" t="s">
        <v>1750</v>
      </c>
      <c r="B32" s="1904">
        <f t="shared" si="21"/>
        <v>29266</v>
      </c>
      <c r="C32" s="1606">
        <f t="shared" si="22"/>
        <v>5.9118718636144152E-3</v>
      </c>
      <c r="D32" s="1607">
        <v>14375</v>
      </c>
      <c r="E32" s="1608">
        <f t="shared" si="18"/>
        <v>0.49118430943757263</v>
      </c>
      <c r="F32" s="1607">
        <v>10464</v>
      </c>
      <c r="G32" s="1608">
        <f t="shared" si="19"/>
        <v>0.35754800792728764</v>
      </c>
      <c r="H32" s="1607">
        <v>4427</v>
      </c>
      <c r="I32" s="1608">
        <f t="shared" si="20"/>
        <v>0.15126768263513976</v>
      </c>
      <c r="J32" s="1903">
        <v>29331</v>
      </c>
      <c r="K32" s="372">
        <f t="shared" si="23"/>
        <v>7.349658275234372E-3</v>
      </c>
      <c r="L32" s="1569">
        <f t="shared" si="24"/>
        <v>1.0022210073122395</v>
      </c>
      <c r="Q32" s="148"/>
      <c r="R32" s="148"/>
      <c r="S32" s="128"/>
    </row>
    <row r="33" spans="1:18" ht="15.75">
      <c r="A33" s="625" t="s">
        <v>1842</v>
      </c>
      <c r="B33" s="1904">
        <f t="shared" si="21"/>
        <v>29454</v>
      </c>
      <c r="C33" s="1606">
        <f t="shared" si="22"/>
        <v>6.4238365338618042E-3</v>
      </c>
      <c r="D33" s="1607">
        <v>14546</v>
      </c>
      <c r="E33" s="1608">
        <f t="shared" ref="E33:E38" si="25">D33/B33</f>
        <v>0.49385482447205814</v>
      </c>
      <c r="F33" s="1607">
        <v>10460</v>
      </c>
      <c r="G33" s="1608">
        <f t="shared" ref="G33:G38" si="26">F33/B33</f>
        <v>0.35513003327222109</v>
      </c>
      <c r="H33" s="1607">
        <v>4448</v>
      </c>
      <c r="I33" s="1608">
        <f t="shared" ref="I33:I38" si="27">H33/B33</f>
        <v>0.1510151422557208</v>
      </c>
      <c r="J33" s="1903">
        <v>29492</v>
      </c>
      <c r="K33" s="372">
        <f t="shared" si="23"/>
        <v>5.4890729944427896E-3</v>
      </c>
      <c r="L33" s="1569">
        <f t="shared" si="24"/>
        <v>1.0012901473484077</v>
      </c>
    </row>
    <row r="34" spans="1:18" ht="15.75">
      <c r="A34" s="625" t="s">
        <v>1852</v>
      </c>
      <c r="B34" s="1904">
        <f t="shared" si="21"/>
        <v>29662</v>
      </c>
      <c r="C34" s="1606">
        <f t="shared" si="22"/>
        <v>7.0618591702316102E-3</v>
      </c>
      <c r="D34" s="1607">
        <v>14651</v>
      </c>
      <c r="E34" s="1608">
        <f t="shared" si="25"/>
        <v>0.49393162969455867</v>
      </c>
      <c r="F34" s="1607">
        <v>10530</v>
      </c>
      <c r="G34" s="1608">
        <f t="shared" si="26"/>
        <v>0.35499966286831636</v>
      </c>
      <c r="H34" s="1607">
        <v>4481</v>
      </c>
      <c r="I34" s="1608">
        <f t="shared" si="27"/>
        <v>0.15106870743712494</v>
      </c>
      <c r="J34" s="1903">
        <v>29716</v>
      </c>
      <c r="K34" s="372">
        <f t="shared" si="23"/>
        <v>7.5952800759528927E-3</v>
      </c>
      <c r="L34" s="1569">
        <f t="shared" si="24"/>
        <v>1.0018205110916323</v>
      </c>
    </row>
    <row r="35" spans="1:18" ht="15.75">
      <c r="A35" s="625" t="s">
        <v>1868</v>
      </c>
      <c r="B35" s="1904">
        <f t="shared" si="21"/>
        <v>29825</v>
      </c>
      <c r="C35" s="1606">
        <f t="shared" si="22"/>
        <v>5.4952464432607151E-3</v>
      </c>
      <c r="D35" s="1607">
        <v>14726</v>
      </c>
      <c r="E35" s="1608">
        <f t="shared" si="25"/>
        <v>0.49374685666387258</v>
      </c>
      <c r="F35" s="1607">
        <v>10515</v>
      </c>
      <c r="G35" s="1608">
        <f t="shared" si="26"/>
        <v>0.35255658005029339</v>
      </c>
      <c r="H35" s="1607">
        <v>4584</v>
      </c>
      <c r="I35" s="1608">
        <f t="shared" si="27"/>
        <v>0.15369656328583403</v>
      </c>
      <c r="J35" s="1903">
        <v>29898</v>
      </c>
      <c r="K35" s="372">
        <f t="shared" si="23"/>
        <v>6.1246466550006762E-3</v>
      </c>
      <c r="L35" s="1569">
        <f t="shared" si="24"/>
        <v>1.0024476110645433</v>
      </c>
    </row>
    <row r="36" spans="1:18" ht="15.75">
      <c r="A36" s="625" t="s">
        <v>1872</v>
      </c>
      <c r="B36" s="1904">
        <f t="shared" si="21"/>
        <v>29976</v>
      </c>
      <c r="C36" s="1606">
        <f t="shared" si="22"/>
        <v>5.0628667225482982E-3</v>
      </c>
      <c r="D36" s="1607">
        <v>14810</v>
      </c>
      <c r="E36" s="1608">
        <f t="shared" si="25"/>
        <v>0.49406191619962636</v>
      </c>
      <c r="F36" s="1607">
        <v>10545</v>
      </c>
      <c r="G36" s="1608">
        <f t="shared" si="26"/>
        <v>0.35178142514011207</v>
      </c>
      <c r="H36" s="1607">
        <v>4621</v>
      </c>
      <c r="I36" s="1608">
        <f t="shared" si="27"/>
        <v>0.15415665866026154</v>
      </c>
      <c r="J36" s="1903">
        <v>30030</v>
      </c>
      <c r="K36" s="372">
        <f t="shared" si="23"/>
        <v>4.4150110375276164E-3</v>
      </c>
      <c r="L36" s="1569">
        <f t="shared" si="24"/>
        <v>1.0018014411529224</v>
      </c>
    </row>
    <row r="37" spans="1:18" ht="15.75">
      <c r="A37" s="625" t="s">
        <v>1874</v>
      </c>
      <c r="B37" s="1904">
        <f>+D37+F37+H37</f>
        <v>30032</v>
      </c>
      <c r="C37" s="1606">
        <f>B37/B36-1</f>
        <v>1.8681611956232747E-3</v>
      </c>
      <c r="D37" s="1607">
        <v>14850</v>
      </c>
      <c r="E37" s="1608">
        <f t="shared" si="25"/>
        <v>0.49447256259989347</v>
      </c>
      <c r="F37" s="1607">
        <v>10543</v>
      </c>
      <c r="G37" s="1608">
        <f t="shared" si="26"/>
        <v>0.3510588705380927</v>
      </c>
      <c r="H37" s="1607">
        <v>4639</v>
      </c>
      <c r="I37" s="1608">
        <f t="shared" si="27"/>
        <v>0.15446856686201385</v>
      </c>
      <c r="J37" s="1903">
        <v>30087</v>
      </c>
      <c r="K37" s="372">
        <f>J37/J36-1</f>
        <v>1.8981018981019115E-3</v>
      </c>
      <c r="L37" s="1569">
        <f>J37/B37</f>
        <v>1.0018313798614811</v>
      </c>
      <c r="M37" s="477"/>
      <c r="N37" s="477"/>
      <c r="O37" s="477"/>
      <c r="P37" s="477"/>
      <c r="Q37" s="477"/>
      <c r="R37" s="477"/>
    </row>
    <row r="38" spans="1:18" ht="15.75">
      <c r="A38" s="625" t="s">
        <v>1887</v>
      </c>
      <c r="B38" s="1904">
        <f>+D38+F38+H38</f>
        <v>30250</v>
      </c>
      <c r="C38" s="1606">
        <f>B38/B37-1</f>
        <v>7.2589238145976953E-3</v>
      </c>
      <c r="D38" s="1607">
        <v>14943</v>
      </c>
      <c r="E38" s="1608">
        <f t="shared" si="25"/>
        <v>0.49398347107438018</v>
      </c>
      <c r="F38" s="1607">
        <v>10531</v>
      </c>
      <c r="G38" s="1608">
        <f t="shared" si="26"/>
        <v>0.34813223140495869</v>
      </c>
      <c r="H38" s="1607">
        <v>4776</v>
      </c>
      <c r="I38" s="1608">
        <f t="shared" si="27"/>
        <v>0.15788429752066116</v>
      </c>
      <c r="J38" s="1903">
        <v>30316</v>
      </c>
      <c r="K38" s="372">
        <f>J38/J37-1</f>
        <v>7.6112606773690583E-3</v>
      </c>
      <c r="L38" s="1569">
        <f>J38/B38</f>
        <v>1.0021818181818183</v>
      </c>
    </row>
    <row r="39" spans="1:18" ht="15.75">
      <c r="A39" s="625" t="s">
        <v>1901</v>
      </c>
      <c r="B39" s="1904">
        <f>+D39+F39+H39</f>
        <v>30130</v>
      </c>
      <c r="C39" s="1606">
        <f>B39/B38-1</f>
        <v>-3.9669421487603662E-3</v>
      </c>
      <c r="D39" s="1607">
        <v>14868</v>
      </c>
      <c r="E39" s="1608">
        <f>D39/B39</f>
        <v>0.49346166611350811</v>
      </c>
      <c r="F39" s="1607">
        <v>10485</v>
      </c>
      <c r="G39" s="1608">
        <f>F39/B39</f>
        <v>0.3479920345170926</v>
      </c>
      <c r="H39" s="1607">
        <v>4777</v>
      </c>
      <c r="I39" s="1608">
        <f>H39/B39</f>
        <v>0.15854629936939926</v>
      </c>
      <c r="J39" s="1903">
        <v>30389</v>
      </c>
      <c r="K39" s="372">
        <f>J39/J38-1</f>
        <v>2.4079693891014831E-3</v>
      </c>
      <c r="L39" s="1569">
        <f>J39/B39</f>
        <v>1.0085960836375705</v>
      </c>
    </row>
    <row r="40" spans="1:18" ht="15.75">
      <c r="A40" s="625" t="s">
        <v>1906</v>
      </c>
      <c r="B40" s="1904">
        <f>+D40+F40+H40</f>
        <v>30169</v>
      </c>
      <c r="C40" s="1606">
        <f>B40/B39-1</f>
        <v>1.2943909724527636E-3</v>
      </c>
      <c r="D40" s="1607">
        <v>14899</v>
      </c>
      <c r="E40" s="1608">
        <f>D40/B40</f>
        <v>0.49385130431900293</v>
      </c>
      <c r="F40" s="1607">
        <v>10482</v>
      </c>
      <c r="G40" s="1608">
        <f>F40/B40</f>
        <v>0.34744273923563923</v>
      </c>
      <c r="H40" s="1607">
        <v>4788</v>
      </c>
      <c r="I40" s="1608">
        <f>H40/B40</f>
        <v>0.15870595644535782</v>
      </c>
      <c r="J40" s="1903">
        <v>30237</v>
      </c>
      <c r="K40" s="372">
        <f>J40/J39-1</f>
        <v>-5.001809865411877E-3</v>
      </c>
      <c r="L40" s="1569">
        <f>J40/B40</f>
        <v>1.0022539693062416</v>
      </c>
    </row>
    <row r="41" spans="1:18" ht="15.75">
      <c r="A41" s="625" t="s">
        <v>1927</v>
      </c>
      <c r="B41" s="1904">
        <f>+D41+F41+H41</f>
        <v>30370</v>
      </c>
      <c r="C41" s="1606">
        <f>B41/B40-1</f>
        <v>6.6624680963902616E-3</v>
      </c>
      <c r="D41" s="1607">
        <v>15039</v>
      </c>
      <c r="E41" s="1608">
        <f>D41/B41</f>
        <v>0.49519262430029637</v>
      </c>
      <c r="F41" s="1607">
        <v>10509</v>
      </c>
      <c r="G41" s="1608">
        <f>F41/B41</f>
        <v>0.34603226868620351</v>
      </c>
      <c r="H41" s="1607">
        <v>4822</v>
      </c>
      <c r="I41" s="1608">
        <f>H41/B41</f>
        <v>0.15877510701350017</v>
      </c>
      <c r="J41" s="1903">
        <v>30470</v>
      </c>
      <c r="K41" s="372">
        <f>J41/J40-1</f>
        <v>7.7057909184112816E-3</v>
      </c>
      <c r="L41" s="1569">
        <f>J41/B41</f>
        <v>1.0032927230819888</v>
      </c>
    </row>
  </sheetData>
  <mergeCells count="1">
    <mergeCell ref="A1:M1"/>
  </mergeCells>
  <printOptions horizontalCentered="1" verticalCentered="1"/>
  <pageMargins left="0.4" right="0.4" top="0.25" bottom="0.25" header="0.31496062992126" footer="0.31496062992126"/>
  <pageSetup scale="7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8" tint="-0.499984740745262"/>
    <pageSetUpPr fitToPage="1"/>
  </sheetPr>
  <dimension ref="A1:O45"/>
  <sheetViews>
    <sheetView showGridLines="0" view="pageBreakPreview" zoomScale="85" zoomScaleNormal="70" zoomScaleSheetLayoutView="85" workbookViewId="0">
      <selection activeCell="K7" sqref="K7"/>
    </sheetView>
  </sheetViews>
  <sheetFormatPr baseColWidth="10" defaultColWidth="19.42578125" defaultRowHeight="15"/>
  <cols>
    <col min="1" max="1" width="13.5703125" style="59" customWidth="1"/>
    <col min="2" max="2" width="14.28515625" style="59" customWidth="1"/>
    <col min="3" max="3" width="15.140625" style="59" customWidth="1"/>
    <col min="4" max="4" width="15" style="59" customWidth="1"/>
    <col min="5" max="5" width="14.85546875" style="59" customWidth="1"/>
    <col min="6" max="6" width="15.140625" style="59" bestFit="1" customWidth="1"/>
    <col min="7" max="7" width="16" style="59" customWidth="1"/>
    <col min="8" max="8" width="23" style="59" customWidth="1"/>
    <col min="9" max="9" width="12.5703125" style="59" customWidth="1"/>
    <col min="10" max="10" width="13.7109375" style="59" bestFit="1" customWidth="1"/>
    <col min="11" max="11" width="16.140625" style="59" customWidth="1"/>
    <col min="12" max="12" width="17.5703125" style="59" customWidth="1"/>
    <col min="13" max="13" width="18.140625" style="59" customWidth="1"/>
    <col min="14" max="16384" width="19.42578125" style="59"/>
  </cols>
  <sheetData>
    <row r="1" spans="1:15" customFormat="1" ht="63.75" customHeight="1">
      <c r="A1" s="2419" t="s">
        <v>1956</v>
      </c>
      <c r="B1" s="2419"/>
      <c r="C1" s="2419"/>
      <c r="D1" s="2419"/>
      <c r="E1" s="2419"/>
      <c r="F1" s="2419"/>
      <c r="G1" s="2419"/>
      <c r="H1" s="2419"/>
      <c r="I1" s="2419"/>
      <c r="J1" s="2419"/>
      <c r="K1" s="2419"/>
      <c r="L1" s="2419"/>
      <c r="M1" s="2419"/>
    </row>
    <row r="2" spans="1:15" s="128" customFormat="1" ht="4.5" customHeight="1">
      <c r="A2" s="443"/>
      <c r="B2" s="443"/>
      <c r="C2" s="443"/>
      <c r="D2" s="443"/>
      <c r="E2" s="443"/>
      <c r="F2" s="443"/>
      <c r="G2" s="443"/>
      <c r="H2" s="443"/>
      <c r="I2" s="443"/>
      <c r="J2" s="443"/>
      <c r="K2" s="443"/>
      <c r="L2" s="443"/>
      <c r="M2" s="443"/>
    </row>
    <row r="3" spans="1:15" customFormat="1" ht="20.25" customHeight="1">
      <c r="A3" s="1083" t="s">
        <v>46</v>
      </c>
      <c r="B3" s="1083" t="s">
        <v>388</v>
      </c>
      <c r="C3" s="1083" t="s">
        <v>434</v>
      </c>
      <c r="D3" s="1083" t="s">
        <v>504</v>
      </c>
      <c r="E3" s="1083" t="s">
        <v>1075</v>
      </c>
      <c r="F3" s="1083" t="s">
        <v>1645</v>
      </c>
      <c r="G3" s="1083" t="s">
        <v>1955</v>
      </c>
      <c r="H3" s="1337" t="s">
        <v>1957</v>
      </c>
      <c r="I3" s="1083" t="s">
        <v>505</v>
      </c>
      <c r="J3" s="59"/>
      <c r="K3" s="59"/>
      <c r="L3" s="59"/>
      <c r="M3" s="59"/>
    </row>
    <row r="4" spans="1:15" customFormat="1" ht="15.75">
      <c r="A4" s="1085" t="s">
        <v>168</v>
      </c>
      <c r="B4" s="94">
        <v>36201460.799999997</v>
      </c>
      <c r="C4" s="171">
        <v>108777211.09484001</v>
      </c>
      <c r="D4" s="352">
        <v>135892922.44</v>
      </c>
      <c r="E4" s="987">
        <v>141577463.36000001</v>
      </c>
      <c r="F4" s="987">
        <v>134962213.24000001</v>
      </c>
      <c r="G4" s="859">
        <v>127678151.16</v>
      </c>
      <c r="H4" s="1082">
        <f>SUM(B4:G4)</f>
        <v>685089422.09483993</v>
      </c>
      <c r="I4" s="1084">
        <f>H4/$H$7</f>
        <v>0.44561550060500288</v>
      </c>
      <c r="J4" s="59"/>
      <c r="K4" s="59"/>
      <c r="L4" s="59"/>
      <c r="M4" s="59"/>
      <c r="O4" s="128"/>
    </row>
    <row r="5" spans="1:15" customFormat="1" ht="15.75">
      <c r="A5" s="1085" t="s">
        <v>125</v>
      </c>
      <c r="B5" s="94">
        <v>4296847.38</v>
      </c>
      <c r="C5" s="171">
        <v>18395245.0678</v>
      </c>
      <c r="D5" s="352">
        <v>23880988</v>
      </c>
      <c r="E5" s="988">
        <v>29141298.68</v>
      </c>
      <c r="F5" s="987">
        <v>37045833.560000002</v>
      </c>
      <c r="G5" s="859">
        <v>39803330.119999997</v>
      </c>
      <c r="H5" s="1082">
        <f>SUM(B5:G5)</f>
        <v>152563542.80779999</v>
      </c>
      <c r="I5" s="1084">
        <f>H5/$H$7</f>
        <v>9.9234752880127175E-2</v>
      </c>
      <c r="J5" s="59"/>
      <c r="K5" s="59"/>
      <c r="L5" s="59"/>
      <c r="M5" s="59"/>
      <c r="N5" s="59"/>
      <c r="O5" s="128"/>
    </row>
    <row r="6" spans="1:15" customFormat="1" ht="15.75">
      <c r="A6" s="1085" t="s">
        <v>362</v>
      </c>
      <c r="B6" s="94">
        <v>16650888.640000001</v>
      </c>
      <c r="C6" s="171">
        <v>66447232.837360002</v>
      </c>
      <c r="D6" s="352">
        <v>132172162.95999999</v>
      </c>
      <c r="E6" s="989">
        <v>160917032.88</v>
      </c>
      <c r="F6" s="987">
        <v>161792201.75999999</v>
      </c>
      <c r="G6" s="859">
        <v>161767855.91999999</v>
      </c>
      <c r="H6" s="1082">
        <f>SUM(B6:G6)</f>
        <v>699747374.99735987</v>
      </c>
      <c r="I6" s="1084">
        <f>H6/$H$7</f>
        <v>0.45514974651487006</v>
      </c>
      <c r="J6" s="59"/>
      <c r="K6" s="59"/>
      <c r="L6" s="59"/>
      <c r="M6" s="59"/>
      <c r="N6" s="59"/>
      <c r="O6" s="128"/>
    </row>
    <row r="7" spans="1:15" customFormat="1">
      <c r="A7" s="1085" t="s">
        <v>23</v>
      </c>
      <c r="B7" s="1086">
        <f t="shared" ref="B7:H7" si="0">SUM(B4:B6)</f>
        <v>57149196.82</v>
      </c>
      <c r="C7" s="1086">
        <f t="shared" si="0"/>
        <v>193619689</v>
      </c>
      <c r="D7" s="1086">
        <f t="shared" si="0"/>
        <v>291946073.39999998</v>
      </c>
      <c r="E7" s="1086">
        <f t="shared" si="0"/>
        <v>331635794.92000002</v>
      </c>
      <c r="F7" s="1086">
        <f t="shared" si="0"/>
        <v>333800248.56</v>
      </c>
      <c r="G7" s="1086">
        <f t="shared" si="0"/>
        <v>329249337.19999999</v>
      </c>
      <c r="H7" s="1086">
        <f t="shared" si="0"/>
        <v>1537400339.8999996</v>
      </c>
      <c r="I7" s="59"/>
      <c r="J7" s="74"/>
      <c r="K7" s="74"/>
      <c r="L7" s="74"/>
      <c r="M7" s="74"/>
      <c r="O7" s="128"/>
    </row>
    <row r="8" spans="1:15" s="63" customFormat="1">
      <c r="A8" s="1087" t="s">
        <v>506</v>
      </c>
      <c r="B8" s="1088">
        <f>B7/$H$7</f>
        <v>3.717261882725828E-2</v>
      </c>
      <c r="C8" s="1088">
        <f>C7/$H$7</f>
        <v>0.12593966839671314</v>
      </c>
      <c r="D8" s="1088">
        <f>D7/$H$7</f>
        <v>0.1898959339497672</v>
      </c>
      <c r="E8" s="1088">
        <f>E7/$H$7</f>
        <v>0.2157120603613053</v>
      </c>
      <c r="F8" s="493"/>
      <c r="G8" s="493"/>
    </row>
    <row r="9" spans="1:15" customFormat="1" ht="15.75">
      <c r="A9" s="30"/>
      <c r="B9" s="30"/>
      <c r="C9" s="13"/>
      <c r="D9" s="128"/>
      <c r="E9" s="128"/>
      <c r="F9" s="30"/>
      <c r="G9" s="90"/>
      <c r="J9" s="672"/>
      <c r="K9" s="672"/>
      <c r="L9" s="672"/>
    </row>
    <row r="10" spans="1:15" customFormat="1" ht="15.75">
      <c r="A10" s="30"/>
      <c r="B10" s="30"/>
      <c r="C10" s="13"/>
      <c r="D10" s="128"/>
      <c r="E10" s="128"/>
      <c r="G10" s="128"/>
      <c r="L10" s="59"/>
    </row>
    <row r="11" spans="1:15" customFormat="1" ht="15.75">
      <c r="A11" s="30"/>
      <c r="B11" s="30"/>
      <c r="C11" s="13"/>
      <c r="D11" s="128"/>
      <c r="E11" s="128"/>
      <c r="F11" s="72"/>
      <c r="G11" s="72"/>
      <c r="L11" s="59"/>
    </row>
    <row r="12" spans="1:15" customFormat="1" ht="15.75">
      <c r="A12" s="30"/>
      <c r="B12" s="30"/>
      <c r="C12" s="13"/>
      <c r="D12" s="128"/>
      <c r="E12" s="128"/>
      <c r="F12" s="72"/>
      <c r="G12" s="72"/>
      <c r="L12" s="59"/>
    </row>
    <row r="13" spans="1:15" customFormat="1" ht="15.75">
      <c r="A13" s="30"/>
      <c r="B13" s="30"/>
      <c r="C13" s="13"/>
      <c r="D13" s="128"/>
      <c r="E13" s="128"/>
      <c r="F13" s="72"/>
      <c r="G13" s="72"/>
      <c r="L13" s="59"/>
    </row>
    <row r="14" spans="1:15" customFormat="1" ht="15.75">
      <c r="A14" s="30"/>
      <c r="B14" s="30"/>
      <c r="C14" s="13"/>
      <c r="D14" s="128"/>
      <c r="E14" s="128"/>
      <c r="F14" s="72"/>
      <c r="G14" s="72"/>
      <c r="L14" s="59"/>
    </row>
    <row r="15" spans="1:15" customFormat="1" ht="15.75">
      <c r="A15" s="30"/>
      <c r="B15" s="30"/>
      <c r="C15" s="13"/>
      <c r="D15" s="128"/>
      <c r="E15" s="128"/>
      <c r="F15" s="72"/>
      <c r="G15" s="72"/>
      <c r="L15" s="59"/>
    </row>
    <row r="16" spans="1:15" customFormat="1" ht="15.75">
      <c r="A16" s="30"/>
      <c r="B16" s="30"/>
      <c r="C16" s="13"/>
      <c r="D16" s="128"/>
      <c r="E16" s="128"/>
      <c r="F16" s="72"/>
      <c r="G16" s="72"/>
      <c r="L16" s="59"/>
    </row>
    <row r="17" spans="1:12" customFormat="1" ht="15.75">
      <c r="A17" s="30"/>
      <c r="B17" s="30"/>
      <c r="C17" s="13"/>
      <c r="D17" s="128"/>
      <c r="E17" s="128"/>
      <c r="G17" s="128"/>
      <c r="L17" s="59"/>
    </row>
    <row r="18" spans="1:12" customFormat="1" ht="15.75">
      <c r="C18" s="13"/>
      <c r="D18" s="128"/>
      <c r="E18" s="128"/>
      <c r="G18" s="128"/>
      <c r="L18" s="59"/>
    </row>
    <row r="19" spans="1:12" customFormat="1" ht="15.75">
      <c r="C19" s="13"/>
      <c r="D19" s="128"/>
      <c r="E19" s="128"/>
      <c r="G19" s="128"/>
      <c r="L19" s="59"/>
    </row>
    <row r="20" spans="1:12" customFormat="1" ht="15.75">
      <c r="C20" s="13"/>
      <c r="D20" s="128"/>
      <c r="E20" s="128"/>
      <c r="G20" s="128"/>
    </row>
    <row r="21" spans="1:12" customFormat="1" ht="15.75">
      <c r="C21" s="13"/>
      <c r="D21" s="128"/>
      <c r="E21" s="128"/>
      <c r="G21" s="128"/>
    </row>
    <row r="22" spans="1:12" customFormat="1" ht="15.75">
      <c r="C22" s="13"/>
      <c r="D22" s="128"/>
      <c r="E22" s="128"/>
      <c r="G22" s="128"/>
    </row>
    <row r="23" spans="1:12" customFormat="1" ht="15.75">
      <c r="C23" s="13"/>
      <c r="D23" s="128"/>
      <c r="E23" s="128"/>
      <c r="G23" s="128"/>
    </row>
    <row r="24" spans="1:12" customFormat="1" ht="15.75">
      <c r="C24" s="13"/>
      <c r="D24" s="128"/>
      <c r="E24" s="128"/>
      <c r="G24" s="128"/>
    </row>
    <row r="25" spans="1:12" customFormat="1" ht="15.75">
      <c r="C25" s="13"/>
      <c r="D25" s="128"/>
      <c r="E25" s="128"/>
      <c r="G25" s="128"/>
    </row>
    <row r="26" spans="1:12" customFormat="1" ht="15.75">
      <c r="C26" s="13"/>
      <c r="D26" s="128"/>
      <c r="E26" s="128"/>
      <c r="G26" s="128"/>
    </row>
    <row r="27" spans="1:12" customFormat="1" ht="15.75">
      <c r="C27" s="13"/>
      <c r="D27" s="128"/>
      <c r="E27" s="128"/>
      <c r="G27" s="128"/>
    </row>
    <row r="28" spans="1:12" customFormat="1" ht="15.75">
      <c r="C28" s="13"/>
      <c r="D28" s="128"/>
      <c r="E28" s="128"/>
      <c r="G28" s="128"/>
    </row>
    <row r="29" spans="1:12" customFormat="1" ht="15.75">
      <c r="C29" s="13"/>
      <c r="D29" s="128"/>
      <c r="E29" s="128"/>
      <c r="G29" s="128"/>
    </row>
    <row r="30" spans="1:12" customFormat="1" ht="15.75">
      <c r="C30" s="13"/>
      <c r="D30" s="128"/>
      <c r="E30" s="128"/>
      <c r="G30" s="128"/>
    </row>
    <row r="31" spans="1:12" customFormat="1" ht="15.75">
      <c r="C31" s="13"/>
      <c r="D31" s="128"/>
      <c r="E31" s="128"/>
      <c r="G31" s="128"/>
    </row>
    <row r="32" spans="1:12" customFormat="1" ht="15.75">
      <c r="C32" s="13"/>
      <c r="D32" s="128"/>
      <c r="E32" s="128"/>
      <c r="G32" s="128"/>
    </row>
    <row r="33" spans="1:7" customFormat="1" ht="15.75">
      <c r="C33" s="13"/>
      <c r="D33" s="128"/>
      <c r="E33" s="128"/>
      <c r="G33" s="128"/>
    </row>
    <row r="34" spans="1:7" customFormat="1" ht="15.75">
      <c r="C34" s="13"/>
      <c r="D34" s="128"/>
      <c r="E34" s="128"/>
      <c r="G34" s="128"/>
    </row>
    <row r="35" spans="1:7" customFormat="1" ht="15.75">
      <c r="C35" s="13"/>
      <c r="D35" s="128"/>
      <c r="E35" s="128"/>
      <c r="G35" s="128"/>
    </row>
    <row r="36" spans="1:7" customFormat="1" ht="15.75">
      <c r="C36" s="13"/>
      <c r="D36" s="128"/>
      <c r="E36" s="128"/>
      <c r="G36" s="128"/>
    </row>
    <row r="37" spans="1:7" customFormat="1" ht="15.75">
      <c r="C37" s="13"/>
      <c r="D37" s="128"/>
      <c r="E37" s="128"/>
      <c r="G37" s="128"/>
    </row>
    <row r="38" spans="1:7" customFormat="1" ht="15.75">
      <c r="C38" s="13"/>
      <c r="D38" s="128"/>
      <c r="E38" s="128"/>
      <c r="G38" s="128"/>
    </row>
    <row r="39" spans="1:7" customFormat="1" ht="15.75">
      <c r="A39" s="59"/>
      <c r="C39" s="13"/>
      <c r="D39" s="128"/>
      <c r="E39" s="128"/>
      <c r="G39" s="128"/>
    </row>
    <row r="40" spans="1:7" customFormat="1" ht="15.75">
      <c r="C40" s="13"/>
      <c r="D40" s="128"/>
      <c r="E40" s="128"/>
      <c r="G40" s="128"/>
    </row>
    <row r="41" spans="1:7" ht="15.75">
      <c r="C41" s="93"/>
    </row>
    <row r="42" spans="1:7" ht="15.75">
      <c r="C42" s="93"/>
    </row>
    <row r="43" spans="1:7" ht="15.75">
      <c r="C43" s="93"/>
    </row>
    <row r="44" spans="1:7" ht="15.75">
      <c r="C44" s="93"/>
    </row>
    <row r="45" spans="1:7" ht="15.75">
      <c r="C45"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70" zoomScaleNormal="100" zoomScaleSheetLayoutView="70" workbookViewId="0">
      <selection activeCell="R36" sqref="R36"/>
    </sheetView>
  </sheetViews>
  <sheetFormatPr baseColWidth="10" defaultColWidth="11.42578125" defaultRowHeight="15"/>
  <cols>
    <col min="1" max="6" width="11.42578125" style="128"/>
    <col min="7" max="7" width="9.42578125" style="128" customWidth="1"/>
    <col min="8" max="16" width="11.42578125" style="128"/>
    <col min="17" max="17" width="12.140625" style="128" customWidth="1"/>
    <col min="18" max="16384" width="11.42578125" style="128"/>
  </cols>
  <sheetData/>
  <pageMargins left="0.7" right="0.7" top="0.75" bottom="0.75" header="0.3" footer="0.3"/>
  <pageSetup scale="6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B050"/>
    <pageSetUpPr fitToPage="1"/>
  </sheetPr>
  <dimension ref="A1:N18"/>
  <sheetViews>
    <sheetView showGridLines="0" view="pageBreakPreview" zoomScale="85" zoomScaleNormal="70" zoomScaleSheetLayoutView="85" workbookViewId="0">
      <pane ySplit="1" topLeftCell="A2" activePane="bottomLeft" state="frozen"/>
      <selection pane="bottomLeft" activeCell="N26" sqref="N26"/>
    </sheetView>
  </sheetViews>
  <sheetFormatPr baseColWidth="10" defaultColWidth="11.5703125" defaultRowHeight="15"/>
  <cols>
    <col min="1" max="1" width="17.28515625" customWidth="1"/>
    <col min="2" max="2" width="18" customWidth="1"/>
    <col min="3" max="3" width="16.5703125" style="128" hidden="1" customWidth="1"/>
    <col min="4" max="4" width="15.28515625" customWidth="1"/>
    <col min="5" max="5" width="20.5703125" customWidth="1"/>
    <col min="6" max="6" width="11.42578125" customWidth="1"/>
    <col min="7" max="7" width="12.7109375" bestFit="1" customWidth="1"/>
    <col min="8" max="8" width="12.7109375" customWidth="1"/>
    <col min="9" max="9" width="10" customWidth="1"/>
    <col min="10" max="10" width="11.85546875" customWidth="1"/>
    <col min="11" max="11" width="12.85546875" customWidth="1"/>
    <col min="12" max="12" width="11.7109375" customWidth="1"/>
  </cols>
  <sheetData>
    <row r="1" spans="1:14" ht="67.5" customHeight="1">
      <c r="A1" s="2389" t="s">
        <v>1850</v>
      </c>
      <c r="B1" s="2389"/>
      <c r="C1" s="2389"/>
      <c r="D1" s="2389"/>
      <c r="E1" s="2389"/>
      <c r="F1" s="2389"/>
      <c r="G1" s="2389"/>
      <c r="H1" s="2389"/>
      <c r="I1" s="2389"/>
      <c r="J1" s="2389"/>
      <c r="K1" s="2389"/>
      <c r="L1" s="2389"/>
    </row>
    <row r="2" spans="1:14" s="59" customFormat="1" ht="3" customHeight="1">
      <c r="A2" s="575"/>
      <c r="B2" s="575"/>
      <c r="C2" s="575"/>
      <c r="D2" s="575"/>
      <c r="E2" s="575"/>
      <c r="F2" s="575"/>
      <c r="G2" s="575"/>
      <c r="H2" s="575"/>
      <c r="I2" s="575"/>
      <c r="J2" s="575"/>
      <c r="K2" s="575"/>
      <c r="L2" s="575"/>
    </row>
    <row r="3" spans="1:14" ht="51.75" customHeight="1">
      <c r="A3" s="1079" t="s">
        <v>51</v>
      </c>
      <c r="B3" s="1089" t="s">
        <v>756</v>
      </c>
      <c r="C3" s="1089" t="s">
        <v>365</v>
      </c>
      <c r="D3" s="1089" t="s">
        <v>956</v>
      </c>
      <c r="E3" s="1089" t="s">
        <v>507</v>
      </c>
      <c r="G3" s="37"/>
      <c r="H3" s="37"/>
      <c r="I3" s="37"/>
      <c r="J3" s="37"/>
      <c r="K3" s="133"/>
    </row>
    <row r="4" spans="1:14" s="128" customFormat="1" ht="18" customHeight="1">
      <c r="A4" s="1090" t="s">
        <v>944</v>
      </c>
      <c r="B4" s="343">
        <v>1814</v>
      </c>
      <c r="C4" s="188">
        <v>0</v>
      </c>
      <c r="D4" s="343">
        <v>32</v>
      </c>
      <c r="E4" s="683">
        <v>16656000</v>
      </c>
      <c r="G4" s="75"/>
      <c r="H4" s="664"/>
      <c r="I4" s="37"/>
      <c r="J4" s="664"/>
      <c r="K4" s="133"/>
      <c r="N4"/>
    </row>
    <row r="5" spans="1:14" s="128" customFormat="1" ht="18" customHeight="1">
      <c r="A5" s="1090" t="s">
        <v>945</v>
      </c>
      <c r="B5" s="343">
        <v>4131</v>
      </c>
      <c r="C5" s="343">
        <v>123</v>
      </c>
      <c r="D5" s="343">
        <v>86</v>
      </c>
      <c r="E5" s="683">
        <v>68030000</v>
      </c>
      <c r="G5" s="75"/>
      <c r="H5" s="37"/>
      <c r="J5" s="37"/>
      <c r="K5" s="133"/>
      <c r="N5" s="78">
        <f>+D4+B4</f>
        <v>1846</v>
      </c>
    </row>
    <row r="6" spans="1:14" s="128" customFormat="1" ht="18" customHeight="1">
      <c r="A6" s="1090" t="s">
        <v>946</v>
      </c>
      <c r="B6" s="343">
        <v>4901</v>
      </c>
      <c r="C6" s="343">
        <v>141</v>
      </c>
      <c r="D6" s="343">
        <v>87</v>
      </c>
      <c r="E6" s="683">
        <v>168385579.84999999</v>
      </c>
      <c r="G6" s="75"/>
      <c r="H6" s="682"/>
      <c r="I6" s="37"/>
      <c r="J6" s="37"/>
      <c r="K6" s="133"/>
      <c r="N6" s="78">
        <f>+D5+B5</f>
        <v>4217</v>
      </c>
    </row>
    <row r="7" spans="1:14" s="128" customFormat="1" ht="18" customHeight="1">
      <c r="A7" s="1090" t="s">
        <v>1060</v>
      </c>
      <c r="B7" s="343">
        <v>4963</v>
      </c>
      <c r="C7" s="343">
        <v>156</v>
      </c>
      <c r="D7" s="343">
        <v>91</v>
      </c>
      <c r="E7" s="683">
        <v>115622500</v>
      </c>
      <c r="G7" s="75"/>
      <c r="H7"/>
      <c r="I7" s="37"/>
      <c r="J7" s="37"/>
      <c r="K7" s="133"/>
      <c r="N7" s="78">
        <f>+D6+B6</f>
        <v>4988</v>
      </c>
    </row>
    <row r="8" spans="1:14" s="128" customFormat="1" ht="18" customHeight="1">
      <c r="A8" s="1090" t="s">
        <v>1644</v>
      </c>
      <c r="B8" s="1602">
        <v>6516</v>
      </c>
      <c r="C8" s="343">
        <v>1702</v>
      </c>
      <c r="D8" s="343">
        <v>93</v>
      </c>
      <c r="E8" s="683">
        <v>141194000</v>
      </c>
      <c r="G8" s="75"/>
      <c r="I8" s="37"/>
      <c r="J8" s="37"/>
      <c r="K8" s="133"/>
      <c r="N8" s="78">
        <f>+D7+B7</f>
        <v>5054</v>
      </c>
    </row>
    <row r="9" spans="1:14" s="128" customFormat="1" ht="18" hidden="1" customHeight="1">
      <c r="A9" s="1090" t="s">
        <v>1756</v>
      </c>
      <c r="B9" s="1907">
        <v>12117</v>
      </c>
      <c r="C9" s="343"/>
      <c r="D9" s="219">
        <v>95</v>
      </c>
      <c r="E9" s="1906"/>
      <c r="G9" s="75"/>
      <c r="I9" s="37"/>
      <c r="J9" s="37"/>
      <c r="K9" s="133"/>
      <c r="N9" s="78"/>
    </row>
    <row r="10" spans="1:14" s="128" customFormat="1" ht="16.5" customHeight="1">
      <c r="A10" s="1091" t="s">
        <v>23</v>
      </c>
      <c r="B10" s="2420"/>
      <c r="C10" s="2421"/>
      <c r="D10" s="2422"/>
      <c r="E10" s="1604">
        <f>SUM(E4:E9)</f>
        <v>509888079.85000002</v>
      </c>
      <c r="F10"/>
      <c r="G10" s="75"/>
      <c r="H10"/>
      <c r="I10" s="37"/>
      <c r="J10" s="37"/>
      <c r="K10" s="133"/>
      <c r="N10" s="78"/>
    </row>
    <row r="11" spans="1:14" ht="15.75" customHeight="1">
      <c r="A11" s="52"/>
      <c r="B11" s="52"/>
      <c r="C11" s="52"/>
      <c r="D11" s="52"/>
      <c r="E11" s="52"/>
      <c r="F11" s="75"/>
      <c r="G11" s="37"/>
      <c r="I11" s="37"/>
      <c r="J11" s="74"/>
    </row>
    <row r="12" spans="1:14" ht="13.5" customHeight="1">
      <c r="B12" s="37"/>
      <c r="C12" s="37"/>
      <c r="D12" s="37"/>
      <c r="E12" s="37"/>
      <c r="F12" s="52"/>
      <c r="G12" s="52"/>
      <c r="I12" s="52"/>
      <c r="J12" s="52"/>
    </row>
    <row r="13" spans="1:14" ht="23.25">
      <c r="B13" s="37"/>
      <c r="C13" s="37"/>
      <c r="D13" s="37"/>
      <c r="E13" s="37"/>
      <c r="F13" s="52"/>
      <c r="G13" s="52"/>
      <c r="I13" s="52"/>
      <c r="J13" s="52"/>
    </row>
    <row r="14" spans="1:14" ht="23.25">
      <c r="B14" s="37"/>
      <c r="C14" s="37"/>
      <c r="D14" s="37"/>
      <c r="E14" s="37"/>
      <c r="F14" s="52"/>
      <c r="G14" s="52"/>
      <c r="I14" s="52"/>
      <c r="J14" s="52"/>
    </row>
    <row r="15" spans="1:14" ht="23.25">
      <c r="B15" s="37"/>
      <c r="C15" s="37"/>
      <c r="D15" s="53"/>
      <c r="E15" s="37"/>
      <c r="F15" s="52"/>
      <c r="G15" s="52"/>
      <c r="I15" s="52"/>
      <c r="J15" s="52"/>
    </row>
    <row r="16" spans="1:14" ht="23.25">
      <c r="B16" s="37"/>
      <c r="C16" s="37"/>
      <c r="D16" s="37"/>
      <c r="E16" s="37"/>
      <c r="F16" s="52"/>
      <c r="G16" s="52"/>
      <c r="I16" s="52"/>
      <c r="J16" s="52"/>
    </row>
    <row r="17" spans="2:10" ht="23.25">
      <c r="B17" s="37"/>
      <c r="C17" s="37"/>
      <c r="D17" s="37"/>
      <c r="E17" s="37"/>
      <c r="F17" s="52"/>
      <c r="G17" s="52"/>
      <c r="I17" s="52"/>
      <c r="J17" s="52"/>
    </row>
    <row r="18" spans="2:10" ht="23.25">
      <c r="B18" s="37"/>
      <c r="C18" s="37"/>
      <c r="D18" s="37"/>
      <c r="E18" s="37"/>
      <c r="F18" s="52"/>
      <c r="G18" s="52"/>
      <c r="I18" s="52"/>
      <c r="J18" s="52"/>
    </row>
  </sheetData>
  <mergeCells count="2">
    <mergeCell ref="A1:L1"/>
    <mergeCell ref="B10:D10"/>
  </mergeCells>
  <printOptions horizontalCentered="1" verticalCentered="1"/>
  <pageMargins left="0.39370078740157483" right="0.39370078740157483" top="0.23622047244094491" bottom="0.23622047244094491" header="0.31496062992125984" footer="0.31496062992125984"/>
  <pageSetup scale="80" orientation="landscape" r:id="rId1"/>
  <rowBreaks count="1" manualBreakCount="1">
    <brk id="2" max="11" man="1"/>
  </rowBreaks>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B050"/>
    <pageSetUpPr fitToPage="1"/>
  </sheetPr>
  <dimension ref="A1:K21"/>
  <sheetViews>
    <sheetView showGridLines="0" view="pageBreakPreview" zoomScale="85" zoomScaleNormal="70" zoomScaleSheetLayoutView="85" workbookViewId="0">
      <pane ySplit="1" topLeftCell="A2" activePane="bottomLeft" state="frozen"/>
      <selection pane="bottomLeft" activeCell="K37" sqref="K37"/>
    </sheetView>
  </sheetViews>
  <sheetFormatPr baseColWidth="10" defaultColWidth="11.42578125" defaultRowHeight="15"/>
  <cols>
    <col min="1" max="1" width="16.42578125" style="128" customWidth="1"/>
    <col min="2" max="2" width="20.5703125" style="128" customWidth="1"/>
    <col min="3" max="3" width="11.42578125" style="128" customWidth="1"/>
    <col min="4" max="4" width="8.85546875" style="128" bestFit="1" customWidth="1"/>
    <col min="5" max="5" width="16.7109375" style="128" customWidth="1"/>
    <col min="6" max="6" width="16.42578125" style="128" customWidth="1"/>
    <col min="7" max="7" width="24.85546875" style="128" customWidth="1"/>
    <col min="8" max="8" width="22" style="128" customWidth="1"/>
    <col min="9" max="9" width="28.85546875" style="128" customWidth="1"/>
    <col min="10" max="10" width="7.42578125" style="128" customWidth="1"/>
    <col min="11" max="16384" width="11.42578125" style="128"/>
  </cols>
  <sheetData>
    <row r="1" spans="1:10" ht="65.25" customHeight="1">
      <c r="A1" s="2379" t="s">
        <v>1958</v>
      </c>
      <c r="B1" s="2379"/>
      <c r="C1" s="2379"/>
      <c r="D1" s="2379"/>
      <c r="E1" s="2379"/>
      <c r="F1" s="2379"/>
      <c r="G1" s="2379"/>
      <c r="H1" s="2379"/>
      <c r="I1" s="2379"/>
      <c r="J1" s="665"/>
    </row>
    <row r="2" spans="1:10" s="59" customFormat="1" ht="6" customHeight="1">
      <c r="A2" s="575"/>
      <c r="B2" s="575"/>
      <c r="C2" s="575"/>
      <c r="D2" s="575"/>
      <c r="E2" s="575"/>
      <c r="F2" s="575"/>
      <c r="G2" s="575"/>
      <c r="H2" s="575"/>
      <c r="I2" s="575"/>
      <c r="J2" s="575"/>
    </row>
    <row r="3" spans="1:10" ht="21.75" customHeight="1">
      <c r="A3" s="1079" t="s">
        <v>51</v>
      </c>
      <c r="B3" s="1089" t="s">
        <v>1857</v>
      </c>
    </row>
    <row r="4" spans="1:10" ht="18" hidden="1" customHeight="1">
      <c r="A4" s="218">
        <v>40544</v>
      </c>
      <c r="B4" s="219">
        <v>8402000</v>
      </c>
      <c r="C4" s="78"/>
    </row>
    <row r="5" spans="1:10" ht="18" hidden="1" customHeight="1">
      <c r="A5" s="218">
        <v>40575</v>
      </c>
      <c r="B5" s="219">
        <v>8352000</v>
      </c>
      <c r="C5" s="78"/>
    </row>
    <row r="6" spans="1:10" ht="18" hidden="1" customHeight="1">
      <c r="A6" s="1090">
        <v>41214</v>
      </c>
      <c r="B6" s="1092">
        <v>11938000</v>
      </c>
      <c r="C6" s="78"/>
    </row>
    <row r="7" spans="1:10" ht="17.25" customHeight="1">
      <c r="A7" s="1994">
        <v>2009</v>
      </c>
      <c r="B7" s="683">
        <v>16656000</v>
      </c>
    </row>
    <row r="8" spans="1:10" ht="15.75" customHeight="1">
      <c r="A8" s="1994">
        <v>2010</v>
      </c>
      <c r="B8" s="683">
        <v>68030000</v>
      </c>
      <c r="C8" s="52"/>
    </row>
    <row r="9" spans="1:10" ht="17.25" customHeight="1">
      <c r="A9" s="1994">
        <v>2011</v>
      </c>
      <c r="B9" s="683">
        <v>168385579.84999999</v>
      </c>
      <c r="C9" s="37"/>
    </row>
    <row r="10" spans="1:10" ht="17.25" customHeight="1">
      <c r="A10" s="1994">
        <v>2012</v>
      </c>
      <c r="B10" s="683">
        <v>182376500</v>
      </c>
      <c r="C10" s="37"/>
    </row>
    <row r="11" spans="1:10" ht="18.75" customHeight="1">
      <c r="A11" s="1994">
        <v>2013</v>
      </c>
      <c r="B11" s="683">
        <v>141194000</v>
      </c>
      <c r="C11" s="37"/>
    </row>
    <row r="12" spans="1:10" ht="18" customHeight="1">
      <c r="A12" s="1994">
        <v>2014</v>
      </c>
      <c r="B12" s="683">
        <v>262429320</v>
      </c>
      <c r="C12" s="37"/>
    </row>
    <row r="13" spans="1:10" ht="15.75" hidden="1">
      <c r="A13" s="1090">
        <v>41640</v>
      </c>
      <c r="B13" s="1911">
        <v>216309320</v>
      </c>
    </row>
    <row r="14" spans="1:10" ht="15.75" hidden="1">
      <c r="A14" s="1090">
        <v>41671</v>
      </c>
      <c r="B14" s="1911">
        <v>12830000</v>
      </c>
    </row>
    <row r="15" spans="1:10" ht="15.75" hidden="1">
      <c r="A15" s="1090">
        <v>41699</v>
      </c>
      <c r="B15" s="1911">
        <v>13236000</v>
      </c>
    </row>
    <row r="16" spans="1:10" ht="15.75" hidden="1">
      <c r="A16" s="1090">
        <v>41730</v>
      </c>
      <c r="B16" s="1908"/>
    </row>
    <row r="17" spans="1:11" ht="18.75">
      <c r="A17" s="1994" t="s">
        <v>23</v>
      </c>
      <c r="B17" s="2101">
        <f>SUM(B7:B16)</f>
        <v>1081446719.8499999</v>
      </c>
    </row>
    <row r="21" spans="1:11">
      <c r="K21" s="666"/>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7" orientation="landscape" r:id="rId1"/>
  <rowBreaks count="1" manualBreakCount="1">
    <brk id="8" max="16383" man="1"/>
  </rowBreaks>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B050"/>
    <pageSetUpPr fitToPage="1"/>
  </sheetPr>
  <dimension ref="A1:M47"/>
  <sheetViews>
    <sheetView showGridLines="0" view="pageBreakPreview" zoomScale="89" zoomScaleNormal="100" zoomScaleSheetLayoutView="89" workbookViewId="0">
      <selection activeCell="L16" sqref="L16"/>
    </sheetView>
  </sheetViews>
  <sheetFormatPr baseColWidth="10" defaultColWidth="11.42578125" defaultRowHeight="15"/>
  <cols>
    <col min="1" max="1" width="34.28515625" style="128" bestFit="1" customWidth="1"/>
    <col min="2" max="4" width="11.42578125" style="128"/>
    <col min="5" max="5" width="13.140625" style="128" customWidth="1"/>
    <col min="6" max="8" width="11.42578125" style="128"/>
    <col min="9" max="9" width="24.7109375" style="128" customWidth="1"/>
    <col min="10" max="10" width="10.42578125" style="128" customWidth="1"/>
    <col min="11" max="16384" width="11.42578125" style="128"/>
  </cols>
  <sheetData>
    <row r="1" spans="1:13" ht="44.25" customHeight="1">
      <c r="A1" s="2389" t="s">
        <v>1201</v>
      </c>
      <c r="B1" s="2389"/>
      <c r="C1" s="2389"/>
      <c r="D1" s="2389"/>
      <c r="E1" s="2389"/>
      <c r="F1" s="2389"/>
      <c r="G1" s="2389"/>
      <c r="H1" s="2389"/>
      <c r="I1" s="2389"/>
      <c r="J1" s="2389"/>
    </row>
    <row r="2" spans="1:13" s="59" customFormat="1" ht="5.25" customHeight="1">
      <c r="A2" s="575"/>
      <c r="B2" s="575"/>
      <c r="C2" s="575"/>
      <c r="D2" s="575"/>
      <c r="E2" s="575"/>
      <c r="F2" s="575"/>
      <c r="G2" s="575"/>
      <c r="H2" s="575"/>
      <c r="I2" s="575"/>
      <c r="J2" s="575"/>
    </row>
    <row r="3" spans="1:13" ht="23.25">
      <c r="A3" s="1093"/>
      <c r="B3" s="1095">
        <v>39965</v>
      </c>
      <c r="C3" s="1095">
        <v>40148</v>
      </c>
      <c r="D3" s="1095">
        <v>40513</v>
      </c>
      <c r="E3" s="1095">
        <v>40878</v>
      </c>
      <c r="F3" s="1095">
        <v>40969</v>
      </c>
      <c r="G3" s="1095" t="s">
        <v>1628</v>
      </c>
      <c r="H3" s="52"/>
    </row>
    <row r="4" spans="1:13">
      <c r="A4" s="1094" t="s">
        <v>181</v>
      </c>
      <c r="B4" s="445">
        <v>3455</v>
      </c>
      <c r="C4" s="445">
        <v>4500</v>
      </c>
      <c r="D4" s="446">
        <v>5164</v>
      </c>
      <c r="E4" s="446">
        <v>5042</v>
      </c>
      <c r="F4" s="1575">
        <v>5097</v>
      </c>
      <c r="G4" s="1575">
        <v>8001</v>
      </c>
    </row>
    <row r="5" spans="1:13" hidden="1">
      <c r="A5" s="1094" t="s">
        <v>182</v>
      </c>
      <c r="B5" s="445">
        <v>2413</v>
      </c>
      <c r="C5" s="445">
        <v>3200</v>
      </c>
      <c r="D5" s="446"/>
      <c r="E5" s="446"/>
      <c r="F5" s="1575"/>
      <c r="G5" s="1575"/>
    </row>
    <row r="6" spans="1:13">
      <c r="A6" s="1094" t="s">
        <v>260</v>
      </c>
      <c r="B6" s="445">
        <f t="shared" ref="B6:G6" si="0">B4-B11</f>
        <v>2854</v>
      </c>
      <c r="C6" s="445">
        <f t="shared" si="0"/>
        <v>2414</v>
      </c>
      <c r="D6" s="445">
        <f t="shared" si="0"/>
        <v>1033</v>
      </c>
      <c r="E6" s="445">
        <f t="shared" si="0"/>
        <v>141</v>
      </c>
      <c r="F6" s="445">
        <f t="shared" si="0"/>
        <v>134</v>
      </c>
      <c r="G6" s="445">
        <f t="shared" si="0"/>
        <v>1406</v>
      </c>
    </row>
    <row r="7" spans="1:13">
      <c r="A7" s="1094" t="s">
        <v>183</v>
      </c>
      <c r="B7" s="445">
        <v>2350</v>
      </c>
      <c r="C7" s="445">
        <v>3952</v>
      </c>
      <c r="D7" s="446">
        <v>4843</v>
      </c>
      <c r="E7" s="446">
        <v>5020</v>
      </c>
      <c r="F7" s="1575">
        <v>5247</v>
      </c>
      <c r="G7" s="1601">
        <v>6475</v>
      </c>
      <c r="M7" s="128">
        <v>1846</v>
      </c>
    </row>
    <row r="8" spans="1:13" hidden="1">
      <c r="A8" s="1094" t="s">
        <v>184</v>
      </c>
      <c r="B8" s="445">
        <v>1419</v>
      </c>
      <c r="C8" s="446" t="s">
        <v>209</v>
      </c>
      <c r="D8" s="446"/>
      <c r="E8" s="446"/>
      <c r="F8" s="1575"/>
      <c r="G8" s="1601"/>
      <c r="M8" s="128">
        <v>4217</v>
      </c>
    </row>
    <row r="9" spans="1:13">
      <c r="A9" s="1094" t="s">
        <v>261</v>
      </c>
      <c r="B9" s="445">
        <v>818</v>
      </c>
      <c r="C9" s="445">
        <v>403</v>
      </c>
      <c r="D9" s="446">
        <v>750</v>
      </c>
      <c r="E9" s="446">
        <v>804</v>
      </c>
      <c r="F9" s="1575">
        <v>815</v>
      </c>
      <c r="G9" s="1601">
        <v>1238</v>
      </c>
      <c r="M9" s="128">
        <v>4988</v>
      </c>
    </row>
    <row r="10" spans="1:13" ht="23.25" hidden="1">
      <c r="A10" s="1094" t="s">
        <v>262</v>
      </c>
      <c r="B10" s="445">
        <v>980</v>
      </c>
      <c r="C10" s="445">
        <v>2600</v>
      </c>
      <c r="D10" s="446"/>
      <c r="E10" s="446"/>
      <c r="F10" s="1575"/>
      <c r="G10" s="1601"/>
      <c r="H10" s="52"/>
      <c r="M10" s="128">
        <v>5054</v>
      </c>
    </row>
    <row r="11" spans="1:13" ht="15" customHeight="1">
      <c r="A11" s="1094" t="s">
        <v>941</v>
      </c>
      <c r="B11" s="445">
        <v>601</v>
      </c>
      <c r="C11" s="445">
        <v>2086</v>
      </c>
      <c r="D11" s="446">
        <v>4131</v>
      </c>
      <c r="E11" s="446">
        <v>4901</v>
      </c>
      <c r="F11" s="1575">
        <v>4963</v>
      </c>
      <c r="G11" s="1575">
        <v>6595</v>
      </c>
      <c r="H11" s="52"/>
    </row>
    <row r="12" spans="1:13" ht="17.25" customHeight="1">
      <c r="A12" s="37"/>
      <c r="B12" s="37"/>
      <c r="C12" s="37"/>
      <c r="D12" s="37"/>
      <c r="E12" s="52"/>
      <c r="G12" s="52"/>
      <c r="H12" s="52"/>
    </row>
    <row r="13" spans="1:13" ht="23.25">
      <c r="B13" s="37"/>
      <c r="C13" s="37"/>
      <c r="D13" s="37"/>
      <c r="E13" s="37"/>
      <c r="G13" s="52"/>
      <c r="H13" s="52"/>
      <c r="J13" s="227"/>
    </row>
    <row r="14" spans="1:13" ht="23.25">
      <c r="B14" s="37"/>
      <c r="C14" s="37"/>
      <c r="D14" s="37"/>
      <c r="E14" s="37"/>
      <c r="G14" s="52"/>
      <c r="H14" s="52"/>
    </row>
    <row r="15" spans="1:13" ht="23.25">
      <c r="B15" s="37"/>
      <c r="C15" s="37"/>
      <c r="D15" s="37"/>
      <c r="E15" s="37"/>
      <c r="G15" s="52"/>
      <c r="H15" s="52"/>
    </row>
    <row r="16" spans="1:13" ht="23.25">
      <c r="B16" s="37"/>
      <c r="C16" s="37"/>
      <c r="D16" s="37"/>
      <c r="E16" s="37"/>
      <c r="G16" s="52"/>
      <c r="H16" s="52"/>
    </row>
    <row r="17" spans="1:10" ht="23.25">
      <c r="B17" s="37"/>
      <c r="C17" s="37"/>
      <c r="D17" s="37"/>
      <c r="E17" s="37"/>
      <c r="G17" s="52"/>
      <c r="H17" s="52"/>
    </row>
    <row r="18" spans="1:10" ht="23.25">
      <c r="B18" s="37"/>
      <c r="C18" s="37"/>
      <c r="D18" s="37"/>
      <c r="E18" s="37"/>
      <c r="G18" s="52"/>
      <c r="H18" s="52"/>
    </row>
    <row r="19" spans="1:10" ht="23.25">
      <c r="B19" s="37"/>
      <c r="C19" s="37"/>
      <c r="D19" s="37"/>
      <c r="E19" s="37"/>
      <c r="F19" s="326"/>
      <c r="G19" s="52"/>
      <c r="H19" s="52"/>
    </row>
    <row r="20" spans="1:10" ht="23.25">
      <c r="B20" s="37"/>
      <c r="C20" s="37"/>
      <c r="D20" s="37"/>
      <c r="E20" s="37"/>
      <c r="F20" s="326"/>
      <c r="G20" s="52"/>
      <c r="H20" s="52"/>
    </row>
    <row r="21" spans="1:10" ht="23.25">
      <c r="B21" s="37"/>
      <c r="C21" s="37"/>
      <c r="D21" s="37"/>
      <c r="E21" s="37"/>
      <c r="F21" s="326"/>
      <c r="G21" s="52"/>
      <c r="H21" s="52"/>
    </row>
    <row r="22" spans="1:10" ht="23.25">
      <c r="B22" s="37"/>
      <c r="C22" s="37"/>
      <c r="D22" s="37"/>
      <c r="E22" s="37"/>
      <c r="F22" s="326"/>
      <c r="G22" s="56"/>
      <c r="H22" s="56"/>
    </row>
    <row r="23" spans="1:10">
      <c r="F23" s="326"/>
    </row>
    <row r="24" spans="1:10" ht="72.75" customHeight="1">
      <c r="F24" s="326"/>
    </row>
    <row r="25" spans="1:10" ht="190.5" customHeight="1">
      <c r="A25" s="2423" t="s">
        <v>379</v>
      </c>
      <c r="B25" s="2423"/>
      <c r="C25" s="2423"/>
      <c r="D25" s="2423"/>
      <c r="E25" s="2423"/>
      <c r="F25" s="2423"/>
      <c r="G25" s="2423"/>
      <c r="H25" s="2423"/>
      <c r="I25" s="2423"/>
      <c r="J25" s="2423"/>
    </row>
    <row r="26" spans="1:10">
      <c r="F26" s="326"/>
    </row>
    <row r="27" spans="1:10">
      <c r="F27" s="326"/>
    </row>
    <row r="28" spans="1:10">
      <c r="F28" s="349"/>
    </row>
    <row r="29" spans="1:10">
      <c r="F29" s="326"/>
    </row>
    <row r="37" spans="1:9" ht="15.75" customHeight="1">
      <c r="B37" s="349"/>
      <c r="C37" s="349"/>
      <c r="D37" s="349"/>
      <c r="E37" s="349"/>
      <c r="G37" s="349"/>
      <c r="H37" s="349"/>
      <c r="I37" s="349"/>
    </row>
    <row r="38" spans="1:9">
      <c r="A38" s="326"/>
      <c r="B38" s="326"/>
      <c r="C38" s="326"/>
      <c r="D38" s="326"/>
      <c r="E38" s="326"/>
      <c r="G38" s="326"/>
      <c r="H38" s="326"/>
    </row>
    <row r="39" spans="1:9">
      <c r="A39" s="326"/>
      <c r="B39" s="326"/>
      <c r="C39" s="326"/>
      <c r="D39" s="326"/>
      <c r="E39" s="326"/>
      <c r="G39" s="326"/>
      <c r="H39" s="326"/>
    </row>
    <row r="40" spans="1:9">
      <c r="A40" s="326"/>
      <c r="B40" s="326"/>
      <c r="C40" s="326"/>
      <c r="D40" s="326"/>
      <c r="E40" s="326"/>
      <c r="G40" s="326"/>
      <c r="H40" s="326"/>
    </row>
    <row r="41" spans="1:9">
      <c r="A41" s="326"/>
      <c r="B41" s="326"/>
      <c r="C41" s="326"/>
      <c r="D41" s="326"/>
      <c r="E41" s="326"/>
      <c r="G41" s="326"/>
      <c r="H41" s="326"/>
    </row>
    <row r="42" spans="1:9">
      <c r="A42" s="326"/>
      <c r="B42" s="326"/>
      <c r="C42" s="326"/>
      <c r="D42" s="326"/>
      <c r="E42" s="326"/>
      <c r="G42" s="326"/>
      <c r="H42" s="326"/>
    </row>
    <row r="43" spans="1:9">
      <c r="A43" s="326"/>
      <c r="B43" s="326"/>
      <c r="C43" s="326"/>
      <c r="D43" s="326"/>
      <c r="E43" s="326"/>
      <c r="G43" s="326"/>
      <c r="H43" s="326"/>
    </row>
    <row r="44" spans="1:9">
      <c r="A44" s="326"/>
      <c r="B44" s="326"/>
      <c r="C44" s="326"/>
      <c r="D44" s="326"/>
      <c r="E44" s="326"/>
      <c r="G44" s="326"/>
      <c r="H44" s="326"/>
    </row>
    <row r="45" spans="1:9">
      <c r="A45" s="326"/>
      <c r="B45" s="326"/>
      <c r="C45" s="326"/>
      <c r="D45" s="326"/>
      <c r="E45" s="326"/>
      <c r="G45" s="326"/>
      <c r="H45" s="326"/>
    </row>
    <row r="46" spans="1:9">
      <c r="A46" s="326"/>
      <c r="B46" s="326"/>
      <c r="C46" s="326"/>
      <c r="D46" s="326"/>
      <c r="E46" s="326"/>
      <c r="G46" s="326"/>
      <c r="H46" s="326"/>
    </row>
    <row r="47" spans="1:9">
      <c r="A47" s="326"/>
      <c r="B47" s="326"/>
      <c r="C47" s="326"/>
      <c r="D47" s="326"/>
      <c r="E47" s="326"/>
      <c r="G47" s="326"/>
      <c r="H47" s="326"/>
    </row>
  </sheetData>
  <mergeCells count="2">
    <mergeCell ref="A1:J1"/>
    <mergeCell ref="A25:J25"/>
  </mergeCells>
  <printOptions horizontalCentered="1" verticalCentered="1"/>
  <pageMargins left="0.4" right="0.4" top="0.25" bottom="0.25" header="0.31496062992126" footer="0.31496062992126"/>
  <pageSetup scale="86" orientation="landscape" r:id="rId1"/>
  <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3">
    <tabColor theme="4" tint="0.59999389629810485"/>
    <pageSetUpPr fitToPage="1"/>
  </sheetPr>
  <dimension ref="A1:P43"/>
  <sheetViews>
    <sheetView showGridLines="0" view="pageBreakPreview" topLeftCell="A4" zoomScale="85" zoomScaleNormal="100" zoomScaleSheetLayoutView="85" workbookViewId="0">
      <selection activeCell="J28" sqref="J28"/>
    </sheetView>
  </sheetViews>
  <sheetFormatPr baseColWidth="10" defaultColWidth="11.5703125" defaultRowHeight="15"/>
  <cols>
    <col min="2" max="2" width="15.140625" bestFit="1" customWidth="1"/>
    <col min="3" max="3" width="14" customWidth="1"/>
    <col min="4" max="4" width="14.140625" customWidth="1"/>
    <col min="5" max="5" width="16.5703125" customWidth="1"/>
    <col min="8" max="8" width="18.28515625" bestFit="1" customWidth="1"/>
    <col min="11" max="11" width="14" customWidth="1"/>
    <col min="12" max="12" width="13.42578125" customWidth="1"/>
    <col min="13" max="13" width="19.42578125" customWidth="1"/>
    <col min="14" max="14" width="16.85546875" bestFit="1" customWidth="1"/>
    <col min="16" max="16" width="17.28515625" bestFit="1" customWidth="1"/>
  </cols>
  <sheetData>
    <row r="1" spans="1:13" ht="49.5" customHeight="1" thickBot="1">
      <c r="A1" s="2424" t="s">
        <v>390</v>
      </c>
      <c r="B1" s="2425"/>
      <c r="C1" s="2425"/>
      <c r="D1" s="2425"/>
      <c r="E1" s="2425"/>
      <c r="F1" s="2425"/>
      <c r="G1" s="2425"/>
      <c r="H1" s="2425"/>
      <c r="I1" s="2425"/>
      <c r="J1" s="2425"/>
      <c r="K1" s="2425"/>
      <c r="L1" s="2426"/>
    </row>
    <row r="2" spans="1:13" ht="47.25" customHeight="1">
      <c r="A2" s="2218" t="s">
        <v>393</v>
      </c>
      <c r="B2" s="2366"/>
      <c r="C2" s="2366"/>
      <c r="D2" s="2366"/>
      <c r="E2" s="2366"/>
      <c r="F2" s="2366"/>
      <c r="G2" s="2366"/>
      <c r="H2" s="2366"/>
      <c r="I2" s="2366"/>
      <c r="J2" s="2366"/>
      <c r="K2" s="2366"/>
      <c r="L2" s="2366"/>
    </row>
    <row r="3" spans="1:13" ht="47.25" customHeight="1">
      <c r="A3" s="2366"/>
      <c r="B3" s="2366"/>
      <c r="C3" s="2366"/>
      <c r="D3" s="2366"/>
      <c r="E3" s="2366"/>
      <c r="F3" s="2366"/>
      <c r="G3" s="2366"/>
      <c r="H3" s="2366"/>
      <c r="I3" s="2366"/>
      <c r="J3" s="2366"/>
      <c r="K3" s="2366"/>
      <c r="L3" s="2366"/>
    </row>
    <row r="4" spans="1:13" ht="33.75" customHeight="1">
      <c r="A4" s="2366"/>
      <c r="B4" s="2366"/>
      <c r="C4" s="2366"/>
      <c r="D4" s="2366"/>
      <c r="E4" s="2366"/>
      <c r="F4" s="2366"/>
      <c r="G4" s="2366"/>
      <c r="H4" s="2366"/>
      <c r="I4" s="2366"/>
      <c r="J4" s="2366"/>
      <c r="K4" s="2366"/>
      <c r="L4" s="2366"/>
    </row>
    <row r="5" spans="1:13">
      <c r="A5" s="182" t="s">
        <v>52</v>
      </c>
      <c r="B5" s="182" t="s">
        <v>165</v>
      </c>
      <c r="C5" s="182" t="s">
        <v>46</v>
      </c>
      <c r="D5" s="182" t="s">
        <v>210</v>
      </c>
      <c r="E5" s="21"/>
      <c r="F5" s="21"/>
      <c r="G5" s="21"/>
      <c r="H5" s="21"/>
      <c r="I5" s="21"/>
      <c r="J5" s="21"/>
      <c r="K5" s="21"/>
      <c r="L5" s="21"/>
    </row>
    <row r="6" spans="1:13">
      <c r="A6" s="73">
        <v>39692</v>
      </c>
      <c r="B6" s="18">
        <v>13371740.48</v>
      </c>
      <c r="C6" s="156">
        <v>0</v>
      </c>
      <c r="D6" s="156">
        <f>B6-C6</f>
        <v>13371740.48</v>
      </c>
      <c r="E6" s="21"/>
      <c r="F6" s="21"/>
      <c r="G6" s="21"/>
      <c r="H6" s="21"/>
      <c r="I6" s="21"/>
      <c r="J6" s="21"/>
      <c r="K6" s="21"/>
      <c r="L6" s="21"/>
    </row>
    <row r="7" spans="1:13">
      <c r="A7" s="73">
        <v>39722</v>
      </c>
      <c r="B7" s="18">
        <v>13957203.32</v>
      </c>
      <c r="C7" s="156">
        <v>0</v>
      </c>
      <c r="D7" s="156">
        <f t="shared" ref="D7:D36" si="0">B7-C7</f>
        <v>13957203.32</v>
      </c>
      <c r="E7" s="21"/>
      <c r="F7" s="21"/>
      <c r="G7" s="21"/>
      <c r="H7" s="27"/>
      <c r="I7" s="21"/>
      <c r="J7" s="21"/>
      <c r="K7" s="21"/>
      <c r="L7" s="21"/>
    </row>
    <row r="8" spans="1:13">
      <c r="A8" s="73">
        <v>39753</v>
      </c>
      <c r="B8" s="18">
        <v>13653957.85</v>
      </c>
      <c r="C8" s="156">
        <v>0</v>
      </c>
      <c r="D8" s="156">
        <f t="shared" si="0"/>
        <v>13653957.85</v>
      </c>
      <c r="E8" s="106"/>
      <c r="F8" s="21"/>
      <c r="G8" s="21"/>
      <c r="H8" s="27"/>
      <c r="I8" s="21"/>
      <c r="J8" s="21"/>
      <c r="K8" s="21"/>
      <c r="L8" s="21"/>
    </row>
    <row r="9" spans="1:13">
      <c r="A9" s="73">
        <v>39783</v>
      </c>
      <c r="B9" s="18">
        <v>14634734.99</v>
      </c>
      <c r="C9" s="156">
        <v>0</v>
      </c>
      <c r="D9" s="156">
        <f t="shared" si="0"/>
        <v>14634734.99</v>
      </c>
      <c r="E9" s="21"/>
      <c r="F9" s="21"/>
      <c r="G9" s="27"/>
      <c r="H9" s="21"/>
      <c r="I9" s="21"/>
      <c r="J9" s="21"/>
      <c r="K9" s="21"/>
    </row>
    <row r="10" spans="1:13">
      <c r="A10" s="73">
        <v>39814</v>
      </c>
      <c r="B10" s="18">
        <v>13768309.390000001</v>
      </c>
      <c r="C10" s="156">
        <v>0</v>
      </c>
      <c r="D10" s="156">
        <f t="shared" si="0"/>
        <v>13768309.390000001</v>
      </c>
      <c r="E10" s="21"/>
      <c r="F10" s="21"/>
      <c r="G10" s="27"/>
      <c r="H10" s="21"/>
      <c r="I10" s="21"/>
      <c r="J10" s="21"/>
      <c r="K10" s="21"/>
      <c r="M10" s="72"/>
    </row>
    <row r="11" spans="1:13">
      <c r="A11" s="73">
        <v>39845</v>
      </c>
      <c r="B11" s="18">
        <v>13918559.760000005</v>
      </c>
      <c r="C11" s="156">
        <v>0</v>
      </c>
      <c r="D11" s="156">
        <f t="shared" si="0"/>
        <v>13918559.760000005</v>
      </c>
      <c r="E11" s="99"/>
      <c r="F11" s="21"/>
      <c r="G11" s="27"/>
      <c r="H11" s="21"/>
      <c r="I11" s="21"/>
      <c r="J11" s="21"/>
      <c r="K11" s="21"/>
    </row>
    <row r="12" spans="1:13">
      <c r="A12" s="73">
        <v>39873</v>
      </c>
      <c r="B12" s="18">
        <v>14543958.959999993</v>
      </c>
      <c r="C12" s="156">
        <v>0</v>
      </c>
      <c r="D12" s="156">
        <f t="shared" si="0"/>
        <v>14543958.959999993</v>
      </c>
      <c r="E12" s="21"/>
      <c r="F12" s="21"/>
      <c r="G12" s="27"/>
      <c r="H12" s="21"/>
      <c r="I12" s="21"/>
      <c r="J12" s="21"/>
      <c r="K12" s="21"/>
    </row>
    <row r="13" spans="1:13">
      <c r="A13" s="73">
        <v>39904</v>
      </c>
      <c r="B13" s="18">
        <v>14271628.619999999</v>
      </c>
      <c r="C13" s="156">
        <v>0</v>
      </c>
      <c r="D13" s="156">
        <f t="shared" si="0"/>
        <v>14271628.619999999</v>
      </c>
      <c r="E13" s="21"/>
      <c r="F13" s="21"/>
      <c r="G13" s="27"/>
      <c r="H13" s="21"/>
      <c r="I13" s="21"/>
      <c r="J13" s="21"/>
      <c r="K13" s="21"/>
    </row>
    <row r="14" spans="1:13">
      <c r="A14" s="73">
        <v>39934</v>
      </c>
      <c r="B14" s="18">
        <v>14667783.74</v>
      </c>
      <c r="C14" s="104">
        <v>1202000</v>
      </c>
      <c r="D14" s="156">
        <f t="shared" si="0"/>
        <v>13465783.74</v>
      </c>
      <c r="E14" s="21"/>
      <c r="F14" s="21"/>
      <c r="G14" s="27"/>
      <c r="H14" s="21"/>
      <c r="I14" s="21"/>
      <c r="J14" s="21"/>
      <c r="K14" s="21"/>
    </row>
    <row r="15" spans="1:13">
      <c r="A15" s="73">
        <v>39965</v>
      </c>
      <c r="B15" s="18">
        <v>14387367.960000001</v>
      </c>
      <c r="C15" s="104">
        <v>1362000</v>
      </c>
      <c r="D15" s="156">
        <f t="shared" si="0"/>
        <v>13025367.960000001</v>
      </c>
      <c r="E15" s="21"/>
      <c r="F15" s="21"/>
      <c r="G15" s="27"/>
      <c r="H15" s="21"/>
      <c r="I15" s="21"/>
      <c r="J15" s="21"/>
      <c r="K15" s="21"/>
    </row>
    <row r="16" spans="1:13">
      <c r="A16" s="73">
        <v>39995</v>
      </c>
      <c r="B16" s="18">
        <v>14345087.779999999</v>
      </c>
      <c r="C16" s="104">
        <v>1340000</v>
      </c>
      <c r="D16" s="156">
        <f t="shared" si="0"/>
        <v>13005087.779999999</v>
      </c>
      <c r="E16" s="107"/>
      <c r="F16" s="21"/>
      <c r="G16" s="21"/>
      <c r="H16" s="21"/>
      <c r="I16" s="21"/>
      <c r="J16" s="21"/>
      <c r="K16" s="21"/>
      <c r="L16" s="21"/>
    </row>
    <row r="17" spans="1:16">
      <c r="A17" s="73">
        <v>40026</v>
      </c>
      <c r="B17" s="18">
        <v>16291893.77</v>
      </c>
      <c r="C17" s="104">
        <v>1478000</v>
      </c>
      <c r="D17" s="156">
        <f t="shared" si="0"/>
        <v>14813893.77</v>
      </c>
      <c r="E17" s="107"/>
      <c r="F17" s="21"/>
      <c r="G17" s="21"/>
      <c r="H17" s="21"/>
      <c r="I17" s="21"/>
      <c r="J17" s="21"/>
      <c r="K17" s="21"/>
      <c r="L17" s="21"/>
    </row>
    <row r="18" spans="1:16">
      <c r="A18" s="73">
        <v>40057</v>
      </c>
      <c r="B18" s="18">
        <v>13433533.34</v>
      </c>
      <c r="C18" s="104">
        <v>1586000</v>
      </c>
      <c r="D18" s="156">
        <f t="shared" si="0"/>
        <v>11847533.34</v>
      </c>
      <c r="E18" s="107"/>
      <c r="F18" s="21"/>
      <c r="G18" s="21"/>
      <c r="H18" s="21"/>
      <c r="I18" s="21"/>
      <c r="J18" s="21"/>
      <c r="K18" s="21"/>
      <c r="L18" s="21"/>
    </row>
    <row r="19" spans="1:16">
      <c r="A19" s="73">
        <v>40087</v>
      </c>
      <c r="B19" s="18">
        <v>15191177.880000001</v>
      </c>
      <c r="C19" s="104">
        <v>2792000</v>
      </c>
      <c r="D19" s="156">
        <f t="shared" si="0"/>
        <v>12399177.880000001</v>
      </c>
      <c r="E19" s="107"/>
      <c r="F19" s="21"/>
      <c r="G19" s="21"/>
      <c r="H19" s="21"/>
      <c r="I19" s="21"/>
      <c r="J19" s="21"/>
      <c r="K19" s="21"/>
      <c r="L19" s="21"/>
    </row>
    <row r="20" spans="1:16">
      <c r="A20" s="73">
        <v>40118</v>
      </c>
      <c r="B20" s="18">
        <v>15163114.470000001</v>
      </c>
      <c r="C20" s="104">
        <v>3268000</v>
      </c>
      <c r="D20" s="156">
        <f t="shared" si="0"/>
        <v>11895114.470000001</v>
      </c>
      <c r="E20" s="107"/>
      <c r="F20" s="21"/>
      <c r="G20" s="21"/>
      <c r="H20" s="21"/>
      <c r="I20" s="21"/>
      <c r="J20" s="21"/>
      <c r="K20" s="21"/>
      <c r="L20" s="21"/>
    </row>
    <row r="21" spans="1:16">
      <c r="A21" s="73">
        <v>40148</v>
      </c>
      <c r="B21" s="18">
        <v>16064377.960000001</v>
      </c>
      <c r="C21" s="104">
        <v>3628000</v>
      </c>
      <c r="D21" s="156">
        <f t="shared" si="0"/>
        <v>12436377.960000001</v>
      </c>
      <c r="E21" s="107"/>
      <c r="F21" s="21"/>
      <c r="G21" s="21"/>
      <c r="H21" s="21"/>
      <c r="I21" s="21"/>
      <c r="J21" s="21"/>
      <c r="K21" s="21"/>
      <c r="L21" s="21"/>
    </row>
    <row r="22" spans="1:16">
      <c r="A22" s="73">
        <v>40179</v>
      </c>
      <c r="B22" s="18">
        <f>+'[8]His de Asiganación'!$L$31</f>
        <v>14897663.92</v>
      </c>
      <c r="C22" s="104">
        <v>3752000</v>
      </c>
      <c r="D22" s="156">
        <f t="shared" si="0"/>
        <v>11145663.92</v>
      </c>
      <c r="E22" s="107"/>
      <c r="F22" s="21"/>
      <c r="G22" s="21"/>
      <c r="H22" s="21"/>
      <c r="I22" s="21"/>
      <c r="J22" s="21"/>
      <c r="K22" s="21"/>
      <c r="L22" s="21"/>
    </row>
    <row r="23" spans="1:16">
      <c r="A23" s="73">
        <v>40210</v>
      </c>
      <c r="B23" s="18">
        <f>+'[8]His de Asiganación'!$L$52</f>
        <v>15259790.42</v>
      </c>
      <c r="C23" s="104">
        <v>4020000</v>
      </c>
      <c r="D23" s="156">
        <f t="shared" si="0"/>
        <v>11239790.42</v>
      </c>
      <c r="E23" s="107"/>
      <c r="F23" s="21"/>
      <c r="G23" s="21"/>
      <c r="H23" s="21"/>
      <c r="I23" s="21"/>
      <c r="J23" s="21"/>
      <c r="K23" s="21"/>
      <c r="L23" s="21"/>
    </row>
    <row r="24" spans="1:16">
      <c r="A24" s="73">
        <v>40238</v>
      </c>
      <c r="B24" s="18">
        <f>+'[8]His de Asiganación'!$L$76</f>
        <v>16099853.1</v>
      </c>
      <c r="C24" s="104">
        <v>4368000</v>
      </c>
      <c r="D24" s="156">
        <f t="shared" si="0"/>
        <v>11731853.1</v>
      </c>
      <c r="E24" s="21"/>
      <c r="F24" s="21"/>
      <c r="G24" s="21"/>
      <c r="H24" s="21"/>
      <c r="I24" s="21"/>
      <c r="J24" s="21"/>
      <c r="K24" s="21"/>
      <c r="L24" s="21"/>
    </row>
    <row r="25" spans="1:16">
      <c r="A25" s="73">
        <v>40269</v>
      </c>
      <c r="B25" s="18">
        <f>+'[8]His de Asiganación'!$L$99</f>
        <v>15975035.499999998</v>
      </c>
      <c r="C25" s="104">
        <v>4938000</v>
      </c>
      <c r="D25" s="156">
        <f t="shared" si="0"/>
        <v>11037035.499999998</v>
      </c>
      <c r="E25" s="21"/>
      <c r="F25" s="21"/>
      <c r="G25" s="21"/>
      <c r="H25" s="21"/>
      <c r="I25" s="21"/>
      <c r="J25" s="21"/>
      <c r="K25" s="21"/>
      <c r="L25" s="21"/>
    </row>
    <row r="26" spans="1:16" s="128" customFormat="1">
      <c r="A26" s="73">
        <v>40299</v>
      </c>
      <c r="B26" s="18">
        <v>16284876.52</v>
      </c>
      <c r="C26" s="104">
        <v>4798000</v>
      </c>
      <c r="D26" s="156">
        <f t="shared" si="0"/>
        <v>11486876.52</v>
      </c>
      <c r="E26" s="21"/>
      <c r="F26" s="21"/>
      <c r="G26" s="21"/>
      <c r="H26" s="21"/>
      <c r="I26" s="21"/>
      <c r="J26" s="21"/>
      <c r="K26" s="21"/>
      <c r="L26" s="21"/>
    </row>
    <row r="27" spans="1:16" s="128" customFormat="1">
      <c r="A27" s="73">
        <v>40330</v>
      </c>
      <c r="B27" s="18">
        <v>16372105.83</v>
      </c>
      <c r="C27" s="104">
        <v>4950000</v>
      </c>
      <c r="D27" s="156">
        <f t="shared" si="0"/>
        <v>11422105.83</v>
      </c>
      <c r="E27" s="21"/>
      <c r="F27" s="21"/>
      <c r="G27" s="21"/>
      <c r="H27" s="21"/>
      <c r="I27" s="21"/>
      <c r="J27" s="21"/>
      <c r="K27" s="21"/>
      <c r="L27" s="21"/>
    </row>
    <row r="28" spans="1:16" s="128" customFormat="1">
      <c r="A28" s="73">
        <v>40360</v>
      </c>
      <c r="B28" s="18">
        <v>16570516.6</v>
      </c>
      <c r="C28" s="104">
        <f>'[9]TSS Contributivo'!$CP$102</f>
        <v>5074000</v>
      </c>
      <c r="D28" s="156">
        <f t="shared" si="0"/>
        <v>11496516.6</v>
      </c>
      <c r="E28" s="21"/>
      <c r="F28" s="21"/>
      <c r="G28" s="21"/>
      <c r="H28" s="21"/>
      <c r="I28" s="21"/>
      <c r="J28" s="21"/>
      <c r="K28" s="21"/>
      <c r="L28" s="21"/>
    </row>
    <row r="29" spans="1:16" s="128" customFormat="1">
      <c r="A29" s="73">
        <v>40391</v>
      </c>
      <c r="B29" s="18">
        <v>16547273.359999999</v>
      </c>
      <c r="C29" s="104">
        <f>'[9]TSS Contributivo'!$CP$103</f>
        <v>5578000</v>
      </c>
      <c r="D29" s="156">
        <f t="shared" si="0"/>
        <v>10969273.359999999</v>
      </c>
      <c r="E29" s="21"/>
      <c r="F29" s="21"/>
      <c r="G29" s="21"/>
      <c r="H29" s="21"/>
      <c r="I29" s="21"/>
      <c r="J29" s="21"/>
      <c r="K29" s="21"/>
      <c r="L29" s="21"/>
      <c r="M29"/>
      <c r="N29"/>
    </row>
    <row r="30" spans="1:16" s="128" customFormat="1">
      <c r="A30" s="73">
        <v>40422</v>
      </c>
      <c r="B30" s="18">
        <v>16842259.350000001</v>
      </c>
      <c r="C30" s="104">
        <v>5686000</v>
      </c>
      <c r="D30" s="156">
        <f t="shared" si="0"/>
        <v>11156259.350000001</v>
      </c>
      <c r="E30" s="21"/>
      <c r="F30" s="21"/>
      <c r="G30" s="21"/>
      <c r="H30" s="21"/>
      <c r="I30" s="21"/>
      <c r="J30" s="21"/>
      <c r="K30" s="21"/>
      <c r="L30" s="21"/>
      <c r="M30"/>
      <c r="N30"/>
      <c r="P30" s="72" t="e">
        <f>(N29*M30)/M29</f>
        <v>#DIV/0!</v>
      </c>
    </row>
    <row r="31" spans="1:16" s="128" customFormat="1">
      <c r="A31" s="73">
        <v>40452</v>
      </c>
      <c r="B31" s="18">
        <v>16954328.859999999</v>
      </c>
      <c r="C31" s="104">
        <v>8006000</v>
      </c>
      <c r="D31" s="156">
        <f t="shared" si="0"/>
        <v>8948328.8599999994</v>
      </c>
      <c r="E31" s="21"/>
      <c r="F31" s="21"/>
      <c r="G31" s="21"/>
      <c r="H31" s="21"/>
      <c r="I31" s="21"/>
      <c r="J31" s="21"/>
      <c r="K31" s="21"/>
      <c r="L31" s="21"/>
    </row>
    <row r="32" spans="1:16" s="128" customFormat="1">
      <c r="A32" s="73">
        <v>40483</v>
      </c>
      <c r="B32" s="18">
        <v>17245523.649999999</v>
      </c>
      <c r="C32" s="104" t="e">
        <f>'IV.4.1.1 Afil. a EI'!#REF!</f>
        <v>#REF!</v>
      </c>
      <c r="D32" s="156" t="e">
        <f t="shared" si="0"/>
        <v>#REF!</v>
      </c>
      <c r="E32" s="21"/>
      <c r="F32" s="21"/>
      <c r="G32" s="21"/>
      <c r="H32" s="21"/>
      <c r="I32" s="21"/>
      <c r="J32" s="21"/>
      <c r="K32" s="21"/>
      <c r="L32" s="21"/>
    </row>
    <row r="33" spans="1:12" s="128" customFormat="1">
      <c r="A33" s="73">
        <v>40513</v>
      </c>
      <c r="B33" s="18">
        <v>18652775.23</v>
      </c>
      <c r="C33" s="104" t="e">
        <f>'IV.4.1.1 Afil. a EI'!#REF!</f>
        <v>#REF!</v>
      </c>
      <c r="D33" s="156" t="e">
        <f t="shared" si="0"/>
        <v>#REF!</v>
      </c>
      <c r="E33" s="21"/>
      <c r="F33" s="21"/>
      <c r="G33" s="21"/>
      <c r="H33" s="21"/>
      <c r="I33" s="21"/>
      <c r="J33" s="21"/>
      <c r="K33" s="21"/>
      <c r="L33" s="21"/>
    </row>
    <row r="34" spans="1:12" s="128" customFormat="1">
      <c r="A34" s="73">
        <v>40544</v>
      </c>
      <c r="B34" s="18">
        <v>16272491.18</v>
      </c>
      <c r="C34" s="104">
        <v>8402000</v>
      </c>
      <c r="D34" s="156">
        <f t="shared" si="0"/>
        <v>7870491.1799999997</v>
      </c>
      <c r="E34" s="21"/>
      <c r="F34" s="21"/>
      <c r="G34" s="21"/>
      <c r="H34" s="21"/>
      <c r="I34" s="21"/>
      <c r="J34" s="21"/>
      <c r="K34" s="21"/>
      <c r="L34" s="21"/>
    </row>
    <row r="35" spans="1:12" s="128" customFormat="1">
      <c r="A35" s="73">
        <v>40575</v>
      </c>
      <c r="B35" s="18">
        <v>17115139.73</v>
      </c>
      <c r="C35" s="104">
        <v>8352000</v>
      </c>
      <c r="D35" s="156">
        <f t="shared" si="0"/>
        <v>8763139.7300000004</v>
      </c>
      <c r="E35" s="21"/>
      <c r="F35" s="21"/>
      <c r="G35" s="21"/>
      <c r="H35" s="21"/>
      <c r="I35" s="21"/>
      <c r="J35" s="21"/>
      <c r="K35" s="21"/>
      <c r="L35" s="21"/>
    </row>
    <row r="36" spans="1:12" s="128" customFormat="1">
      <c r="A36" s="73">
        <v>40603</v>
      </c>
      <c r="B36" s="234">
        <v>17930804.312591817</v>
      </c>
      <c r="C36" s="104">
        <v>8482000</v>
      </c>
      <c r="D36" s="156">
        <f t="shared" si="0"/>
        <v>9448804.3125918172</v>
      </c>
      <c r="E36" s="21"/>
      <c r="F36" s="21"/>
      <c r="G36" s="21"/>
      <c r="H36" s="21"/>
      <c r="I36" s="21"/>
      <c r="J36" s="21"/>
      <c r="K36" s="21"/>
      <c r="L36" s="21"/>
    </row>
    <row r="37" spans="1:12">
      <c r="A37" s="105" t="s">
        <v>23</v>
      </c>
      <c r="B37" s="55">
        <f>SUM(B6:B36)</f>
        <v>480684867.83259183</v>
      </c>
      <c r="C37" s="157" t="e">
        <f>SUM(C14:C36)</f>
        <v>#REF!</v>
      </c>
      <c r="D37" s="157" t="e">
        <f>SUM(D6:D36)</f>
        <v>#REF!</v>
      </c>
      <c r="E37" s="21"/>
      <c r="F37" s="21"/>
      <c r="G37" s="21"/>
      <c r="H37" s="21"/>
      <c r="I37" s="21"/>
      <c r="J37" s="21"/>
      <c r="K37" s="21"/>
      <c r="L37" s="21"/>
    </row>
    <row r="38" spans="1:12">
      <c r="A38" s="128" t="s">
        <v>389</v>
      </c>
      <c r="B38" s="23"/>
      <c r="C38" s="23"/>
      <c r="D38" s="56"/>
      <c r="E38" s="56"/>
      <c r="F38" s="56"/>
      <c r="G38" s="56"/>
      <c r="H38" s="56"/>
      <c r="I38" s="56"/>
      <c r="J38" s="21"/>
      <c r="K38" s="56"/>
      <c r="L38" s="56"/>
    </row>
    <row r="39" spans="1:12">
      <c r="B39" s="54"/>
      <c r="C39" s="23"/>
      <c r="D39" s="23"/>
      <c r="E39" s="28"/>
      <c r="F39" s="28"/>
      <c r="G39" s="28"/>
      <c r="H39" s="56"/>
      <c r="I39" s="56"/>
      <c r="J39" s="56"/>
      <c r="K39" s="56"/>
      <c r="L39" s="56"/>
    </row>
    <row r="40" spans="1:12">
      <c r="B40" s="54"/>
      <c r="C40" s="23"/>
      <c r="D40" s="23"/>
      <c r="E40" s="28"/>
      <c r="F40" s="28"/>
      <c r="G40" s="28"/>
      <c r="H40" s="56"/>
      <c r="I40" s="56"/>
      <c r="J40" s="56"/>
      <c r="K40" s="56"/>
      <c r="L40" s="56"/>
    </row>
    <row r="41" spans="1:12">
      <c r="B41" s="56"/>
      <c r="C41" s="56"/>
      <c r="D41" s="21"/>
      <c r="E41" s="56"/>
      <c r="F41" s="56"/>
      <c r="G41" s="56"/>
      <c r="H41" s="56"/>
      <c r="I41" s="56"/>
      <c r="J41" s="56"/>
      <c r="K41" s="56"/>
      <c r="L41" s="56"/>
    </row>
    <row r="42" spans="1:12">
      <c r="B42" s="56"/>
      <c r="C42" s="56"/>
      <c r="D42" s="21"/>
      <c r="E42" s="56"/>
      <c r="F42" s="56"/>
      <c r="G42" s="56"/>
      <c r="H42" s="56"/>
      <c r="I42" s="56"/>
      <c r="J42" s="56"/>
      <c r="K42" s="56"/>
      <c r="L42" s="56"/>
    </row>
    <row r="43" spans="1:12">
      <c r="J43" s="56"/>
    </row>
  </sheetData>
  <mergeCells count="2">
    <mergeCell ref="A1:L1"/>
    <mergeCell ref="A2:L4"/>
  </mergeCells>
  <printOptions horizontalCentered="1" verticalCentered="1"/>
  <pageMargins left="0.4" right="0.4" top="0.25" bottom="0.25" header="0.31496062992126" footer="0.31496062992126"/>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18" sqref="O18"/>
    </sheetView>
  </sheetViews>
  <sheetFormatPr baseColWidth="10" defaultColWidth="11.42578125" defaultRowHeight="15"/>
  <cols>
    <col min="1" max="6" width="11.42578125" style="128"/>
    <col min="7" max="7" width="13.42578125" style="128" customWidth="1"/>
    <col min="8" max="16384" width="11.42578125" style="128"/>
  </cols>
  <sheetData/>
  <pageMargins left="0.7" right="0.7" top="0.75" bottom="0.75" header="0.3" footer="0.3"/>
  <pageSetup scale="77" orientation="landscape"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N28"/>
  <sheetViews>
    <sheetView showGridLines="0" view="pageBreakPreview" zoomScale="85" zoomScaleNormal="70" zoomScaleSheetLayoutView="85" workbookViewId="0">
      <pane ySplit="1" topLeftCell="A2" activePane="bottomLeft" state="frozen"/>
      <selection pane="bottomLeft" activeCell="K14" sqref="K14"/>
    </sheetView>
  </sheetViews>
  <sheetFormatPr baseColWidth="10" defaultColWidth="11.42578125" defaultRowHeight="15"/>
  <cols>
    <col min="1" max="1" width="11" style="128" customWidth="1"/>
    <col min="2" max="2" width="21.140625" style="128" customWidth="1"/>
    <col min="3" max="3" width="17.85546875" style="128" customWidth="1"/>
    <col min="4" max="4" width="15" style="128" customWidth="1"/>
    <col min="5" max="5" width="16.140625" style="128" customWidth="1"/>
    <col min="6" max="6" width="11.42578125" style="128" customWidth="1"/>
    <col min="7" max="7" width="8.85546875" style="128" bestFit="1" customWidth="1"/>
    <col min="8" max="8" width="16.7109375" style="128" customWidth="1"/>
    <col min="9" max="9" width="12.7109375" style="128" customWidth="1"/>
    <col min="10" max="10" width="20.42578125" style="128" customWidth="1"/>
    <col min="11" max="11" width="17.140625" style="128" customWidth="1"/>
    <col min="12" max="12" width="19.42578125" style="128" customWidth="1"/>
    <col min="13" max="13" width="7.42578125" style="128" customWidth="1"/>
    <col min="14" max="16384" width="11.42578125" style="128"/>
  </cols>
  <sheetData>
    <row r="1" spans="1:13" ht="65.25" customHeight="1">
      <c r="A1" s="2379" t="s">
        <v>1848</v>
      </c>
      <c r="B1" s="2379"/>
      <c r="C1" s="2379"/>
      <c r="D1" s="2379"/>
      <c r="E1" s="2379"/>
      <c r="F1" s="2379"/>
      <c r="G1" s="2379"/>
      <c r="H1" s="2379"/>
      <c r="I1" s="2379"/>
      <c r="J1" s="2379"/>
      <c r="K1" s="2379"/>
      <c r="L1" s="2379"/>
      <c r="M1" s="665"/>
    </row>
    <row r="2" spans="1:13" s="59" customFormat="1" ht="6" customHeight="1">
      <c r="A2" s="575"/>
      <c r="B2" s="575"/>
      <c r="C2" s="575"/>
      <c r="D2" s="575"/>
      <c r="E2" s="575"/>
      <c r="F2" s="575"/>
      <c r="G2" s="575"/>
      <c r="H2" s="575"/>
      <c r="I2" s="575"/>
      <c r="J2" s="575"/>
      <c r="K2" s="575"/>
      <c r="L2" s="575"/>
      <c r="M2" s="575"/>
    </row>
    <row r="3" spans="1:13" ht="51" customHeight="1">
      <c r="A3" s="1079" t="s">
        <v>51</v>
      </c>
      <c r="B3" s="1089" t="s">
        <v>756</v>
      </c>
      <c r="C3" s="1089" t="s">
        <v>365</v>
      </c>
      <c r="D3" s="1089" t="s">
        <v>956</v>
      </c>
      <c r="E3" s="1089" t="s">
        <v>1856</v>
      </c>
    </row>
    <row r="4" spans="1:13" ht="18" hidden="1" customHeight="1">
      <c r="A4" s="218">
        <v>40544</v>
      </c>
      <c r="B4" s="219">
        <v>4040</v>
      </c>
      <c r="C4" s="219">
        <v>161</v>
      </c>
      <c r="D4" s="219"/>
      <c r="E4" s="219">
        <v>8402000</v>
      </c>
      <c r="F4" s="78"/>
    </row>
    <row r="5" spans="1:13" ht="18" hidden="1" customHeight="1">
      <c r="A5" s="218">
        <v>40575</v>
      </c>
      <c r="B5" s="219">
        <v>4070</v>
      </c>
      <c r="C5" s="219">
        <v>106</v>
      </c>
      <c r="D5" s="219"/>
      <c r="E5" s="219">
        <v>8352000</v>
      </c>
      <c r="F5" s="78"/>
    </row>
    <row r="6" spans="1:13" ht="18" hidden="1" customHeight="1">
      <c r="A6" s="1090">
        <v>41214</v>
      </c>
      <c r="B6" s="219">
        <v>5969</v>
      </c>
      <c r="C6" s="1574">
        <v>90</v>
      </c>
      <c r="D6" s="1574">
        <v>91</v>
      </c>
      <c r="E6" s="1092">
        <v>11938000</v>
      </c>
      <c r="F6" s="78"/>
    </row>
    <row r="7" spans="1:13" ht="17.25" customHeight="1">
      <c r="A7" s="1090">
        <v>41244</v>
      </c>
      <c r="B7" s="219">
        <v>5894</v>
      </c>
      <c r="C7" s="1574">
        <v>150</v>
      </c>
      <c r="D7" s="1574">
        <v>91</v>
      </c>
      <c r="E7" s="1092">
        <v>11788000</v>
      </c>
    </row>
    <row r="8" spans="1:13" ht="15.75" customHeight="1">
      <c r="A8" s="1090">
        <v>41275</v>
      </c>
      <c r="B8" s="219">
        <v>5600</v>
      </c>
      <c r="C8" s="219">
        <v>156</v>
      </c>
      <c r="D8" s="219">
        <v>90</v>
      </c>
      <c r="E8" s="1092">
        <v>11512000</v>
      </c>
      <c r="F8" s="52"/>
    </row>
    <row r="9" spans="1:13" ht="17.25" customHeight="1">
      <c r="A9" s="1090">
        <v>41306</v>
      </c>
      <c r="B9" s="219">
        <v>5499</v>
      </c>
      <c r="C9" s="219">
        <v>163</v>
      </c>
      <c r="D9" s="219">
        <v>90</v>
      </c>
      <c r="E9" s="1092">
        <v>11324000</v>
      </c>
      <c r="F9" s="37"/>
    </row>
    <row r="10" spans="1:13" ht="17.25" customHeight="1">
      <c r="A10" s="1090">
        <v>41334</v>
      </c>
      <c r="B10" s="219">
        <v>5507</v>
      </c>
      <c r="C10" s="219">
        <v>172</v>
      </c>
      <c r="D10" s="219">
        <v>90</v>
      </c>
      <c r="E10" s="1092">
        <v>11358000</v>
      </c>
      <c r="F10" s="37"/>
    </row>
    <row r="11" spans="1:13" ht="18.75" customHeight="1">
      <c r="A11" s="1090">
        <v>41365</v>
      </c>
      <c r="B11" s="219">
        <v>5567</v>
      </c>
      <c r="C11" s="219">
        <v>176</v>
      </c>
      <c r="D11" s="219">
        <v>90</v>
      </c>
      <c r="E11" s="1092">
        <v>11486000</v>
      </c>
      <c r="F11" s="37"/>
    </row>
    <row r="12" spans="1:13" ht="18" customHeight="1">
      <c r="A12" s="1090">
        <v>41395</v>
      </c>
      <c r="B12" s="219">
        <v>5407</v>
      </c>
      <c r="C12" s="219">
        <v>120</v>
      </c>
      <c r="D12" s="219">
        <v>86</v>
      </c>
      <c r="E12" s="1092">
        <v>11054000</v>
      </c>
      <c r="F12" s="37"/>
    </row>
    <row r="13" spans="1:13" ht="18" customHeight="1">
      <c r="A13" s="1090">
        <v>41426</v>
      </c>
      <c r="B13" s="219">
        <v>5338</v>
      </c>
      <c r="C13" s="219">
        <v>130</v>
      </c>
      <c r="D13" s="219">
        <v>86</v>
      </c>
      <c r="E13" s="1092">
        <v>10936000</v>
      </c>
      <c r="F13" s="37"/>
    </row>
    <row r="14" spans="1:13" ht="18.75" customHeight="1">
      <c r="A14" s="1090">
        <v>41456</v>
      </c>
      <c r="B14" s="219">
        <v>5294</v>
      </c>
      <c r="C14" s="219">
        <v>140</v>
      </c>
      <c r="D14" s="219">
        <v>86</v>
      </c>
      <c r="E14" s="1092">
        <v>10868000</v>
      </c>
      <c r="F14" s="37"/>
    </row>
    <row r="15" spans="1:13" ht="18" customHeight="1">
      <c r="A15" s="1090">
        <v>41487</v>
      </c>
      <c r="B15" s="219">
        <v>5377</v>
      </c>
      <c r="C15" s="219">
        <v>120</v>
      </c>
      <c r="D15" s="219">
        <v>86</v>
      </c>
      <c r="E15" s="1092">
        <v>10994000</v>
      </c>
      <c r="F15" s="37"/>
    </row>
    <row r="16" spans="1:13" ht="15.75">
      <c r="A16" s="1090">
        <v>41518</v>
      </c>
      <c r="B16" s="219">
        <v>5753</v>
      </c>
      <c r="C16" s="219">
        <v>125</v>
      </c>
      <c r="D16" s="219">
        <v>90</v>
      </c>
      <c r="E16" s="1092">
        <v>11810000</v>
      </c>
    </row>
    <row r="17" spans="1:14" ht="15.75">
      <c r="A17" s="1090">
        <v>41548</v>
      </c>
      <c r="B17" s="219">
        <v>6415</v>
      </c>
      <c r="C17" s="219">
        <v>119</v>
      </c>
      <c r="D17" s="219">
        <v>88</v>
      </c>
      <c r="E17" s="1092">
        <v>13068000</v>
      </c>
    </row>
    <row r="18" spans="1:14" ht="15.75">
      <c r="A18" s="1090">
        <v>41579</v>
      </c>
      <c r="B18" s="219">
        <v>6595</v>
      </c>
      <c r="C18" s="219">
        <v>149</v>
      </c>
      <c r="D18" s="219">
        <v>94</v>
      </c>
      <c r="E18" s="1092">
        <v>13488000</v>
      </c>
    </row>
    <row r="19" spans="1:14" ht="15.75">
      <c r="A19" s="1090">
        <v>41609</v>
      </c>
      <c r="B19" s="219">
        <v>6516</v>
      </c>
      <c r="C19" s="219">
        <v>132</v>
      </c>
      <c r="D19" s="219">
        <v>93</v>
      </c>
      <c r="E19" s="1092">
        <v>13488000</v>
      </c>
    </row>
    <row r="20" spans="1:14" ht="15.75" hidden="1">
      <c r="A20" s="1090">
        <v>41640</v>
      </c>
      <c r="B20" s="1909">
        <v>6548</v>
      </c>
      <c r="C20" s="1910"/>
      <c r="D20" s="1909">
        <v>93</v>
      </c>
      <c r="E20" s="1911">
        <v>13096000</v>
      </c>
    </row>
    <row r="21" spans="1:14" ht="15.75" hidden="1">
      <c r="A21" s="1090">
        <v>41671</v>
      </c>
      <c r="B21" s="1909">
        <v>6415</v>
      </c>
      <c r="C21" s="1910"/>
      <c r="D21" s="1909">
        <v>93</v>
      </c>
      <c r="E21" s="1911">
        <v>12830000</v>
      </c>
    </row>
    <row r="22" spans="1:14" ht="15.75" hidden="1">
      <c r="A22" s="1090">
        <v>41699</v>
      </c>
      <c r="B22" s="1909">
        <v>6618</v>
      </c>
      <c r="C22" s="1910"/>
      <c r="D22" s="1909">
        <v>94</v>
      </c>
      <c r="E22" s="1911">
        <v>13236000</v>
      </c>
    </row>
    <row r="23" spans="1:14" ht="15.75" hidden="1">
      <c r="A23" s="1090">
        <v>41730</v>
      </c>
      <c r="B23" s="1905">
        <v>12117</v>
      </c>
      <c r="C23" s="1908"/>
      <c r="D23" s="1905">
        <v>95</v>
      </c>
      <c r="E23" s="1908"/>
    </row>
    <row r="28" spans="1:14">
      <c r="N28" s="666"/>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8" max="16383" man="1"/>
  </rowBreaks>
  <drawing r:id="rId2"/>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1"/>
  <sheetViews>
    <sheetView showGridLines="0" view="pageBreakPreview" zoomScale="70" zoomScaleNormal="70" zoomScaleSheetLayoutView="70" workbookViewId="0">
      <selection activeCell="K36" sqref="K36"/>
    </sheetView>
  </sheetViews>
  <sheetFormatPr baseColWidth="10" defaultColWidth="11.42578125" defaultRowHeight="15"/>
  <cols>
    <col min="1" max="1" width="12.28515625" style="419" customWidth="1"/>
    <col min="2" max="2" width="13.85546875" style="419" customWidth="1"/>
    <col min="3" max="3" width="13.42578125" style="419" customWidth="1"/>
    <col min="4" max="4" width="17.7109375" style="419" customWidth="1"/>
    <col min="5" max="5" width="19.42578125" style="419" bestFit="1" customWidth="1"/>
    <col min="6" max="9" width="20.7109375" style="419" customWidth="1"/>
    <col min="10" max="10" width="41.7109375" style="419" customWidth="1"/>
    <col min="11" max="11" width="15.5703125" style="419" bestFit="1" customWidth="1"/>
    <col min="12" max="12" width="16.28515625" style="419" bestFit="1" customWidth="1"/>
    <col min="13" max="16384" width="11.42578125" style="419"/>
  </cols>
  <sheetData>
    <row r="1" spans="1:10" ht="82.5" customHeight="1">
      <c r="A1" s="2427" t="s">
        <v>1849</v>
      </c>
      <c r="B1" s="2428"/>
      <c r="C1" s="2428"/>
      <c r="D1" s="2428"/>
      <c r="E1" s="2428"/>
      <c r="F1" s="2428"/>
      <c r="G1" s="2428"/>
      <c r="H1" s="2428"/>
      <c r="I1" s="2428"/>
      <c r="J1" s="2428"/>
    </row>
    <row r="2" spans="1:10" ht="6" customHeight="1">
      <c r="A2" s="423"/>
      <c r="B2" s="423"/>
      <c r="C2" s="423"/>
      <c r="D2" s="423"/>
      <c r="E2" s="423"/>
      <c r="F2" s="423"/>
      <c r="G2" s="423"/>
      <c r="H2" s="423"/>
      <c r="I2" s="423"/>
      <c r="J2" s="423"/>
    </row>
    <row r="3" spans="1:10" ht="32.25" customHeight="1">
      <c r="A3" s="1096" t="s">
        <v>739</v>
      </c>
      <c r="B3" s="1097" t="s">
        <v>740</v>
      </c>
      <c r="C3" s="1097" t="s">
        <v>741</v>
      </c>
      <c r="D3" s="1097" t="s">
        <v>742</v>
      </c>
      <c r="E3" s="1097" t="s">
        <v>743</v>
      </c>
      <c r="F3" s="1097" t="s">
        <v>23</v>
      </c>
      <c r="G3" s="420"/>
      <c r="H3" s="421"/>
      <c r="I3" s="422"/>
    </row>
    <row r="4" spans="1:10" ht="20.25" customHeight="1">
      <c r="A4" s="1098">
        <v>39965</v>
      </c>
      <c r="B4" s="447">
        <v>7</v>
      </c>
      <c r="C4" s="447">
        <v>16</v>
      </c>
      <c r="D4" s="448">
        <v>1</v>
      </c>
      <c r="E4" s="449"/>
      <c r="F4" s="451">
        <f t="shared" ref="F4:F10" si="0">+B4+C4+D4+E4</f>
        <v>24</v>
      </c>
      <c r="G4" s="424"/>
      <c r="H4" s="422"/>
      <c r="I4" s="422"/>
      <c r="J4" s="423"/>
    </row>
    <row r="5" spans="1:10" ht="19.5" customHeight="1">
      <c r="A5" s="1098">
        <v>40148</v>
      </c>
      <c r="B5" s="447">
        <v>7</v>
      </c>
      <c r="C5" s="447">
        <v>22</v>
      </c>
      <c r="D5" s="448">
        <v>10</v>
      </c>
      <c r="E5" s="449"/>
      <c r="F5" s="451">
        <f t="shared" si="0"/>
        <v>39</v>
      </c>
      <c r="G5" s="425"/>
      <c r="H5" s="422"/>
      <c r="I5" s="422"/>
      <c r="J5" s="423"/>
    </row>
    <row r="6" spans="1:10" ht="20.25" customHeight="1">
      <c r="A6" s="1098">
        <v>40513</v>
      </c>
      <c r="B6" s="450">
        <v>7</v>
      </c>
      <c r="C6" s="447">
        <v>24</v>
      </c>
      <c r="D6" s="448">
        <v>55</v>
      </c>
      <c r="E6" s="449"/>
      <c r="F6" s="451">
        <f t="shared" si="0"/>
        <v>86</v>
      </c>
      <c r="G6" s="426"/>
      <c r="H6" s="427"/>
      <c r="I6" s="426"/>
      <c r="J6" s="428"/>
    </row>
    <row r="7" spans="1:10" ht="20.25" customHeight="1">
      <c r="A7" s="1098">
        <v>40878</v>
      </c>
      <c r="B7" s="501">
        <v>7</v>
      </c>
      <c r="C7" s="501">
        <v>24</v>
      </c>
      <c r="D7" s="502">
        <v>57</v>
      </c>
      <c r="E7" s="502">
        <v>5</v>
      </c>
      <c r="F7" s="451">
        <f t="shared" si="0"/>
        <v>93</v>
      </c>
      <c r="G7" s="426"/>
      <c r="H7" s="427"/>
      <c r="I7" s="426"/>
      <c r="J7" s="428"/>
    </row>
    <row r="8" spans="1:10" ht="20.25" customHeight="1">
      <c r="A8" s="1098">
        <v>41244</v>
      </c>
      <c r="B8" s="501">
        <v>8</v>
      </c>
      <c r="C8" s="501">
        <v>27</v>
      </c>
      <c r="D8" s="502">
        <v>57</v>
      </c>
      <c r="E8" s="503"/>
      <c r="F8" s="451">
        <f t="shared" si="0"/>
        <v>92</v>
      </c>
      <c r="G8" s="429"/>
      <c r="H8" s="429"/>
      <c r="I8" s="429"/>
      <c r="J8" s="429"/>
    </row>
    <row r="9" spans="1:10" ht="23.25">
      <c r="A9" s="1098">
        <v>41609</v>
      </c>
      <c r="B9" s="501">
        <v>8</v>
      </c>
      <c r="C9" s="501">
        <v>28</v>
      </c>
      <c r="D9" s="502">
        <v>57</v>
      </c>
      <c r="E9" s="503"/>
      <c r="F9" s="451">
        <f t="shared" si="0"/>
        <v>93</v>
      </c>
      <c r="G9" s="429"/>
      <c r="H9" s="429"/>
      <c r="I9" s="429"/>
      <c r="J9" s="429"/>
    </row>
    <row r="10" spans="1:10" ht="23.25" hidden="1">
      <c r="A10" s="1098">
        <v>41730</v>
      </c>
      <c r="B10" s="501">
        <v>9</v>
      </c>
      <c r="C10" s="501">
        <v>23</v>
      </c>
      <c r="D10" s="502">
        <f>36+27</f>
        <v>63</v>
      </c>
      <c r="E10" s="503"/>
      <c r="F10" s="451">
        <f t="shared" si="0"/>
        <v>95</v>
      </c>
      <c r="G10" s="429"/>
      <c r="H10" s="429"/>
      <c r="I10" s="429"/>
      <c r="J10" s="429"/>
    </row>
    <row r="11" spans="1:10" ht="23.25">
      <c r="B11" s="426"/>
      <c r="C11" s="426"/>
      <c r="D11" s="426"/>
      <c r="E11" s="429"/>
      <c r="F11" s="429"/>
      <c r="G11" s="429"/>
      <c r="H11" s="429"/>
      <c r="I11" s="429"/>
      <c r="J11" s="429"/>
    </row>
  </sheetData>
  <mergeCells count="1">
    <mergeCell ref="A1:J1"/>
  </mergeCells>
  <printOptions horizontalCentered="1" verticalCentered="1"/>
  <pageMargins left="0.39370078740157483" right="0.39370078740157483" top="0.23622047244094491" bottom="0.23622047244094491" header="0.31496062992125984" footer="0.41"/>
  <pageSetup scale="65" orientation="landscape" r:id="rId1"/>
  <colBreaks count="1" manualBreakCount="1">
    <brk id="4" max="46"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L1:M1"/>
  <sheetViews>
    <sheetView showGridLines="0" view="pageBreakPreview" zoomScale="70" zoomScaleNormal="100" zoomScaleSheetLayoutView="70" workbookViewId="0">
      <selection activeCell="S25" sqref="S25"/>
    </sheetView>
  </sheetViews>
  <sheetFormatPr baseColWidth="10" defaultColWidth="11.42578125" defaultRowHeight="15"/>
  <cols>
    <col min="1" max="6" width="11.42578125" style="128"/>
    <col min="7" max="7" width="35.7109375" style="128" customWidth="1"/>
    <col min="8" max="10" width="11.42578125" style="128"/>
    <col min="11" max="11" width="11.28515625" style="128" customWidth="1"/>
    <col min="12" max="13" width="11.42578125" style="128" hidden="1" customWidth="1"/>
    <col min="14" max="16384" width="11.42578125" style="128"/>
  </cols>
  <sheetData/>
  <pageMargins left="0.7" right="0.7" top="0.75" bottom="0.75" header="0.3" footer="0.3"/>
  <pageSetup scale="5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N9"/>
  <sheetViews>
    <sheetView showGridLines="0" view="pageBreakPreview" zoomScale="85" zoomScaleNormal="100" zoomScaleSheetLayoutView="85" workbookViewId="0">
      <selection activeCell="H7" sqref="H7"/>
    </sheetView>
  </sheetViews>
  <sheetFormatPr baseColWidth="10" defaultColWidth="11.5703125" defaultRowHeight="15"/>
  <cols>
    <col min="1" max="1" width="17.5703125" customWidth="1"/>
    <col min="2" max="2" width="9" customWidth="1"/>
    <col min="3" max="3" width="8.7109375" customWidth="1"/>
    <col min="4" max="4" width="9.7109375" customWidth="1"/>
    <col min="5" max="5" width="10.28515625" customWidth="1"/>
    <col min="6" max="6" width="10.5703125" customWidth="1"/>
    <col min="7" max="7" width="10.85546875" customWidth="1"/>
    <col min="8" max="8" width="10.7109375" customWidth="1"/>
    <col min="9" max="9" width="12.7109375" customWidth="1"/>
    <col min="12" max="12" width="21.28515625" customWidth="1"/>
  </cols>
  <sheetData>
    <row r="1" spans="1:14" ht="54.75" customHeight="1">
      <c r="A1" s="2429" t="s">
        <v>1959</v>
      </c>
      <c r="B1" s="2430"/>
      <c r="C1" s="2430"/>
      <c r="D1" s="2430"/>
      <c r="E1" s="2430"/>
      <c r="F1" s="2430"/>
      <c r="G1" s="2430"/>
      <c r="H1" s="2430"/>
      <c r="I1" s="2430"/>
      <c r="J1" s="2430"/>
      <c r="K1" s="2430"/>
      <c r="L1" s="2431"/>
    </row>
    <row r="2" spans="1:14" s="59" customFormat="1" ht="4.5" customHeight="1">
      <c r="A2" s="698"/>
      <c r="B2" s="699"/>
      <c r="C2" s="699"/>
      <c r="D2" s="699"/>
      <c r="E2" s="699"/>
      <c r="F2" s="699"/>
      <c r="G2" s="699"/>
      <c r="H2" s="699"/>
      <c r="I2" s="699"/>
      <c r="J2" s="699"/>
      <c r="K2" s="699"/>
      <c r="L2" s="699"/>
    </row>
    <row r="3" spans="1:14">
      <c r="A3" s="1099" t="s">
        <v>726</v>
      </c>
      <c r="B3" s="1099">
        <v>2008</v>
      </c>
      <c r="C3" s="1099">
        <v>2009</v>
      </c>
      <c r="D3" s="1099">
        <v>2010</v>
      </c>
      <c r="E3" s="1099">
        <v>2011</v>
      </c>
      <c r="F3" s="1099">
        <v>2012</v>
      </c>
      <c r="G3" s="1099">
        <v>2013</v>
      </c>
      <c r="H3" s="1099">
        <v>2014</v>
      </c>
      <c r="I3" s="1101" t="s">
        <v>23</v>
      </c>
    </row>
    <row r="4" spans="1:14">
      <c r="A4" s="1100" t="s">
        <v>727</v>
      </c>
      <c r="B4" s="417">
        <v>2518</v>
      </c>
      <c r="C4" s="417">
        <v>16955</v>
      </c>
      <c r="D4" s="417">
        <v>18655</v>
      </c>
      <c r="E4" s="417">
        <v>14305</v>
      </c>
      <c r="F4" s="417">
        <v>15292</v>
      </c>
      <c r="G4" s="417">
        <v>19150</v>
      </c>
      <c r="H4" s="417">
        <v>19193</v>
      </c>
      <c r="I4" s="1101">
        <f>SUM(B4:H4)</f>
        <v>106068</v>
      </c>
    </row>
    <row r="5" spans="1:14">
      <c r="A5" s="1100" t="s">
        <v>728</v>
      </c>
      <c r="B5" s="417">
        <v>1331</v>
      </c>
      <c r="C5" s="417">
        <v>12867</v>
      </c>
      <c r="D5" s="417">
        <v>14071</v>
      </c>
      <c r="E5" s="417">
        <v>10990</v>
      </c>
      <c r="F5" s="417">
        <v>9470</v>
      </c>
      <c r="G5" s="417">
        <v>15649</v>
      </c>
      <c r="H5" s="417">
        <v>14990</v>
      </c>
      <c r="I5" s="1101">
        <f>SUM(B5:H5)</f>
        <v>79368</v>
      </c>
    </row>
    <row r="6" spans="1:14">
      <c r="A6" s="1100" t="s">
        <v>758</v>
      </c>
      <c r="B6" s="417">
        <v>0</v>
      </c>
      <c r="C6" s="417">
        <v>3795</v>
      </c>
      <c r="D6" s="417">
        <v>24841</v>
      </c>
      <c r="E6" s="417">
        <v>33003</v>
      </c>
      <c r="F6" s="417">
        <v>37654</v>
      </c>
      <c r="G6" s="417">
        <v>46049</v>
      </c>
      <c r="H6" s="417">
        <v>59366</v>
      </c>
      <c r="I6" s="1101">
        <f>SUM(B6:H6)</f>
        <v>204708</v>
      </c>
    </row>
    <row r="7" spans="1:14">
      <c r="A7" s="1099" t="s">
        <v>23</v>
      </c>
      <c r="B7" s="1101">
        <f t="shared" ref="B7:I7" si="0">SUM(B4:B6)</f>
        <v>3849</v>
      </c>
      <c r="C7" s="1101">
        <f t="shared" si="0"/>
        <v>33617</v>
      </c>
      <c r="D7" s="1101">
        <f t="shared" si="0"/>
        <v>57567</v>
      </c>
      <c r="E7" s="1101">
        <f t="shared" si="0"/>
        <v>58298</v>
      </c>
      <c r="F7" s="1101">
        <f t="shared" si="0"/>
        <v>62416</v>
      </c>
      <c r="G7" s="1101">
        <f>SUM(G4:G6)</f>
        <v>80848</v>
      </c>
      <c r="H7" s="1101">
        <f t="shared" si="0"/>
        <v>93549</v>
      </c>
      <c r="I7" s="1101">
        <f t="shared" si="0"/>
        <v>390144</v>
      </c>
    </row>
    <row r="9" spans="1:14">
      <c r="N9" t="s">
        <v>36</v>
      </c>
    </row>
  </sheetData>
  <mergeCells count="1">
    <mergeCell ref="A1:L1"/>
  </mergeCells>
  <pageMargins left="0.7" right="0.7" top="0.75" bottom="0.75" header="0.3" footer="0.3"/>
  <pageSetup scale="84"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8"/>
  <sheetViews>
    <sheetView showGridLines="0" view="pageBreakPreview" zoomScale="70" zoomScaleNormal="100" zoomScaleSheetLayoutView="70" workbookViewId="0">
      <selection activeCell="N31" sqref="N31"/>
    </sheetView>
  </sheetViews>
  <sheetFormatPr baseColWidth="10" defaultColWidth="11.5703125" defaultRowHeight="22.5" customHeight="1"/>
  <cols>
    <col min="1" max="1" width="22.140625" customWidth="1"/>
    <col min="2" max="2" width="17.85546875" customWidth="1"/>
    <col min="3" max="3" width="17.5703125" customWidth="1"/>
    <col min="4" max="4" width="19" customWidth="1"/>
    <col min="5" max="5" width="20.140625" customWidth="1"/>
    <col min="6" max="6" width="20.42578125" customWidth="1"/>
    <col min="7" max="7" width="20.140625" customWidth="1"/>
    <col min="8" max="8" width="19.5703125" customWidth="1"/>
    <col min="9" max="9" width="25.85546875" customWidth="1"/>
    <col min="11" max="11" width="14.5703125" customWidth="1"/>
    <col min="12" max="12" width="16.85546875" customWidth="1"/>
  </cols>
  <sheetData>
    <row r="1" spans="1:13" ht="96" customHeight="1">
      <c r="A1" s="2432" t="s">
        <v>1960</v>
      </c>
      <c r="B1" s="2432"/>
      <c r="C1" s="2432"/>
      <c r="D1" s="2432"/>
      <c r="E1" s="2432"/>
      <c r="F1" s="2432"/>
      <c r="G1" s="2432"/>
      <c r="H1" s="2432"/>
      <c r="I1" s="2432"/>
      <c r="J1" s="2432"/>
      <c r="K1" s="2432"/>
      <c r="L1" s="2432"/>
      <c r="M1" s="2432"/>
    </row>
    <row r="2" spans="1:13" ht="4.5" customHeight="1"/>
    <row r="3" spans="1:13" ht="22.5" hidden="1" customHeight="1"/>
    <row r="4" spans="1:13" ht="22.5" customHeight="1">
      <c r="A4" s="630" t="s">
        <v>726</v>
      </c>
      <c r="B4" s="630">
        <v>2008</v>
      </c>
      <c r="C4" s="630">
        <v>2009</v>
      </c>
      <c r="D4" s="630">
        <v>2010</v>
      </c>
      <c r="E4" s="630">
        <v>2011</v>
      </c>
      <c r="F4" s="630">
        <v>2012</v>
      </c>
      <c r="G4" s="630">
        <v>2013</v>
      </c>
      <c r="H4" s="630">
        <v>2014</v>
      </c>
      <c r="I4" s="630" t="s">
        <v>23</v>
      </c>
    </row>
    <row r="5" spans="1:13" ht="22.5" customHeight="1">
      <c r="A5" s="629" t="s">
        <v>727</v>
      </c>
      <c r="B5" s="2145">
        <f>70.29</f>
        <v>70.290000000000006</v>
      </c>
      <c r="C5" s="2145">
        <v>570.66999999999996</v>
      </c>
      <c r="D5" s="2145">
        <v>668.91</v>
      </c>
      <c r="E5" s="2145">
        <v>537.49</v>
      </c>
      <c r="F5" s="2146">
        <v>571.48</v>
      </c>
      <c r="G5" s="2146">
        <v>765.36</v>
      </c>
      <c r="H5" s="2146">
        <f>829.13</f>
        <v>829.13</v>
      </c>
      <c r="I5" s="2147">
        <f>SUM(B5:H5)</f>
        <v>4013.3300000000004</v>
      </c>
    </row>
    <row r="6" spans="1:13" ht="22.5" customHeight="1">
      <c r="A6" s="629" t="s">
        <v>728</v>
      </c>
      <c r="B6" s="2145">
        <f>19.01</f>
        <v>19.010000000000002</v>
      </c>
      <c r="C6" s="2145">
        <v>181.91</v>
      </c>
      <c r="D6" s="2145">
        <v>196.35</v>
      </c>
      <c r="E6" s="2145">
        <v>153.53</v>
      </c>
      <c r="F6" s="2146">
        <v>133.61000000000001</v>
      </c>
      <c r="G6" s="2146">
        <v>226.31</v>
      </c>
      <c r="H6" s="2146">
        <f>211.58</f>
        <v>211.58</v>
      </c>
      <c r="I6" s="2147">
        <f>SUM(B6:H6)</f>
        <v>1122.3</v>
      </c>
    </row>
    <row r="7" spans="1:13" ht="22.5" customHeight="1">
      <c r="A7" s="629" t="s">
        <v>749</v>
      </c>
      <c r="B7" s="2145">
        <v>0</v>
      </c>
      <c r="C7" s="2145">
        <v>14.43</v>
      </c>
      <c r="D7" s="2145">
        <v>101</v>
      </c>
      <c r="E7" s="2145">
        <v>134.1</v>
      </c>
      <c r="F7" s="2146">
        <v>157.84</v>
      </c>
      <c r="G7" s="2146">
        <v>211.27</v>
      </c>
      <c r="H7" s="2146">
        <f>248.73</f>
        <v>248.73</v>
      </c>
      <c r="I7" s="2147">
        <f>SUM(B7:H7)</f>
        <v>867.37</v>
      </c>
    </row>
    <row r="8" spans="1:13" ht="22.5" customHeight="1">
      <c r="A8" s="630" t="s">
        <v>23</v>
      </c>
      <c r="B8" s="2147">
        <f>SUM(B5:B7)</f>
        <v>89.300000000000011</v>
      </c>
      <c r="C8" s="2147">
        <f>SUM(C5:C7)</f>
        <v>767.00999999999988</v>
      </c>
      <c r="D8" s="2147">
        <f t="shared" ref="D8:I8" si="0">SUM(D5:D7)</f>
        <v>966.26</v>
      </c>
      <c r="E8" s="2147">
        <f t="shared" si="0"/>
        <v>825.12</v>
      </c>
      <c r="F8" s="2147">
        <f t="shared" si="0"/>
        <v>862.93000000000006</v>
      </c>
      <c r="G8" s="2147">
        <f t="shared" si="0"/>
        <v>1202.94</v>
      </c>
      <c r="H8" s="2147">
        <f t="shared" si="0"/>
        <v>1289.44</v>
      </c>
      <c r="I8" s="2147">
        <f t="shared" si="0"/>
        <v>6003</v>
      </c>
    </row>
  </sheetData>
  <mergeCells count="1">
    <mergeCell ref="A1:M1"/>
  </mergeCells>
  <pageMargins left="0.70866141732283472" right="0.70866141732283472" top="0.74803149606299213" bottom="0.74803149606299213" header="0.31496062992125984" footer="0.31496062992125984"/>
  <pageSetup scale="5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L1:M1"/>
  <sheetViews>
    <sheetView showGridLines="0" view="pageBreakPreview" zoomScale="55" zoomScaleNormal="100" zoomScaleSheetLayoutView="55" workbookViewId="0">
      <selection activeCell="T41" sqref="T41"/>
    </sheetView>
  </sheetViews>
  <sheetFormatPr baseColWidth="10" defaultColWidth="11.42578125" defaultRowHeight="15"/>
  <cols>
    <col min="1" max="6" width="11.42578125" style="128"/>
    <col min="7" max="7" width="35.7109375" style="128" customWidth="1"/>
    <col min="8" max="10" width="11.42578125" style="128"/>
    <col min="11" max="11" width="11.28515625" style="128" customWidth="1"/>
    <col min="12" max="13" width="11.42578125" style="128" hidden="1" customWidth="1"/>
    <col min="14" max="16384" width="11.42578125" style="128"/>
  </cols>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33"/>
  <sheetViews>
    <sheetView showGridLines="0" view="pageBreakPreview" zoomScale="85" zoomScaleNormal="100" zoomScaleSheetLayoutView="85" workbookViewId="0">
      <pane ySplit="1" topLeftCell="A2" activePane="bottomLeft" state="frozen"/>
      <selection pane="bottomLeft" activeCell="G10" sqref="G10"/>
    </sheetView>
  </sheetViews>
  <sheetFormatPr baseColWidth="10" defaultColWidth="11.42578125" defaultRowHeight="15"/>
  <cols>
    <col min="1" max="1" width="13.42578125" style="128" customWidth="1"/>
    <col min="2" max="2" width="16.28515625" style="128" bestFit="1" customWidth="1"/>
    <col min="3" max="3" width="13" style="128" customWidth="1"/>
    <col min="4" max="4" width="14.5703125" style="128" customWidth="1"/>
    <col min="5" max="5" width="13.85546875" style="128" customWidth="1"/>
    <col min="6" max="6" width="14.28515625" style="128" customWidth="1"/>
    <col min="7" max="7" width="13.5703125" style="128" customWidth="1"/>
    <col min="8" max="8" width="11.42578125" style="128"/>
    <col min="9" max="9" width="12.5703125" style="128" bestFit="1" customWidth="1"/>
    <col min="10" max="10" width="11.42578125" style="128"/>
    <col min="11" max="11" width="13" style="128" customWidth="1"/>
    <col min="12" max="12" width="14.140625" style="128" customWidth="1"/>
    <col min="13" max="13" width="14.85546875" style="128" customWidth="1"/>
    <col min="14" max="14" width="12.140625" style="128" customWidth="1"/>
    <col min="15" max="15" width="1.42578125" style="128" customWidth="1"/>
    <col min="16" max="16384" width="11.42578125" style="128"/>
  </cols>
  <sheetData>
    <row r="1" spans="1:21" ht="75.75" customHeight="1">
      <c r="A1" s="2381" t="s">
        <v>1961</v>
      </c>
      <c r="B1" s="2381"/>
      <c r="C1" s="2381"/>
      <c r="D1" s="2381"/>
      <c r="E1" s="2381"/>
      <c r="F1" s="2381"/>
      <c r="G1" s="2381"/>
      <c r="H1" s="2381"/>
      <c r="I1" s="2381"/>
      <c r="J1" s="2381"/>
      <c r="K1" s="2381"/>
      <c r="L1" s="2381"/>
      <c r="M1" s="2381"/>
      <c r="N1" s="2381"/>
    </row>
    <row r="2" spans="1:21" ht="90" customHeight="1">
      <c r="A2" s="2433" t="s">
        <v>1962</v>
      </c>
      <c r="B2" s="2433"/>
      <c r="C2" s="2433"/>
      <c r="D2" s="2433"/>
      <c r="E2" s="2433"/>
      <c r="F2" s="2433"/>
      <c r="G2" s="2433"/>
      <c r="H2" s="2433"/>
      <c r="I2" s="2433"/>
      <c r="J2" s="2433"/>
      <c r="K2" s="2433"/>
      <c r="L2" s="2433"/>
      <c r="M2" s="2433"/>
      <c r="N2" s="2433"/>
    </row>
    <row r="3" spans="1:21" ht="34.5" customHeight="1">
      <c r="A3" s="541" t="s">
        <v>25</v>
      </c>
      <c r="B3" s="540" t="s">
        <v>50</v>
      </c>
      <c r="C3" s="540" t="s">
        <v>1152</v>
      </c>
      <c r="D3" s="540" t="s">
        <v>463</v>
      </c>
      <c r="P3" s="486"/>
      <c r="T3" s="535"/>
      <c r="U3" s="535"/>
    </row>
    <row r="4" spans="1:21" ht="15.75" hidden="1">
      <c r="A4" s="542">
        <v>2003</v>
      </c>
      <c r="B4" s="895">
        <v>576869</v>
      </c>
      <c r="C4" s="895">
        <v>986538</v>
      </c>
      <c r="D4" s="2082">
        <f>B4/C4</f>
        <v>0.58474078038555033</v>
      </c>
      <c r="T4" s="535"/>
      <c r="U4" s="535"/>
    </row>
    <row r="5" spans="1:21" ht="15.75" hidden="1">
      <c r="A5" s="542">
        <v>2004</v>
      </c>
      <c r="B5" s="895">
        <v>593286</v>
      </c>
      <c r="C5" s="895">
        <v>1190202</v>
      </c>
      <c r="D5" s="2082">
        <f t="shared" ref="D5:D14" si="0">B5/C5</f>
        <v>0.49847504877323345</v>
      </c>
      <c r="T5" s="535"/>
      <c r="U5" s="535"/>
    </row>
    <row r="6" spans="1:21" ht="15.75">
      <c r="A6" s="542">
        <v>2005</v>
      </c>
      <c r="B6" s="895">
        <v>626615</v>
      </c>
      <c r="C6" s="1102">
        <v>1429521</v>
      </c>
      <c r="D6" s="2082">
        <f>B6/C6</f>
        <v>0.43833913597631652</v>
      </c>
      <c r="O6" s="486"/>
      <c r="T6" s="535"/>
      <c r="U6" s="535"/>
    </row>
    <row r="7" spans="1:21" ht="15.75">
      <c r="A7" s="542">
        <v>2006</v>
      </c>
      <c r="B7" s="895">
        <v>808496</v>
      </c>
      <c r="C7" s="895">
        <v>1588621</v>
      </c>
      <c r="D7" s="2082">
        <f t="shared" si="0"/>
        <v>0.50892944257944472</v>
      </c>
      <c r="P7" s="1912"/>
      <c r="T7" s="535"/>
      <c r="U7" s="535"/>
    </row>
    <row r="8" spans="1:21" ht="15.75">
      <c r="A8" s="542">
        <v>2007</v>
      </c>
      <c r="B8" s="895">
        <v>913203</v>
      </c>
      <c r="C8" s="895">
        <v>1797027</v>
      </c>
      <c r="D8" s="2082">
        <f t="shared" si="0"/>
        <v>0.5081743346093297</v>
      </c>
      <c r="T8" s="535"/>
      <c r="U8" s="535"/>
    </row>
    <row r="9" spans="1:21" ht="15.75">
      <c r="A9" s="542">
        <v>2008</v>
      </c>
      <c r="B9" s="895">
        <v>929743</v>
      </c>
      <c r="C9" s="895">
        <v>1983720</v>
      </c>
      <c r="D9" s="2082">
        <f t="shared" si="0"/>
        <v>0.46868660899723752</v>
      </c>
      <c r="P9" s="486"/>
      <c r="T9" s="535"/>
      <c r="U9" s="535"/>
    </row>
    <row r="10" spans="1:21" ht="15.75">
      <c r="A10" s="542">
        <v>2009</v>
      </c>
      <c r="B10" s="1103">
        <v>1118293</v>
      </c>
      <c r="C10" s="1103">
        <v>2193890</v>
      </c>
      <c r="D10" s="2082">
        <f t="shared" si="0"/>
        <v>0.50973066106322562</v>
      </c>
      <c r="P10" s="486"/>
      <c r="T10" s="535"/>
      <c r="U10" s="535"/>
    </row>
    <row r="11" spans="1:21" ht="15.75">
      <c r="A11" s="542">
        <v>2010</v>
      </c>
      <c r="B11" s="1103">
        <v>1189601</v>
      </c>
      <c r="C11" s="1103">
        <v>2374783</v>
      </c>
      <c r="D11" s="2082">
        <f t="shared" si="0"/>
        <v>0.50093040079872564</v>
      </c>
      <c r="P11" s="486"/>
      <c r="T11" s="535"/>
      <c r="U11" s="535"/>
    </row>
    <row r="12" spans="1:21" ht="15.75">
      <c r="A12" s="542">
        <v>2011</v>
      </c>
      <c r="B12" s="1103">
        <v>1242780</v>
      </c>
      <c r="C12" s="1103">
        <v>2552974</v>
      </c>
      <c r="D12" s="2082">
        <f t="shared" si="0"/>
        <v>0.4867969669883046</v>
      </c>
      <c r="P12" s="486"/>
      <c r="T12" s="535"/>
      <c r="U12" s="535"/>
    </row>
    <row r="13" spans="1:21" ht="15.75">
      <c r="A13" s="542">
        <v>2012</v>
      </c>
      <c r="B13" s="1103">
        <v>1291137</v>
      </c>
      <c r="C13" s="1103">
        <v>2714449</v>
      </c>
      <c r="D13" s="2082">
        <f t="shared" si="0"/>
        <v>0.47565343832210516</v>
      </c>
      <c r="J13" s="128" t="s">
        <v>1626</v>
      </c>
      <c r="O13" s="812"/>
      <c r="P13" s="486"/>
      <c r="T13" s="535"/>
      <c r="U13" s="535"/>
    </row>
    <row r="14" spans="1:21" ht="15.75">
      <c r="A14" s="542">
        <v>2013</v>
      </c>
      <c r="B14" s="1103">
        <v>1376966</v>
      </c>
      <c r="C14" s="1103">
        <v>2881130</v>
      </c>
      <c r="D14" s="2082">
        <f t="shared" si="0"/>
        <v>0.47792567499557465</v>
      </c>
      <c r="P14" s="486"/>
      <c r="T14" s="535"/>
      <c r="U14" s="535"/>
    </row>
    <row r="15" spans="1:21" ht="15.75">
      <c r="A15" s="542">
        <v>2014</v>
      </c>
      <c r="B15" s="1103">
        <v>1508392</v>
      </c>
      <c r="C15" s="1103">
        <v>3069900</v>
      </c>
      <c r="D15" s="2082">
        <f>B15/C15</f>
        <v>0.49134890387309033</v>
      </c>
      <c r="E15" s="8"/>
      <c r="F15" s="15"/>
      <c r="G15" s="15" t="s">
        <v>1040</v>
      </c>
      <c r="H15" s="15"/>
      <c r="I15" s="1"/>
      <c r="J15" s="17"/>
      <c r="K15" s="1"/>
      <c r="L15" s="1"/>
      <c r="P15" s="486"/>
      <c r="T15" s="535"/>
      <c r="U15" s="535"/>
    </row>
    <row r="16" spans="1:21" ht="15.75">
      <c r="B16" s="1"/>
      <c r="C16" s="1"/>
      <c r="D16" s="1"/>
      <c r="E16" s="8"/>
      <c r="F16" s="14"/>
      <c r="G16" s="14"/>
      <c r="H16" s="14"/>
      <c r="I16" s="1"/>
      <c r="J16" s="17"/>
      <c r="K16" s="1"/>
      <c r="L16" s="1"/>
      <c r="P16" s="486"/>
      <c r="T16" s="535"/>
      <c r="U16" s="535"/>
    </row>
    <row r="17" spans="2:21" ht="15.75">
      <c r="B17" s="1"/>
      <c r="C17" s="1"/>
      <c r="D17" s="1"/>
      <c r="E17" s="1"/>
      <c r="F17" s="5"/>
      <c r="G17" s="5"/>
      <c r="H17" s="5"/>
      <c r="I17" s="1"/>
      <c r="J17" s="1"/>
      <c r="K17" s="1"/>
      <c r="L17" s="1"/>
      <c r="P17" s="486"/>
      <c r="T17" s="535"/>
      <c r="U17" s="535"/>
    </row>
    <row r="18" spans="2:21" ht="15.75">
      <c r="B18" s="1"/>
      <c r="C18" s="1"/>
      <c r="D18" s="1"/>
      <c r="E18" s="1"/>
      <c r="F18" s="1"/>
      <c r="G18" s="1"/>
      <c r="H18" s="1"/>
      <c r="I18" s="1"/>
      <c r="J18" s="1"/>
      <c r="K18" s="1"/>
      <c r="L18" s="1"/>
      <c r="P18" s="486"/>
      <c r="T18" s="535"/>
      <c r="U18" s="535"/>
    </row>
    <row r="19" spans="2:21">
      <c r="B19" s="1"/>
      <c r="C19" s="1"/>
      <c r="D19" s="1"/>
      <c r="E19" s="1"/>
      <c r="F19" s="1"/>
      <c r="G19" s="1"/>
      <c r="H19" s="1"/>
      <c r="I19" s="1"/>
      <c r="J19" s="1"/>
      <c r="K19" s="1"/>
      <c r="L19" s="1"/>
      <c r="P19" s="486"/>
    </row>
    <row r="20" spans="2:21">
      <c r="B20" s="1"/>
      <c r="C20" s="1"/>
      <c r="D20" s="1"/>
      <c r="E20" s="1"/>
      <c r="F20" s="1"/>
      <c r="G20" s="1"/>
      <c r="H20" s="1"/>
      <c r="I20" s="1"/>
      <c r="J20" s="1"/>
      <c r="K20" s="1"/>
      <c r="L20" s="1"/>
      <c r="P20" s="486"/>
    </row>
    <row r="21" spans="2:21">
      <c r="B21" s="1"/>
      <c r="C21" s="1"/>
      <c r="D21" s="1"/>
      <c r="E21" s="1"/>
      <c r="F21" s="1"/>
      <c r="G21" s="1"/>
      <c r="H21" s="1"/>
      <c r="I21" s="1"/>
      <c r="J21" s="1"/>
      <c r="K21" s="1"/>
      <c r="L21" s="1"/>
    </row>
    <row r="22" spans="2:21">
      <c r="B22" s="1"/>
      <c r="C22" s="1"/>
      <c r="D22" s="1"/>
      <c r="E22" s="1"/>
      <c r="F22" s="1"/>
      <c r="G22" s="1"/>
      <c r="H22" s="1"/>
      <c r="I22" s="1"/>
      <c r="J22" s="1"/>
      <c r="K22" s="1"/>
      <c r="L22" s="1"/>
      <c r="P22" s="486"/>
    </row>
    <row r="23" spans="2:21">
      <c r="B23" s="1"/>
      <c r="C23" s="1"/>
      <c r="D23" s="1"/>
      <c r="E23" s="1"/>
      <c r="F23" s="1"/>
      <c r="G23" s="1"/>
      <c r="H23" s="1"/>
      <c r="I23" s="1"/>
      <c r="J23" s="1"/>
      <c r="K23" s="1"/>
      <c r="L23" s="1"/>
      <c r="M23" s="128" t="s">
        <v>36</v>
      </c>
    </row>
    <row r="24" spans="2:21">
      <c r="B24" s="1"/>
      <c r="C24" s="1"/>
      <c r="D24" s="1"/>
      <c r="E24" s="1"/>
      <c r="F24" s="1"/>
      <c r="G24" s="1"/>
      <c r="H24" s="1"/>
      <c r="I24" s="1"/>
      <c r="J24" s="1"/>
      <c r="K24" s="1"/>
      <c r="L24" s="1"/>
      <c r="P24" s="486"/>
    </row>
    <row r="25" spans="2:21">
      <c r="B25" s="1"/>
      <c r="C25" s="1"/>
      <c r="D25" s="1"/>
      <c r="E25" s="1"/>
      <c r="F25" s="1"/>
      <c r="G25" s="1"/>
      <c r="H25" s="1"/>
      <c r="I25" s="1"/>
      <c r="J25" s="1"/>
      <c r="K25" s="1"/>
      <c r="L25" s="1"/>
    </row>
    <row r="26" spans="2:21">
      <c r="B26" s="1"/>
      <c r="C26" s="1"/>
      <c r="D26" s="1"/>
      <c r="E26" s="1"/>
      <c r="F26" s="1"/>
      <c r="G26" s="1"/>
      <c r="H26" s="1"/>
      <c r="I26" s="1"/>
      <c r="J26" s="1"/>
      <c r="K26" s="1"/>
      <c r="L26" s="1"/>
      <c r="P26" s="486"/>
    </row>
    <row r="27" spans="2:21">
      <c r="B27" s="1"/>
      <c r="C27" s="1"/>
      <c r="D27" s="1"/>
      <c r="E27" s="1"/>
      <c r="F27" s="1"/>
      <c r="G27" s="1"/>
      <c r="H27" s="1"/>
      <c r="I27" s="1"/>
      <c r="J27" s="1"/>
      <c r="K27" s="1"/>
      <c r="L27" s="1"/>
      <c r="P27" s="486"/>
    </row>
    <row r="28" spans="2:21">
      <c r="B28" s="1"/>
      <c r="C28" s="1"/>
      <c r="D28" s="1"/>
      <c r="E28" s="1"/>
      <c r="F28" s="1"/>
      <c r="G28" s="1"/>
      <c r="H28" s="1"/>
      <c r="I28" s="1"/>
      <c r="J28" s="1"/>
      <c r="K28" s="1"/>
      <c r="L28" s="1"/>
      <c r="P28" s="486"/>
    </row>
    <row r="29" spans="2:21">
      <c r="B29" s="1"/>
      <c r="C29" s="1"/>
      <c r="D29" s="1"/>
      <c r="E29" s="1"/>
      <c r="F29" s="1"/>
      <c r="G29" s="1"/>
      <c r="H29" s="1"/>
      <c r="I29" s="1"/>
      <c r="J29" s="1"/>
      <c r="K29" s="1"/>
      <c r="L29" s="1"/>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sheetData>
  <mergeCells count="2">
    <mergeCell ref="A1:N1"/>
    <mergeCell ref="A2:N2"/>
  </mergeCells>
  <printOptions horizontalCentered="1" verticalCentered="1"/>
  <pageMargins left="0.4" right="0.4" top="0.25" bottom="0.25" header="0.31496062992126" footer="0.31496062992126"/>
  <pageSetup scale="6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21"/>
  <sheetViews>
    <sheetView showGridLines="0" view="pageBreakPreview" zoomScale="70" zoomScaleNormal="85" zoomScaleSheetLayoutView="70" workbookViewId="0">
      <selection activeCell="C15" sqref="C15"/>
    </sheetView>
  </sheetViews>
  <sheetFormatPr baseColWidth="10" defaultColWidth="11.42578125" defaultRowHeight="15"/>
  <cols>
    <col min="1" max="1" width="13" style="128" customWidth="1"/>
    <col min="2" max="2" width="14.28515625" style="128" hidden="1" customWidth="1"/>
    <col min="3" max="3" width="13.7109375" style="128" customWidth="1"/>
    <col min="4" max="4" width="18.5703125" style="128" customWidth="1"/>
    <col min="5" max="5" width="17.85546875" style="128" customWidth="1"/>
    <col min="6" max="16384" width="11.42578125" style="128"/>
  </cols>
  <sheetData>
    <row r="1" spans="1:15" ht="64.5" customHeight="1">
      <c r="A1" s="2434" t="s">
        <v>1963</v>
      </c>
      <c r="B1" s="2434"/>
      <c r="C1" s="2434"/>
      <c r="D1" s="2434"/>
      <c r="E1" s="2434"/>
      <c r="F1" s="2434"/>
      <c r="G1" s="2434"/>
      <c r="H1" s="2434"/>
      <c r="I1" s="2434"/>
      <c r="J1" s="2434"/>
      <c r="K1" s="2434"/>
      <c r="L1" s="2434"/>
      <c r="M1" s="2434"/>
      <c r="N1" s="2434"/>
      <c r="O1" s="2434"/>
    </row>
    <row r="2" spans="1:15" ht="3.75" customHeight="1">
      <c r="A2" s="148"/>
      <c r="B2" s="148"/>
      <c r="C2" s="148"/>
      <c r="D2" s="148"/>
      <c r="E2" s="148"/>
      <c r="F2" s="148"/>
      <c r="G2" s="148"/>
      <c r="H2" s="148"/>
      <c r="I2" s="148"/>
      <c r="J2" s="148"/>
      <c r="K2" s="148"/>
      <c r="L2" s="148"/>
    </row>
    <row r="3" spans="1:15" ht="35.25" customHeight="1">
      <c r="A3" s="1697" t="s">
        <v>25</v>
      </c>
      <c r="B3" s="1698" t="s">
        <v>1143</v>
      </c>
      <c r="C3" s="1698" t="s">
        <v>1144</v>
      </c>
      <c r="D3" s="1698" t="s">
        <v>1215</v>
      </c>
      <c r="E3" s="1698" t="s">
        <v>394</v>
      </c>
      <c r="F3" s="148"/>
      <c r="G3" s="148"/>
      <c r="H3" s="148"/>
      <c r="I3" s="148"/>
      <c r="J3" s="148"/>
      <c r="K3" s="148"/>
      <c r="L3" s="148"/>
    </row>
    <row r="4" spans="1:15" ht="17.25" hidden="1">
      <c r="A4" s="761" t="s">
        <v>466</v>
      </c>
      <c r="B4" s="762">
        <v>986538</v>
      </c>
      <c r="C4" s="763">
        <v>576869</v>
      </c>
      <c r="D4" s="764">
        <v>1420224</v>
      </c>
      <c r="E4" s="765">
        <f>C4/D4</f>
        <v>0.40618170091478528</v>
      </c>
      <c r="F4" s="148"/>
      <c r="G4" s="148"/>
      <c r="H4" s="148"/>
      <c r="I4" s="148"/>
      <c r="J4" s="148"/>
      <c r="K4" s="148"/>
      <c r="L4" s="148"/>
    </row>
    <row r="5" spans="1:15" ht="17.25" hidden="1">
      <c r="A5" s="761">
        <v>2004</v>
      </c>
      <c r="B5" s="763">
        <v>1190202</v>
      </c>
      <c r="C5" s="763">
        <v>593286</v>
      </c>
      <c r="D5" s="764">
        <v>1481853.5</v>
      </c>
      <c r="E5" s="765">
        <f t="shared" ref="E5:E11" si="0">C5/D5</f>
        <v>0.40036751271296389</v>
      </c>
      <c r="F5" s="148"/>
      <c r="G5" s="148"/>
      <c r="H5" s="148"/>
      <c r="I5" s="148"/>
      <c r="J5" s="148"/>
      <c r="K5" s="148"/>
      <c r="L5" s="148"/>
    </row>
    <row r="6" spans="1:15" ht="17.25">
      <c r="A6" s="761">
        <v>2005</v>
      </c>
      <c r="B6" s="766">
        <v>1429521</v>
      </c>
      <c r="C6" s="763">
        <v>626615</v>
      </c>
      <c r="D6" s="764">
        <v>1437260</v>
      </c>
      <c r="E6" s="765">
        <f t="shared" si="0"/>
        <v>0.43597887647328948</v>
      </c>
      <c r="F6" s="148"/>
      <c r="G6" s="148"/>
      <c r="H6" s="148"/>
      <c r="I6" s="148"/>
      <c r="J6" s="148"/>
      <c r="L6" s="148"/>
    </row>
    <row r="7" spans="1:15" ht="17.25">
      <c r="A7" s="761">
        <v>2006</v>
      </c>
      <c r="B7" s="763">
        <v>1588621</v>
      </c>
      <c r="C7" s="763">
        <v>808496</v>
      </c>
      <c r="D7" s="764">
        <v>1505582.5</v>
      </c>
      <c r="E7" s="765">
        <f t="shared" si="0"/>
        <v>0.53699880278895373</v>
      </c>
      <c r="F7" s="148"/>
      <c r="G7" s="148"/>
      <c r="H7" s="148"/>
      <c r="I7" s="148"/>
      <c r="J7" s="148"/>
      <c r="L7" s="148"/>
    </row>
    <row r="8" spans="1:15" ht="17.25">
      <c r="A8" s="761">
        <v>2007</v>
      </c>
      <c r="B8" s="763">
        <v>1797027</v>
      </c>
      <c r="C8" s="763">
        <v>913203</v>
      </c>
      <c r="D8" s="764">
        <v>1571911.5</v>
      </c>
      <c r="E8" s="765">
        <f t="shared" si="0"/>
        <v>0.58095064512219674</v>
      </c>
      <c r="F8" s="148"/>
      <c r="G8" s="148"/>
      <c r="H8" s="148"/>
      <c r="I8" s="148"/>
      <c r="J8" s="148"/>
      <c r="K8" s="148"/>
      <c r="L8" s="148"/>
    </row>
    <row r="9" spans="1:15" ht="17.25">
      <c r="A9" s="761">
        <v>2008</v>
      </c>
      <c r="B9" s="763">
        <v>1983720</v>
      </c>
      <c r="C9" s="763">
        <v>929743</v>
      </c>
      <c r="D9" s="764">
        <v>1566047</v>
      </c>
      <c r="E9" s="765">
        <f t="shared" si="0"/>
        <v>0.59368780119626041</v>
      </c>
      <c r="H9" s="148"/>
      <c r="I9" s="148"/>
      <c r="J9" s="148"/>
      <c r="K9" s="148"/>
      <c r="L9" s="148"/>
    </row>
    <row r="10" spans="1:15" ht="17.25">
      <c r="A10" s="761">
        <v>2009</v>
      </c>
      <c r="B10" s="763">
        <v>2193890</v>
      </c>
      <c r="C10" s="763">
        <v>1118293</v>
      </c>
      <c r="D10" s="764">
        <v>1560994</v>
      </c>
      <c r="E10" s="765">
        <f t="shared" si="0"/>
        <v>0.71639801306090867</v>
      </c>
      <c r="H10" s="148"/>
      <c r="I10" s="148"/>
      <c r="J10" s="148"/>
      <c r="K10" s="148"/>
      <c r="L10" s="148"/>
    </row>
    <row r="11" spans="1:15" ht="17.25">
      <c r="A11" s="761">
        <v>2010</v>
      </c>
      <c r="B11" s="763">
        <v>2374783</v>
      </c>
      <c r="C11" s="763">
        <v>1189601</v>
      </c>
      <c r="D11" s="767">
        <v>1631129</v>
      </c>
      <c r="E11" s="765">
        <f t="shared" si="0"/>
        <v>0.72931141559006063</v>
      </c>
      <c r="H11" s="236"/>
      <c r="I11" s="149"/>
      <c r="J11" s="149"/>
      <c r="K11" s="148"/>
      <c r="L11" s="148"/>
    </row>
    <row r="12" spans="1:15" ht="17.25">
      <c r="A12" s="761" t="s">
        <v>469</v>
      </c>
      <c r="B12" s="827">
        <v>2552974</v>
      </c>
      <c r="C12" s="827">
        <v>1242780</v>
      </c>
      <c r="D12" s="828">
        <v>1686216</v>
      </c>
      <c r="E12" s="768">
        <f>C12/D12</f>
        <v>0.73702301484507327</v>
      </c>
      <c r="H12" s="16"/>
      <c r="I12" s="151"/>
      <c r="J12" s="17"/>
    </row>
    <row r="13" spans="1:15" ht="16.5" customHeight="1">
      <c r="A13" s="761" t="s">
        <v>1058</v>
      </c>
      <c r="B13" s="827">
        <v>2714449</v>
      </c>
      <c r="C13" s="827">
        <v>1291137</v>
      </c>
      <c r="D13" s="828">
        <v>1716228</v>
      </c>
      <c r="E13" s="829">
        <f>C13/D13</f>
        <v>0.75231088177095351</v>
      </c>
      <c r="F13" s="14"/>
      <c r="G13" s="15"/>
      <c r="H13" s="15"/>
      <c r="I13" s="151"/>
      <c r="J13" s="17"/>
    </row>
    <row r="14" spans="1:15" ht="17.25">
      <c r="A14" s="761" t="s">
        <v>1643</v>
      </c>
      <c r="B14" s="827">
        <v>2881130</v>
      </c>
      <c r="C14" s="827">
        <v>1376966</v>
      </c>
      <c r="D14" s="828">
        <v>1769801</v>
      </c>
      <c r="E14" s="829">
        <f>C14/D14</f>
        <v>0.77803436657567715</v>
      </c>
      <c r="F14" s="15"/>
      <c r="G14" s="15"/>
      <c r="H14" s="15"/>
      <c r="I14" s="151"/>
      <c r="J14" s="17"/>
    </row>
    <row r="15" spans="1:15" ht="17.25">
      <c r="A15" s="761" t="s">
        <v>1907</v>
      </c>
      <c r="B15" s="827">
        <v>3032720</v>
      </c>
      <c r="C15" s="827">
        <v>1508392</v>
      </c>
      <c r="D15" s="828">
        <v>1865496</v>
      </c>
      <c r="E15" s="829">
        <f>C15/D15</f>
        <v>0.80857423441272458</v>
      </c>
      <c r="F15" s="15"/>
      <c r="G15" s="15"/>
      <c r="H15" s="15"/>
      <c r="I15" s="151"/>
      <c r="J15" s="17"/>
    </row>
    <row r="16" spans="1:15">
      <c r="B16" s="151"/>
      <c r="C16" s="151"/>
      <c r="D16" s="28"/>
      <c r="E16" s="151"/>
      <c r="F16" s="15"/>
      <c r="G16" s="15"/>
      <c r="H16" s="15"/>
      <c r="I16" s="151"/>
      <c r="J16" s="17"/>
    </row>
    <row r="17" spans="2:10">
      <c r="B17" s="151"/>
      <c r="C17" s="151"/>
      <c r="D17" s="28"/>
      <c r="E17" s="151"/>
      <c r="F17" s="15"/>
      <c r="G17" s="15"/>
      <c r="H17" s="15"/>
      <c r="I17" s="151"/>
      <c r="J17" s="17"/>
    </row>
    <row r="18" spans="2:10">
      <c r="B18" s="151"/>
      <c r="C18" s="151"/>
      <c r="D18" s="151"/>
      <c r="E18" s="151"/>
      <c r="F18" s="14"/>
      <c r="G18" s="14"/>
      <c r="H18" s="14"/>
      <c r="I18" s="151"/>
      <c r="J18" s="17"/>
    </row>
    <row r="19" spans="2:10">
      <c r="B19" s="151"/>
      <c r="C19" s="151"/>
      <c r="D19" s="151"/>
      <c r="E19" s="151"/>
      <c r="F19" s="236"/>
      <c r="G19" s="236"/>
      <c r="H19" s="236"/>
      <c r="I19" s="151"/>
      <c r="J19" s="151"/>
    </row>
    <row r="20" spans="2:10">
      <c r="B20" s="151"/>
      <c r="C20" s="151"/>
      <c r="D20" s="151"/>
      <c r="E20" s="151"/>
      <c r="F20" s="151"/>
      <c r="G20" s="151"/>
      <c r="H20" s="151"/>
      <c r="I20" s="151"/>
      <c r="J20" s="151"/>
    </row>
    <row r="21" spans="2:10">
      <c r="B21" s="151"/>
      <c r="C21" s="151"/>
      <c r="D21" s="151"/>
      <c r="E21" s="151"/>
      <c r="F21" s="151"/>
      <c r="G21" s="151"/>
      <c r="H21" s="151"/>
      <c r="I21" s="151"/>
      <c r="J21" s="151"/>
    </row>
  </sheetData>
  <mergeCells count="1">
    <mergeCell ref="A1:O1"/>
  </mergeCells>
  <printOptions horizontalCentered="1" verticalCentered="1"/>
  <pageMargins left="0.4" right="0.4" top="0.25" bottom="0.25" header="0.314" footer="0.31496062992126"/>
  <pageSetup scale="6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40"/>
  <sheetViews>
    <sheetView showGridLines="0" view="pageBreakPreview" zoomScale="70" zoomScaleNormal="70" zoomScaleSheetLayoutView="70" workbookViewId="0">
      <selection activeCell="O57" sqref="O57"/>
    </sheetView>
  </sheetViews>
  <sheetFormatPr baseColWidth="10" defaultColWidth="11.42578125" defaultRowHeight="15"/>
  <cols>
    <col min="1" max="1" width="11.140625" style="128" customWidth="1"/>
    <col min="2" max="2" width="15.5703125" style="128" customWidth="1"/>
    <col min="3" max="3" width="14.7109375" style="128" customWidth="1"/>
    <col min="4" max="4" width="16.42578125" style="128" customWidth="1"/>
    <col min="5" max="5" width="11.42578125" style="128"/>
    <col min="6" max="6" width="19.140625" style="128" customWidth="1"/>
    <col min="7" max="7" width="15.7109375" style="128" customWidth="1"/>
    <col min="8" max="10" width="11.42578125" style="128"/>
    <col min="11" max="11" width="16.140625" style="128" customWidth="1"/>
    <col min="12" max="12" width="13.7109375" style="128" customWidth="1"/>
    <col min="13" max="16384" width="11.42578125" style="128"/>
  </cols>
  <sheetData>
    <row r="1" spans="1:15" ht="73.5" customHeight="1">
      <c r="A1" s="2389" t="s">
        <v>1964</v>
      </c>
      <c r="B1" s="2389"/>
      <c r="C1" s="2389"/>
      <c r="D1" s="2389"/>
      <c r="E1" s="2389"/>
      <c r="F1" s="2389"/>
      <c r="G1" s="2389"/>
      <c r="H1" s="2389"/>
      <c r="I1" s="2389"/>
      <c r="J1" s="2389"/>
      <c r="K1" s="2389"/>
      <c r="L1" s="2389"/>
    </row>
    <row r="2" spans="1:15" ht="3.75" customHeight="1">
      <c r="A2" s="151"/>
      <c r="B2" s="151"/>
      <c r="C2" s="151"/>
      <c r="D2" s="151"/>
      <c r="E2" s="151"/>
      <c r="F2" s="151"/>
      <c r="G2" s="151"/>
      <c r="H2" s="151"/>
      <c r="I2" s="151"/>
      <c r="J2" s="151"/>
      <c r="K2" s="151"/>
      <c r="L2" s="151"/>
    </row>
    <row r="3" spans="1:15" ht="31.5">
      <c r="A3" s="2113" t="s">
        <v>52</v>
      </c>
      <c r="B3" s="2114" t="s">
        <v>1153</v>
      </c>
      <c r="C3" s="2114" t="s">
        <v>1152</v>
      </c>
      <c r="D3" s="2114" t="s">
        <v>463</v>
      </c>
      <c r="F3" s="149"/>
      <c r="G3" s="151"/>
      <c r="H3" s="151"/>
      <c r="I3" s="151"/>
      <c r="J3" s="151"/>
      <c r="K3" s="151"/>
      <c r="L3" s="151"/>
      <c r="M3" s="151"/>
    </row>
    <row r="4" spans="1:15" ht="15.75" hidden="1">
      <c r="A4" s="892" t="s">
        <v>946</v>
      </c>
      <c r="B4" s="893">
        <v>1242780</v>
      </c>
      <c r="C4" s="893">
        <v>2552974</v>
      </c>
      <c r="D4" s="894">
        <f t="shared" ref="D4:D9" si="0">B4/C4</f>
        <v>0.4867969669883046</v>
      </c>
      <c r="F4" s="22"/>
      <c r="G4" s="151"/>
      <c r="H4" s="151"/>
      <c r="I4" s="151"/>
      <c r="J4" s="151"/>
      <c r="K4" s="151"/>
      <c r="L4" s="151"/>
      <c r="M4" s="151"/>
      <c r="N4" s="151"/>
      <c r="O4" s="151"/>
    </row>
    <row r="5" spans="1:15" ht="15.75" hidden="1">
      <c r="A5" s="892" t="s">
        <v>1031</v>
      </c>
      <c r="B5" s="893">
        <v>1160674</v>
      </c>
      <c r="C5" s="893">
        <v>2564145</v>
      </c>
      <c r="D5" s="894">
        <f>B5/C5</f>
        <v>0.45265536855365046</v>
      </c>
      <c r="F5" s="22"/>
      <c r="G5" s="151"/>
      <c r="H5" s="151"/>
      <c r="I5" s="151"/>
      <c r="J5" s="151"/>
      <c r="K5" s="151"/>
      <c r="L5" s="151"/>
      <c r="M5" s="151"/>
      <c r="N5" s="151"/>
      <c r="O5" s="151"/>
    </row>
    <row r="6" spans="1:15" ht="15.75" hidden="1">
      <c r="A6" s="892" t="s">
        <v>1032</v>
      </c>
      <c r="B6" s="893">
        <v>1242050</v>
      </c>
      <c r="C6" s="893">
        <v>2576299</v>
      </c>
      <c r="D6" s="894">
        <f t="shared" si="0"/>
        <v>0.4821063083128162</v>
      </c>
      <c r="F6" s="22"/>
      <c r="G6" s="151"/>
      <c r="H6" s="151"/>
      <c r="I6" s="151"/>
      <c r="J6" s="151"/>
      <c r="K6" s="151"/>
      <c r="L6" s="151"/>
      <c r="M6" s="151"/>
      <c r="N6" s="151"/>
      <c r="O6" s="151"/>
    </row>
    <row r="7" spans="1:15" ht="15.75" hidden="1">
      <c r="A7" s="892" t="s">
        <v>943</v>
      </c>
      <c r="B7" s="893">
        <v>1263326</v>
      </c>
      <c r="C7" s="895">
        <v>2591066</v>
      </c>
      <c r="D7" s="1249">
        <f t="shared" si="0"/>
        <v>0.48756998084958081</v>
      </c>
      <c r="F7" s="22"/>
      <c r="G7" s="151"/>
      <c r="H7" s="151"/>
      <c r="I7" s="151"/>
      <c r="J7" s="151"/>
      <c r="K7" s="151"/>
      <c r="L7" s="151"/>
      <c r="M7" s="151"/>
      <c r="N7" s="151"/>
      <c r="O7" s="151"/>
    </row>
    <row r="8" spans="1:15" ht="15.75" hidden="1">
      <c r="A8" s="892" t="s">
        <v>957</v>
      </c>
      <c r="B8" s="893">
        <v>1232216</v>
      </c>
      <c r="C8" s="895">
        <v>2605110</v>
      </c>
      <c r="D8" s="1249">
        <f t="shared" si="0"/>
        <v>0.47299960462322127</v>
      </c>
      <c r="F8" s="22"/>
      <c r="G8" s="151"/>
      <c r="H8" s="151"/>
      <c r="I8" s="151"/>
      <c r="J8" s="151"/>
      <c r="K8" s="151"/>
      <c r="L8" s="151"/>
      <c r="M8" s="151"/>
      <c r="N8" s="151"/>
      <c r="O8" s="151"/>
    </row>
    <row r="9" spans="1:15" ht="15.75" hidden="1">
      <c r="A9" s="892" t="s">
        <v>1033</v>
      </c>
      <c r="B9" s="893">
        <v>1281168</v>
      </c>
      <c r="C9" s="895">
        <v>2617014</v>
      </c>
      <c r="D9" s="1249">
        <f t="shared" si="0"/>
        <v>0.48955336119715065</v>
      </c>
      <c r="F9" s="22"/>
      <c r="G9" s="151"/>
      <c r="H9" s="151"/>
      <c r="I9" s="151"/>
      <c r="J9" s="151"/>
      <c r="K9" s="151"/>
      <c r="L9" s="151"/>
      <c r="M9" s="151"/>
      <c r="N9" s="151"/>
      <c r="O9" s="151"/>
    </row>
    <row r="10" spans="1:15" ht="15.75" hidden="1">
      <c r="A10" s="892" t="s">
        <v>1034</v>
      </c>
      <c r="B10" s="893">
        <v>1236530</v>
      </c>
      <c r="C10" s="895">
        <v>2630146</v>
      </c>
      <c r="D10" s="1249">
        <f>B10/C10</f>
        <v>0.47013739921662145</v>
      </c>
      <c r="E10" s="22"/>
      <c r="F10" s="151"/>
      <c r="G10" s="151"/>
      <c r="H10" s="151"/>
      <c r="I10" s="151"/>
      <c r="J10" s="151"/>
      <c r="K10" s="151"/>
      <c r="L10" s="151"/>
      <c r="M10" s="151"/>
      <c r="N10" s="151"/>
    </row>
    <row r="11" spans="1:15" ht="15.75" hidden="1">
      <c r="A11" s="892" t="s">
        <v>1035</v>
      </c>
      <c r="B11" s="893">
        <v>1279009</v>
      </c>
      <c r="C11" s="895">
        <v>2642650</v>
      </c>
      <c r="D11" s="1249">
        <f t="shared" ref="D11:D16" si="1">B11/C11</f>
        <v>0.4839872854899438</v>
      </c>
      <c r="E11" s="151"/>
      <c r="F11" s="151"/>
      <c r="G11" s="151"/>
      <c r="H11" s="151"/>
      <c r="I11" s="151"/>
      <c r="J11" s="151"/>
      <c r="K11" s="151"/>
      <c r="L11" s="151"/>
      <c r="M11" s="151"/>
      <c r="N11" s="151"/>
    </row>
    <row r="12" spans="1:15" ht="15.75" hidden="1">
      <c r="A12" s="892" t="s">
        <v>1022</v>
      </c>
      <c r="B12" s="893">
        <v>1260233</v>
      </c>
      <c r="C12" s="895">
        <v>2655996</v>
      </c>
      <c r="D12" s="1355">
        <f t="shared" si="1"/>
        <v>0.47448603085245611</v>
      </c>
      <c r="E12" s="151"/>
      <c r="F12" s="151"/>
      <c r="G12" s="151"/>
      <c r="H12" s="151"/>
      <c r="I12" s="151"/>
      <c r="J12" s="151"/>
      <c r="K12" s="151"/>
      <c r="L12" s="151"/>
      <c r="M12" s="151"/>
      <c r="N12" s="151"/>
    </row>
    <row r="13" spans="1:15" ht="15.75" hidden="1">
      <c r="A13" s="892" t="s">
        <v>1038</v>
      </c>
      <c r="B13" s="893">
        <v>1240431</v>
      </c>
      <c r="C13" s="895">
        <v>2669917</v>
      </c>
      <c r="D13" s="1355">
        <f t="shared" si="1"/>
        <v>0.46459534135330799</v>
      </c>
      <c r="E13" s="151"/>
      <c r="F13" s="151"/>
      <c r="G13" s="151"/>
      <c r="H13" s="151"/>
      <c r="I13" s="151"/>
      <c r="J13" s="151"/>
      <c r="K13" s="151"/>
      <c r="L13" s="151"/>
      <c r="M13" s="151"/>
      <c r="N13" s="151"/>
    </row>
    <row r="14" spans="1:15" ht="15.75" hidden="1">
      <c r="A14" s="892" t="s">
        <v>1051</v>
      </c>
      <c r="B14" s="893">
        <v>1287611</v>
      </c>
      <c r="C14" s="895">
        <v>2684138</v>
      </c>
      <c r="D14" s="1355">
        <f t="shared" si="1"/>
        <v>0.47971117729416296</v>
      </c>
    </row>
    <row r="15" spans="1:15" ht="15.75" hidden="1">
      <c r="A15" s="892" t="s">
        <v>1050</v>
      </c>
      <c r="B15" s="893">
        <v>1273247</v>
      </c>
      <c r="C15" s="895">
        <v>2699249</v>
      </c>
      <c r="D15" s="1355">
        <f t="shared" si="1"/>
        <v>0.47170416660337744</v>
      </c>
    </row>
    <row r="16" spans="1:15" ht="15.75" hidden="1">
      <c r="A16" s="892" t="s">
        <v>1076</v>
      </c>
      <c r="B16" s="893">
        <v>1291137</v>
      </c>
      <c r="C16" s="895">
        <v>2714449</v>
      </c>
      <c r="D16" s="1355">
        <f t="shared" si="1"/>
        <v>0.47565343832210516</v>
      </c>
    </row>
    <row r="17" spans="1:4" ht="15.75" hidden="1">
      <c r="A17" s="892" t="s">
        <v>1124</v>
      </c>
      <c r="B17" s="893">
        <f>+'V.1.2 Afil. cotiz.'!C14</f>
        <v>1376966</v>
      </c>
      <c r="C17" s="895">
        <f>+'V.1.2 Afil. cotiz.'!B14</f>
        <v>2881130</v>
      </c>
      <c r="D17" s="1355">
        <f t="shared" ref="D17:D22" si="2">B17/C17</f>
        <v>0.47792567499557465</v>
      </c>
    </row>
    <row r="18" spans="1:4" ht="15.75" hidden="1">
      <c r="A18" s="892" t="s">
        <v>1232</v>
      </c>
      <c r="B18" s="893">
        <v>1284535</v>
      </c>
      <c r="C18" s="895">
        <v>2738417</v>
      </c>
      <c r="D18" s="1355">
        <f t="shared" si="2"/>
        <v>0.46907939879134553</v>
      </c>
    </row>
    <row r="19" spans="1:4" ht="15.75" hidden="1">
      <c r="A19" s="892" t="s">
        <v>1309</v>
      </c>
      <c r="B19" s="893">
        <v>1316873</v>
      </c>
      <c r="C19" s="895">
        <v>2753791</v>
      </c>
      <c r="D19" s="1355">
        <f t="shared" si="2"/>
        <v>0.47820368357656773</v>
      </c>
    </row>
    <row r="20" spans="1:4" ht="15.75" hidden="1">
      <c r="A20" s="892" t="s">
        <v>1317</v>
      </c>
      <c r="B20" s="893">
        <v>1304070</v>
      </c>
      <c r="C20" s="895">
        <v>2767996</v>
      </c>
      <c r="D20" s="1355">
        <f t="shared" si="2"/>
        <v>0.47112423572866435</v>
      </c>
    </row>
    <row r="21" spans="1:4" ht="15.75" hidden="1">
      <c r="A21" s="892" t="s">
        <v>1331</v>
      </c>
      <c r="B21" s="893">
        <v>1345058</v>
      </c>
      <c r="C21" s="895">
        <v>2781822</v>
      </c>
      <c r="D21" s="1355">
        <f t="shared" si="2"/>
        <v>0.48351691804867458</v>
      </c>
    </row>
    <row r="22" spans="1:4" ht="15.75" hidden="1">
      <c r="A22" s="892" t="s">
        <v>1403</v>
      </c>
      <c r="B22" s="893">
        <v>1333316</v>
      </c>
      <c r="C22" s="895">
        <v>2797275</v>
      </c>
      <c r="D22" s="1355">
        <f t="shared" si="2"/>
        <v>0.47664816651920172</v>
      </c>
    </row>
    <row r="23" spans="1:4" ht="15.75" hidden="1">
      <c r="A23" s="892" t="s">
        <v>1425</v>
      </c>
      <c r="B23" s="893">
        <v>1349327</v>
      </c>
      <c r="C23" s="895">
        <v>2810420</v>
      </c>
      <c r="D23" s="1355">
        <f t="shared" ref="D23:D28" si="3">B23/C23</f>
        <v>0.48011578340603894</v>
      </c>
    </row>
    <row r="24" spans="1:4" ht="15.75" hidden="1">
      <c r="A24" s="892" t="s">
        <v>1436</v>
      </c>
      <c r="B24" s="893">
        <v>1336030</v>
      </c>
      <c r="C24" s="895">
        <v>2824402</v>
      </c>
      <c r="D24" s="1355">
        <f t="shared" si="3"/>
        <v>0.47303110534548554</v>
      </c>
    </row>
    <row r="25" spans="1:4" ht="15.75" hidden="1">
      <c r="A25" s="892" t="s">
        <v>1442</v>
      </c>
      <c r="B25" s="893">
        <v>1335886</v>
      </c>
      <c r="C25" s="895">
        <v>2837928</v>
      </c>
      <c r="D25" s="1355">
        <f t="shared" si="3"/>
        <v>0.47072582532044505</v>
      </c>
    </row>
    <row r="26" spans="1:4" ht="15.75" hidden="1">
      <c r="A26" s="892" t="s">
        <v>1625</v>
      </c>
      <c r="B26" s="893">
        <v>1366703</v>
      </c>
      <c r="C26" s="895">
        <v>2851044</v>
      </c>
      <c r="D26" s="1355">
        <f t="shared" si="3"/>
        <v>0.47936931173282488</v>
      </c>
    </row>
    <row r="27" spans="1:4" ht="15.75" hidden="1">
      <c r="A27" s="2115" t="s">
        <v>1628</v>
      </c>
      <c r="B27" s="893">
        <v>1338335</v>
      </c>
      <c r="C27" s="895">
        <v>2866790</v>
      </c>
      <c r="D27" s="1355">
        <f t="shared" si="3"/>
        <v>0.46684096149351711</v>
      </c>
    </row>
    <row r="28" spans="1:4" ht="15.75">
      <c r="A28" s="2115" t="s">
        <v>1644</v>
      </c>
      <c r="B28" s="893">
        <v>1376966</v>
      </c>
      <c r="C28" s="895">
        <v>2881130</v>
      </c>
      <c r="D28" s="1355">
        <f t="shared" si="3"/>
        <v>0.47792567499557465</v>
      </c>
    </row>
    <row r="29" spans="1:4" ht="15.75">
      <c r="A29" s="2115" t="s">
        <v>1657</v>
      </c>
      <c r="B29" s="893">
        <v>1324202</v>
      </c>
      <c r="C29" s="895">
        <v>2893593</v>
      </c>
      <c r="D29" s="1355">
        <f t="shared" ref="D29:D34" si="4">B29/C29</f>
        <v>0.45763243137511045</v>
      </c>
    </row>
    <row r="30" spans="1:4" ht="15.75">
      <c r="A30" s="2115" t="s">
        <v>1733</v>
      </c>
      <c r="B30" s="893">
        <v>1363785</v>
      </c>
      <c r="C30" s="895">
        <v>2907007</v>
      </c>
      <c r="D30" s="1355">
        <f t="shared" si="4"/>
        <v>0.46913715722046767</v>
      </c>
    </row>
    <row r="31" spans="1:4" ht="15.75">
      <c r="A31" s="2115" t="s">
        <v>1750</v>
      </c>
      <c r="B31" s="893">
        <v>1406908</v>
      </c>
      <c r="C31" s="895">
        <v>2923456</v>
      </c>
      <c r="D31" s="1355">
        <f t="shared" si="4"/>
        <v>0.48124822128330302</v>
      </c>
    </row>
    <row r="32" spans="1:4" ht="15.75">
      <c r="A32" s="2115" t="s">
        <v>1756</v>
      </c>
      <c r="B32" s="893">
        <v>1414140</v>
      </c>
      <c r="C32" s="895">
        <v>2938981</v>
      </c>
      <c r="D32" s="1355">
        <f t="shared" si="4"/>
        <v>0.48116677174843936</v>
      </c>
    </row>
    <row r="33" spans="1:4" ht="15.75">
      <c r="A33" s="2115" t="s">
        <v>1852</v>
      </c>
      <c r="B33" s="893">
        <v>1417833</v>
      </c>
      <c r="C33" s="895">
        <v>2953804</v>
      </c>
      <c r="D33" s="1355">
        <f t="shared" si="4"/>
        <v>0.48000239690920588</v>
      </c>
    </row>
    <row r="34" spans="1:4" ht="15.75">
      <c r="A34" s="2115" t="s">
        <v>1868</v>
      </c>
      <c r="B34" s="893">
        <v>1429452</v>
      </c>
      <c r="C34" s="895">
        <v>2968885</v>
      </c>
      <c r="D34" s="1355">
        <f t="shared" si="4"/>
        <v>0.48147772648654291</v>
      </c>
    </row>
    <row r="35" spans="1:4" ht="15.75">
      <c r="A35" s="2115" t="s">
        <v>1872</v>
      </c>
      <c r="B35" s="893">
        <v>1449141</v>
      </c>
      <c r="C35" s="895">
        <v>2983609</v>
      </c>
      <c r="D35" s="1355">
        <f t="shared" ref="D35:D40" si="5">B35/C35</f>
        <v>0.48570070676150928</v>
      </c>
    </row>
    <row r="36" spans="1:4" ht="15.75">
      <c r="A36" s="2115" t="s">
        <v>1874</v>
      </c>
      <c r="B36" s="893">
        <v>1420010</v>
      </c>
      <c r="C36" s="893">
        <v>3000209</v>
      </c>
      <c r="D36" s="1355">
        <f t="shared" si="5"/>
        <v>0.4733036931760421</v>
      </c>
    </row>
    <row r="37" spans="1:4" ht="15.75">
      <c r="A37" s="2115" t="s">
        <v>1887</v>
      </c>
      <c r="B37" s="893">
        <v>1451258</v>
      </c>
      <c r="C37" s="893">
        <v>3015120</v>
      </c>
      <c r="D37" s="1355">
        <f t="shared" si="5"/>
        <v>0.48132677969699383</v>
      </c>
    </row>
    <row r="38" spans="1:4" ht="15.75">
      <c r="A38" s="2115" t="s">
        <v>1901</v>
      </c>
      <c r="B38" s="893">
        <v>1472311</v>
      </c>
      <c r="C38" s="893">
        <v>3032720</v>
      </c>
      <c r="D38" s="1355">
        <f t="shared" si="5"/>
        <v>0.48547541480914824</v>
      </c>
    </row>
    <row r="39" spans="1:4" ht="15.75">
      <c r="A39" s="2115" t="s">
        <v>1906</v>
      </c>
      <c r="B39" s="893">
        <v>1444579</v>
      </c>
      <c r="C39" s="893">
        <v>3053477</v>
      </c>
      <c r="D39" s="1355">
        <f t="shared" si="5"/>
        <v>0.47309313284495019</v>
      </c>
    </row>
    <row r="40" spans="1:4" ht="15.75">
      <c r="A40" s="2115" t="s">
        <v>1927</v>
      </c>
      <c r="B40" s="893">
        <v>1508392</v>
      </c>
      <c r="C40" s="893">
        <v>3069900</v>
      </c>
      <c r="D40" s="1355">
        <f t="shared" si="5"/>
        <v>0.49134890387309033</v>
      </c>
    </row>
  </sheetData>
  <mergeCells count="1">
    <mergeCell ref="A1:L1"/>
  </mergeCells>
  <printOptions horizontalCentered="1" verticalCentered="1"/>
  <pageMargins left="0.4" right="0.4" top="0.25" bottom="0.25" header="0.31496062992126" footer="0.31496062992126"/>
  <pageSetup scale="7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60"/>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36.5703125" customWidth="1"/>
    <col min="2" max="2" width="21.85546875" customWidth="1"/>
    <col min="3" max="3" width="17.7109375" customWidth="1"/>
    <col min="4" max="4" width="23" customWidth="1"/>
    <col min="5" max="5" width="16.140625" customWidth="1"/>
    <col min="6" max="6" width="12.5703125" style="128" customWidth="1"/>
    <col min="7" max="7" width="13.5703125" style="128" customWidth="1"/>
    <col min="8" max="8" width="14.7109375" style="128" customWidth="1"/>
    <col min="9" max="9" width="13.42578125" style="128" customWidth="1"/>
    <col min="10" max="10" width="10.42578125" style="128" customWidth="1"/>
    <col min="11" max="11" width="13.5703125" style="128" customWidth="1"/>
    <col min="12" max="12" width="16.5703125" style="128" customWidth="1"/>
    <col min="13" max="13" width="11.42578125" customWidth="1"/>
    <col min="14" max="14" width="13" customWidth="1"/>
  </cols>
  <sheetData>
    <row r="1" spans="1:12" ht="93" customHeight="1">
      <c r="A1" s="2435" t="s">
        <v>1965</v>
      </c>
      <c r="B1" s="2435"/>
      <c r="C1" s="2435"/>
      <c r="D1" s="2435"/>
      <c r="E1" s="2435"/>
      <c r="F1" s="2435"/>
      <c r="G1" s="2435"/>
      <c r="H1" s="2435"/>
      <c r="I1" s="2435"/>
      <c r="J1" s="2435"/>
      <c r="K1" s="2435"/>
      <c r="L1" s="2435"/>
    </row>
    <row r="2" spans="1:12" ht="3" customHeight="1"/>
    <row r="3" spans="1:12" ht="45" customHeight="1">
      <c r="A3" s="2116" t="s">
        <v>1129</v>
      </c>
      <c r="B3" s="2116" t="s">
        <v>1143</v>
      </c>
      <c r="C3" s="2116" t="s">
        <v>50</v>
      </c>
      <c r="D3" s="2116" t="s">
        <v>1202</v>
      </c>
    </row>
    <row r="4" spans="1:12" ht="18.75">
      <c r="A4" s="2117" t="s">
        <v>103</v>
      </c>
      <c r="B4" s="1251">
        <v>22237</v>
      </c>
      <c r="C4" s="1251">
        <v>11274</v>
      </c>
      <c r="D4" s="2105">
        <f>+C4/B4</f>
        <v>0.50699284975491299</v>
      </c>
      <c r="E4" s="1104">
        <f t="shared" ref="E4:E11" si="0">1-D4</f>
        <v>0.49300715024508701</v>
      </c>
      <c r="F4" s="1104"/>
      <c r="G4" s="1104" t="s">
        <v>1905</v>
      </c>
      <c r="H4" s="1104"/>
      <c r="I4" s="1104"/>
      <c r="J4" s="1104"/>
      <c r="K4" s="1104"/>
      <c r="L4" s="1104"/>
    </row>
    <row r="5" spans="1:12" ht="18.75">
      <c r="A5" s="2117" t="s">
        <v>113</v>
      </c>
      <c r="B5" s="1251">
        <v>377667</v>
      </c>
      <c r="C5" s="1251">
        <v>205118</v>
      </c>
      <c r="D5" s="2105">
        <f t="shared" ref="D5:D10" si="1">+C5/B5</f>
        <v>0.54311867332862018</v>
      </c>
      <c r="E5" s="128"/>
    </row>
    <row r="6" spans="1:12" ht="18.75">
      <c r="A6" s="2117" t="s">
        <v>105</v>
      </c>
      <c r="B6" s="1251">
        <v>593661</v>
      </c>
      <c r="C6" s="1251">
        <v>275702</v>
      </c>
      <c r="D6" s="2105">
        <f t="shared" si="1"/>
        <v>0.46440982311453843</v>
      </c>
      <c r="E6" s="1104">
        <f t="shared" si="0"/>
        <v>0.53559017688546162</v>
      </c>
      <c r="F6" s="1104"/>
      <c r="G6" s="1104"/>
      <c r="H6" s="1104"/>
      <c r="I6" s="1104"/>
      <c r="J6" s="1104"/>
      <c r="K6" s="1104"/>
      <c r="L6" s="1104"/>
    </row>
    <row r="7" spans="1:12" ht="18.75">
      <c r="A7" s="2117" t="s">
        <v>112</v>
      </c>
      <c r="B7" s="1251">
        <v>911296</v>
      </c>
      <c r="C7" s="1251">
        <v>447951</v>
      </c>
      <c r="D7" s="2105">
        <f t="shared" si="1"/>
        <v>0.49155378713392794</v>
      </c>
      <c r="E7" s="1104">
        <f t="shared" si="0"/>
        <v>0.50844621286607206</v>
      </c>
      <c r="F7" s="1104"/>
      <c r="G7" s="128" t="s">
        <v>36</v>
      </c>
      <c r="L7" s="1104"/>
    </row>
    <row r="8" spans="1:12" ht="18.75">
      <c r="A8" s="2117" t="s">
        <v>104</v>
      </c>
      <c r="B8" s="1251">
        <v>960747</v>
      </c>
      <c r="C8" s="1251">
        <v>433287</v>
      </c>
      <c r="D8" s="2105">
        <f t="shared" si="1"/>
        <v>0.45098969864074517</v>
      </c>
      <c r="E8" s="1104">
        <f t="shared" si="0"/>
        <v>0.54901030135925488</v>
      </c>
      <c r="F8" s="1104"/>
      <c r="G8" s="1104"/>
      <c r="H8" s="1104"/>
      <c r="I8" s="1104"/>
      <c r="J8" s="1104"/>
      <c r="K8" s="1104"/>
      <c r="L8" s="1104"/>
    </row>
    <row r="9" spans="1:12" ht="18.75">
      <c r="A9" s="2117" t="s">
        <v>257</v>
      </c>
      <c r="B9" s="1251">
        <v>96183</v>
      </c>
      <c r="C9" s="1251">
        <v>84872</v>
      </c>
      <c r="D9" s="2105">
        <f t="shared" si="1"/>
        <v>0.88240125593919927</v>
      </c>
      <c r="E9" s="1104">
        <f t="shared" si="0"/>
        <v>0.11759874406080073</v>
      </c>
      <c r="L9" s="1104"/>
    </row>
    <row r="10" spans="1:12" ht="18.75">
      <c r="A10" s="2117" t="s">
        <v>196</v>
      </c>
      <c r="B10" s="1251">
        <v>108109</v>
      </c>
      <c r="C10" s="1251">
        <v>42017</v>
      </c>
      <c r="D10" s="2105">
        <f t="shared" si="1"/>
        <v>0.38865404360414024</v>
      </c>
      <c r="E10" s="1104">
        <f t="shared" si="0"/>
        <v>0.61134595639585976</v>
      </c>
      <c r="J10" s="1104"/>
      <c r="K10" s="1104"/>
      <c r="L10" s="1104"/>
    </row>
    <row r="11" spans="1:12" ht="21" customHeight="1">
      <c r="A11" s="2117" t="s">
        <v>1203</v>
      </c>
      <c r="B11" s="1285"/>
      <c r="C11" s="1251">
        <v>8171</v>
      </c>
      <c r="D11" s="2105"/>
      <c r="E11" s="1104">
        <f t="shared" si="0"/>
        <v>1</v>
      </c>
      <c r="L11" s="1104"/>
    </row>
    <row r="12" spans="1:12" ht="20.25" customHeight="1">
      <c r="A12" s="2117" t="s">
        <v>23</v>
      </c>
      <c r="B12" s="2117">
        <f>SUM(B4:B11)</f>
        <v>3069900</v>
      </c>
      <c r="C12" s="2117">
        <f>SUM(C4:C11)</f>
        <v>1508392</v>
      </c>
      <c r="D12" s="2117"/>
      <c r="E12" s="128"/>
      <c r="J12" s="1104"/>
      <c r="K12" s="1104"/>
    </row>
    <row r="13" spans="1:12">
      <c r="B13" s="128"/>
      <c r="G13" s="74"/>
      <c r="H13" s="74"/>
      <c r="I13" s="74"/>
    </row>
    <row r="14" spans="1:12">
      <c r="G14" s="74"/>
      <c r="H14" s="74"/>
      <c r="I14" s="74"/>
    </row>
    <row r="17" ht="17.25" customHeight="1"/>
    <row r="18" ht="17.25" customHeight="1"/>
    <row r="19" ht="16.5" customHeight="1"/>
    <row r="58" spans="1:1">
      <c r="A58" s="128"/>
    </row>
    <row r="59" spans="1:1">
      <c r="A59" s="128"/>
    </row>
    <row r="60" spans="1:1">
      <c r="A60" s="128"/>
    </row>
  </sheetData>
  <sortState ref="A4:D8">
    <sortCondition ref="B4"/>
  </sortState>
  <mergeCells count="1">
    <mergeCell ref="A1:L1"/>
  </mergeCells>
  <pageMargins left="0.7" right="0.7" top="0.75" bottom="0.75" header="0.3" footer="0.3"/>
  <pageSetup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182</vt:i4>
      </vt:variant>
      <vt:variant>
        <vt:lpstr>Rangos con nombre</vt:lpstr>
      </vt:variant>
      <vt:variant>
        <vt:i4>175</vt:i4>
      </vt:variant>
    </vt:vector>
  </HeadingPairs>
  <TitlesOfParts>
    <vt:vector size="357" baseType="lpstr">
      <vt:lpstr>Present.</vt:lpstr>
      <vt:lpstr>Contenido.</vt:lpstr>
      <vt:lpstr>Contenido</vt:lpstr>
      <vt:lpstr>HOME2</vt:lpstr>
      <vt:lpstr> SDSS Definiciones (1)</vt:lpstr>
      <vt:lpstr> SDSS Definiciones (2)</vt:lpstr>
      <vt:lpstr> SDSS Definiciones (3)</vt:lpstr>
      <vt:lpstr> SDSS Definiciones (4)</vt:lpstr>
      <vt:lpstr>SDSS</vt:lpstr>
      <vt:lpstr>I.1.1 Cobertura SDSS </vt:lpstr>
      <vt:lpstr>I.1.2 Cobertura SDSS</vt:lpstr>
      <vt:lpstr>I.1.3 Cobertura SDSS </vt:lpstr>
      <vt:lpstr>I.1.4 Afil. SDSS Anual</vt:lpstr>
      <vt:lpstr>Hoja3</vt:lpstr>
      <vt:lpstr>I.1.6 Proy. afil.Vs pobl.</vt:lpstr>
      <vt:lpstr>Afil. mensual (Mod.)</vt:lpstr>
      <vt:lpstr>I.2.1 Empl x sector </vt:lpstr>
      <vt:lpstr>I.2.2 Empr x No. de empl</vt:lpstr>
      <vt:lpstr>I.2.3 Salario prom.</vt:lpstr>
      <vt:lpstr>II.1 Pob. econ. </vt:lpstr>
      <vt:lpstr>II.2 Ocup. formal </vt:lpstr>
      <vt:lpstr>III.1 Ingr y egr SDSS</vt:lpstr>
      <vt:lpstr>Recaudo x sector</vt:lpstr>
      <vt:lpstr>Rec. x origen</vt:lpstr>
      <vt:lpstr>Aport.Gob.SS</vt:lpstr>
      <vt:lpstr>RC</vt:lpstr>
      <vt:lpstr>IV.1.1.1 Afil. SFS RC Anual </vt:lpstr>
      <vt:lpstr>Ind. Depend SFS RC Anual</vt:lpstr>
      <vt:lpstr>Afil. anual SFS( Mod)</vt:lpstr>
      <vt:lpstr>IV.1.1.2 Afil. SFS RC Mensual </vt:lpstr>
      <vt:lpstr>IV.1.1.3 Ind. Dep SFS RC Mens</vt:lpstr>
      <vt:lpstr>IV.1.1.4 Tit. Vs pob ocup.</vt:lpstr>
      <vt:lpstr>IV.1.1.5.Afil. SFS x ARS</vt:lpstr>
      <vt:lpstr>IV.1.1.6. Afil. SFS.Región.stat</vt:lpstr>
      <vt:lpstr>IV.1.1.7. Afil. SFS.Región.Edad</vt:lpstr>
      <vt:lpstr>IV.1.1.8 Afil. SFS.Prov.Edad</vt:lpstr>
      <vt:lpstr>IV.1.1.9 Afil. SFS.Prov.Sector</vt:lpstr>
      <vt:lpstr>IV.1.1.10 Afil. SFS.Prov.EPriv</vt:lpstr>
      <vt:lpstr>IV.1.1.11 Afil.SFS.Prov EPub D </vt:lpstr>
      <vt:lpstr>IV.1.1.12 Afil. SFS.Prov.EPub.C</vt:lpstr>
      <vt:lpstr>IV.1.1.13 Afil.SFS.Art.124 Ley</vt:lpstr>
      <vt:lpstr>IV.1.1.14 Comparativo afil.edad</vt:lpstr>
      <vt:lpstr>IV.1.1.15 Comp. afil. región</vt:lpstr>
      <vt:lpstr>IV.1.2.1 Rec. disp. salud</vt:lpstr>
      <vt:lpstr>Dep y Tit por mes</vt:lpstr>
      <vt:lpstr>IV.1.2.2 Disp. SFS</vt:lpstr>
      <vt:lpstr>IV.1.2.3 Dip. SFS mensual</vt:lpstr>
      <vt:lpstr>IV.1.2.4 Disp. x ARS 2</vt:lpstr>
      <vt:lpstr>IV.1.2.5 Disp. x ARS</vt:lpstr>
      <vt:lpstr>Total Afil.Mas 50</vt:lpstr>
      <vt:lpstr>Total Afiliados &lt;50</vt:lpstr>
      <vt:lpstr>IV.1.3.1 Por cuentas</vt:lpstr>
      <vt:lpstr>IV.1.3.2 Por entidad</vt:lpstr>
      <vt:lpstr>Afil. anual SFS RS (Mod)</vt:lpstr>
      <vt:lpstr>G1.RC</vt:lpstr>
      <vt:lpstr>G2.RC</vt:lpstr>
      <vt:lpstr>G4.RC</vt:lpstr>
      <vt:lpstr>G5.RC</vt:lpstr>
      <vt:lpstr>G6.RC</vt:lpstr>
      <vt:lpstr>G7.RC</vt:lpstr>
      <vt:lpstr>IV.1.2.6 Gast.Salud</vt:lpstr>
      <vt:lpstr>RS</vt:lpstr>
      <vt:lpstr>IV.2.1.1 fil anual SFS RS </vt:lpstr>
      <vt:lpstr>IV.2.1.2 Afil. RS mensual</vt:lpstr>
      <vt:lpstr>IV.2.1.3 Afil. SFS RS Vs pob.</vt:lpstr>
      <vt:lpstr>IV.2.1.4 Afil. SFS Rs Vs pob 3</vt:lpstr>
      <vt:lpstr>IV.2.1.5 Afil. SFS RS Vs pob 4</vt:lpstr>
      <vt:lpstr>IV.2.1.6 Ind. depend.</vt:lpstr>
      <vt:lpstr>IV.2.2.1 Aport. Disp. RS</vt:lpstr>
      <vt:lpstr>IV.2.2.2 Saldos RS mensual</vt:lpstr>
      <vt:lpstr>G1.RS</vt:lpstr>
      <vt:lpstr>G2.RS</vt:lpstr>
      <vt:lpstr>G3.RS</vt:lpstr>
      <vt:lpstr>G4.RS</vt:lpstr>
      <vt:lpstr>G5.RS</vt:lpstr>
      <vt:lpstr>G6.RS</vt:lpstr>
      <vt:lpstr>G7.RS</vt:lpstr>
      <vt:lpstr>G8.RS</vt:lpstr>
      <vt:lpstr>G9.RS</vt:lpstr>
      <vt:lpstr>G10.RS</vt:lpstr>
      <vt:lpstr>RET</vt:lpstr>
      <vt:lpstr>IV.3.1 Afil. SFSP Anual.</vt:lpstr>
      <vt:lpstr>IV.3.2 Afil. SFSP Mensual</vt:lpstr>
      <vt:lpstr>IV.3.3 Disp.SFS Pens.x ARS</vt:lpstr>
      <vt:lpstr>EI</vt:lpstr>
      <vt:lpstr>IV.4.1.1 Afil. a EI</vt:lpstr>
      <vt:lpstr>IV.4.1.2 Afil. a EI (2)</vt:lpstr>
      <vt:lpstr>IV.4.1.3 Evol. afil. EI</vt:lpstr>
      <vt:lpstr>Rec. y dip. EI</vt:lpstr>
      <vt:lpstr>IV.4.1.2 Afil. a EI (3)</vt:lpstr>
      <vt:lpstr>IV.4.1.4 EI Estancias</vt:lpstr>
      <vt:lpstr>Subsidios</vt:lpstr>
      <vt:lpstr>IV.4.2.1 Benef. subsid</vt:lpstr>
      <vt:lpstr>IV.4.2.2 Monto subsid</vt:lpstr>
      <vt:lpstr>SVDS</vt:lpstr>
      <vt:lpstr>V.1.1 Afil. SVDS</vt:lpstr>
      <vt:lpstr>V.1.2 Afil. cotiz.</vt:lpstr>
      <vt:lpstr>V.1.3 Afil. SVDS mensual</vt:lpstr>
      <vt:lpstr>%Cotiz. x AFP</vt:lpstr>
      <vt:lpstr>V.1.4 Afil. SVDS x sexo</vt:lpstr>
      <vt:lpstr>V.1.5 Cotiz. x rango de edad</vt:lpstr>
      <vt:lpstr>V.1.5 Cotiz. x rango de edad (2</vt:lpstr>
      <vt:lpstr>V.1.6 Cotiz x sal. min. cot.</vt:lpstr>
      <vt:lpstr>V.1.7 Cotiz.x AFP y fondos</vt:lpstr>
      <vt:lpstr>V.1.8 Cotiz. x sexo </vt:lpstr>
      <vt:lpstr>V1.8Cot.Afil X Sexo</vt:lpstr>
      <vt:lpstr>V.2.1 Disp. SVDS</vt:lpstr>
      <vt:lpstr>V.2.2 Disp. anual  x cuentas</vt:lpstr>
      <vt:lpstr>V.3.1 Traspasos anual</vt:lpstr>
      <vt:lpstr>V.3.2 Trasp. recibidos</vt:lpstr>
      <vt:lpstr>V.3.3 Trasp. cedidos</vt:lpstr>
      <vt:lpstr>V.3.4 Trasp. netos</vt:lpstr>
      <vt:lpstr>V.4.1 Pensiones por año</vt:lpstr>
      <vt:lpstr>V.4.2 PEA_Pensiones_Género</vt:lpstr>
      <vt:lpstr>V.4.3 Pensiones Sob.Disc</vt:lpstr>
      <vt:lpstr>V.4.4. Pens.Disc. AFP</vt:lpstr>
      <vt:lpstr>Hoja1</vt:lpstr>
      <vt:lpstr>V.5.1 Patrim. fp anual</vt:lpstr>
      <vt:lpstr>V.5.2 Cartera de inv fp</vt:lpstr>
      <vt:lpstr>V.5.4 Comp. Cartera</vt:lpstr>
      <vt:lpstr>3.9.2.f</vt:lpstr>
      <vt:lpstr>V.5.3 Rent. nom. de los FP</vt:lpstr>
      <vt:lpstr>23.Rentab.Real</vt:lpstr>
      <vt:lpstr>SRL</vt:lpstr>
      <vt:lpstr>VI.1.1 Afil. SRL</vt:lpstr>
      <vt:lpstr>VI.1.2 Afil. SRL x sexoy edad</vt:lpstr>
      <vt:lpstr>VI.1.3 Afil. ARL x riesgo</vt:lpstr>
      <vt:lpstr>VI.2.1 Disp. anual ARL</vt:lpstr>
      <vt:lpstr>VI.2.2 Disp. mensual a ARL</vt:lpstr>
      <vt:lpstr>VI.3.1 NA. Reportes ARL</vt:lpstr>
      <vt:lpstr>VI.3.2 ID. Accidentabilidad</vt:lpstr>
      <vt:lpstr>VI.3.3 NA.Cant. accid x región</vt:lpstr>
      <vt:lpstr>VI.3.4 NA.Cant. accid x Prov.)</vt:lpstr>
      <vt:lpstr>VI.3.5 NA.Cant. accid x Proced.</vt:lpstr>
      <vt:lpstr>VI.3.6 Accid x activ. econ.</vt:lpstr>
      <vt:lpstr> VI.3.7 Accid x ocupación</vt:lpstr>
      <vt:lpstr> VI.3.8 NA.Cant. accid x sector</vt:lpstr>
      <vt:lpstr>VI.3.10 Accid x sexo</vt:lpstr>
      <vt:lpstr>VI.3.14 Accid x Escolaridad</vt:lpstr>
      <vt:lpstr>VI.3.9 Accid x sector </vt:lpstr>
      <vt:lpstr>VI.3.11 Accid x sexo </vt:lpstr>
      <vt:lpstr>VI.3.12 Accid x rango de edad</vt:lpstr>
      <vt:lpstr>VI.3.13 Accid x edad</vt:lpstr>
      <vt:lpstr>VI.3.16 EC. Accid. Lab</vt:lpstr>
      <vt:lpstr>VI.3.15 EC. Accid. Lab.</vt:lpstr>
      <vt:lpstr>VI.3.17 EC. Accid. Lab x tipo</vt:lpstr>
      <vt:lpstr>VI.3.18 EC. Accid. Lab x Lesión</vt:lpstr>
      <vt:lpstr>VI.3.19 Accid.Lab suceso</vt:lpstr>
      <vt:lpstr>VI.3.20 EC. x mecanismo causal</vt:lpstr>
      <vt:lpstr>VI.3.21 EC. x Agente daño</vt:lpstr>
      <vt:lpstr>VI.3.22 EC. x  lugar de accid.</vt:lpstr>
      <vt:lpstr>VI.3.23 Exped. Calif. x antig.</vt:lpstr>
      <vt:lpstr>VI.3.24 EC. Accid incapac.</vt:lpstr>
      <vt:lpstr>VI.3.25 EC. Enferm. Prof (R)</vt:lpstr>
      <vt:lpstr>VI.3.26 EC. Accid Lab.(R)</vt:lpstr>
      <vt:lpstr>VI.3.27. Accid. Aprobxtipo</vt:lpstr>
      <vt:lpstr>VI.3.28. Accid. Aprob xLesión </vt:lpstr>
      <vt:lpstr>VI.3.29 Accid.Aprob Según suc.</vt:lpstr>
      <vt:lpstr>VI.3.30 Pagos de ARLSS</vt:lpstr>
      <vt:lpstr>VI.4.1 Prest. econ. SRL</vt:lpstr>
      <vt:lpstr>VI.4.2 Gastos med. ARL</vt:lpstr>
      <vt:lpstr>VI.4.3 Gastos prevenc. riesgos</vt:lpstr>
      <vt:lpstr>VI.4.4 Pensión sobrev. ARL</vt:lpstr>
      <vt:lpstr>VI.4.5 Pensión discap ARL</vt:lpstr>
      <vt:lpstr>VI.4.6 Discap. temporal ARL</vt:lpstr>
      <vt:lpstr>VI.4.7 Indemniz.ARL</vt:lpstr>
      <vt:lpstr>VI.4.8 Remuneración SRL</vt:lpstr>
      <vt:lpstr>VI.4.9 Beneficios SRL</vt:lpstr>
      <vt:lpstr>CMNR</vt:lpstr>
      <vt:lpstr>VII.1 CMR</vt:lpstr>
      <vt:lpstr>VII.1 CMR </vt:lpstr>
      <vt:lpstr>VII.1 CMR (2)</vt:lpstr>
      <vt:lpstr>Status</vt:lpstr>
      <vt:lpstr>Apelaciones1</vt:lpstr>
      <vt:lpstr>Apelaciones2</vt:lpstr>
      <vt:lpstr>Por Entidad Receptora Origen</vt:lpstr>
      <vt:lpstr>VIII.1 Sol.Pensiones</vt:lpstr>
      <vt:lpstr>VIII.2 Sol.Ent.Sal.</vt:lpstr>
      <vt:lpstr>VIII.3 Sol.Realiz.Entid.</vt:lpstr>
      <vt:lpstr>Hoja2</vt:lpstr>
      <vt:lpstr>Hoja4</vt:lpstr>
      <vt:lpstr>Hoja5</vt:lpstr>
      <vt:lpstr>' SDSS Definiciones (1)'!Área_de_impresión</vt:lpstr>
      <vt:lpstr>' SDSS Definiciones (2)'!Área_de_impresión</vt:lpstr>
      <vt:lpstr>' SDSS Definiciones (3)'!Área_de_impresión</vt:lpstr>
      <vt:lpstr>' SDSS Definiciones (4)'!Área_de_impresión</vt:lpstr>
      <vt:lpstr>' VI.3.7 Accid x ocupación'!Área_de_impresión</vt:lpstr>
      <vt:lpstr>' VI.3.8 NA.Cant. accid x sector'!Área_de_impresión</vt:lpstr>
      <vt:lpstr>'%Cotiz. x AFP'!Área_de_impresión</vt:lpstr>
      <vt:lpstr>'23.Rentab.Real'!Área_de_impresión</vt:lpstr>
      <vt:lpstr>'3.9.2.f'!Área_de_impresión</vt:lpstr>
      <vt:lpstr>'Afil. anual SFS( Mod)'!Área_de_impresión</vt:lpstr>
      <vt:lpstr>'Afil. mensual (Mod.)'!Área_de_impresión</vt:lpstr>
      <vt:lpstr>Apelaciones1!Área_de_impresión</vt:lpstr>
      <vt:lpstr>Apelaciones2!Área_de_impresión</vt:lpstr>
      <vt:lpstr>Aport.Gob.SS!Área_de_impresión</vt:lpstr>
      <vt:lpstr>CMNR!Área_de_impresión</vt:lpstr>
      <vt:lpstr>Contenido!Área_de_impresión</vt:lpstr>
      <vt:lpstr>Contenido.!Área_de_impresión</vt:lpstr>
      <vt:lpstr>'Dep y Tit por mes'!Área_de_impresión</vt:lpstr>
      <vt:lpstr>EI!Área_de_impresión</vt:lpstr>
      <vt:lpstr>G1.RC!Área_de_impresión</vt:lpstr>
      <vt:lpstr>G1.RS!Área_de_impresión</vt:lpstr>
      <vt:lpstr>G10.RS!Área_de_impresión</vt:lpstr>
      <vt:lpstr>G2.RC!Área_de_impresión</vt:lpstr>
      <vt:lpstr>G2.RS!Área_de_impresión</vt:lpstr>
      <vt:lpstr>G3.RS!Área_de_impresión</vt:lpstr>
      <vt:lpstr>G4.RC!Área_de_impresión</vt:lpstr>
      <vt:lpstr>G5.RS!Área_de_impresión</vt:lpstr>
      <vt:lpstr>G6.RS!Área_de_impresión</vt:lpstr>
      <vt:lpstr>G7.RC!Área_de_impresión</vt:lpstr>
      <vt:lpstr>G7.RS!Área_de_impresión</vt:lpstr>
      <vt:lpstr>G8.RS!Área_de_impresión</vt:lpstr>
      <vt:lpstr>G9.RS!Área_de_impresión</vt:lpstr>
      <vt:lpstr>Hoja3!Área_de_impresión</vt:lpstr>
      <vt:lpstr>HOME2!Área_de_impresión</vt:lpstr>
      <vt:lpstr>'I.1.1 Cobertura SDSS '!Área_de_impresión</vt:lpstr>
      <vt:lpstr>'I.1.2 Cobertura SDSS'!Área_de_impresión</vt:lpstr>
      <vt:lpstr>'I.1.3 Cobertura SDSS '!Área_de_impresión</vt:lpstr>
      <vt:lpstr>'I.1.4 Afil. SDSS Anual'!Área_de_impresión</vt:lpstr>
      <vt:lpstr>'I.1.6 Proy. afil.Vs pobl.'!Área_de_impresión</vt:lpstr>
      <vt:lpstr>'I.2.1 Empl x sector '!Área_de_impresión</vt:lpstr>
      <vt:lpstr>'I.2.2 Empr x No. de empl'!Área_de_impresión</vt:lpstr>
      <vt:lpstr>'I.2.3 Salario prom.'!Área_de_impresión</vt:lpstr>
      <vt:lpstr>'II.1 Pob. econ. '!Área_de_impresión</vt:lpstr>
      <vt:lpstr>'II.2 Ocup. formal '!Área_de_impresión</vt:lpstr>
      <vt:lpstr>'III.1 Ingr y egr SDSS'!Área_de_impresión</vt:lpstr>
      <vt:lpstr>'Ind. Depend SFS RC Anual'!Área_de_impresión</vt:lpstr>
      <vt:lpstr>'IV.1.1.1 Afil. SFS RC Anual '!Área_de_impresión</vt:lpstr>
      <vt:lpstr>'IV.1.1.10 Afil. SFS.Prov.EPriv'!Área_de_impresión</vt:lpstr>
      <vt:lpstr>'IV.1.1.11 Afil.SFS.Prov EPub D '!Área_de_impresión</vt:lpstr>
      <vt:lpstr>'IV.1.1.12 Afil. SFS.Prov.EPub.C'!Área_de_impresión</vt:lpstr>
      <vt:lpstr>'IV.1.1.13 Afil.SFS.Art.124 Ley'!Área_de_impresión</vt:lpstr>
      <vt:lpstr>'IV.1.1.14 Comparativo afil.edad'!Área_de_impresión</vt:lpstr>
      <vt:lpstr>'IV.1.1.15 Comp. afil. región'!Área_de_impresión</vt:lpstr>
      <vt:lpstr>'IV.1.1.2 Afil. SFS RC Mensual '!Área_de_impresión</vt:lpstr>
      <vt:lpstr>'IV.1.1.3 Ind. Dep SFS RC Mens'!Área_de_impresión</vt:lpstr>
      <vt:lpstr>'IV.1.1.4 Tit. Vs pob ocup.'!Área_de_impresión</vt:lpstr>
      <vt:lpstr>'IV.1.1.5.Afil. SFS x ARS'!Área_de_impresión</vt:lpstr>
      <vt:lpstr>'IV.1.1.6. Afil. SFS.Región.stat'!Área_de_impresión</vt:lpstr>
      <vt:lpstr>'IV.1.1.7. Afil. SFS.Región.Edad'!Área_de_impresión</vt:lpstr>
      <vt:lpstr>'IV.1.1.8 Afil. SFS.Prov.Edad'!Área_de_impresión</vt:lpstr>
      <vt:lpstr>'IV.1.1.9 Afil. SFS.Prov.Sector'!Área_de_impresión</vt:lpstr>
      <vt:lpstr>'IV.1.2.1 Rec. disp. salud'!Área_de_impresión</vt:lpstr>
      <vt:lpstr>'IV.1.2.2 Disp. SFS'!Área_de_impresión</vt:lpstr>
      <vt:lpstr>'IV.1.2.3 Dip. SFS mensual'!Área_de_impresión</vt:lpstr>
      <vt:lpstr>'IV.1.2.4 Disp. x ARS 2'!Área_de_impresión</vt:lpstr>
      <vt:lpstr>'IV.1.2.5 Disp. x ARS'!Área_de_impresión</vt:lpstr>
      <vt:lpstr>'IV.1.2.6 Gast.Salud'!Área_de_impresión</vt:lpstr>
      <vt:lpstr>'IV.1.3.1 Por cuentas'!Área_de_impresión</vt:lpstr>
      <vt:lpstr>'IV.1.3.2 Por entidad'!Área_de_impresión</vt:lpstr>
      <vt:lpstr>'IV.2.1.1 fil anual SFS RS '!Área_de_impresión</vt:lpstr>
      <vt:lpstr>'IV.2.1.2 Afil. RS mensual'!Área_de_impresión</vt:lpstr>
      <vt:lpstr>'IV.2.1.3 Afil. SFS RS Vs pob.'!Área_de_impresión</vt:lpstr>
      <vt:lpstr>'IV.2.1.4 Afil. SFS Rs Vs pob 3'!Área_de_impresión</vt:lpstr>
      <vt:lpstr>'IV.2.1.5 Afil. SFS RS Vs pob 4'!Área_de_impresión</vt:lpstr>
      <vt:lpstr>'IV.2.1.6 Ind. depend.'!Área_de_impresión</vt:lpstr>
      <vt:lpstr>'IV.2.2.1 Aport. Disp. RS'!Área_de_impresión</vt:lpstr>
      <vt:lpstr>'IV.2.2.2 Saldos RS mensual'!Área_de_impresión</vt:lpstr>
      <vt:lpstr>'IV.3.1 Afil. SFSP Anual.'!Área_de_impresión</vt:lpstr>
      <vt:lpstr>'IV.3.2 Afil. SFSP Mensual'!Área_de_impresión</vt:lpstr>
      <vt:lpstr>'IV.3.3 Disp.SFS Pens.x ARS'!Área_de_impresión</vt:lpstr>
      <vt:lpstr>'IV.4.1.1 Afil. a EI'!Área_de_impresión</vt:lpstr>
      <vt:lpstr>'IV.4.1.2 Afil. a EI (2)'!Área_de_impresión</vt:lpstr>
      <vt:lpstr>'IV.4.1.2 Afil. a EI (3)'!Área_de_impresión</vt:lpstr>
      <vt:lpstr>'IV.4.1.3 Evol. afil. EI'!Área_de_impresión</vt:lpstr>
      <vt:lpstr>'IV.4.1.4 EI Estancias'!Área_de_impresión</vt:lpstr>
      <vt:lpstr>'IV.4.2.1 Benef. subsid'!Área_de_impresión</vt:lpstr>
      <vt:lpstr>'IV.4.2.2 Monto subsid'!Área_de_impresión</vt:lpstr>
      <vt:lpstr>Present.!Área_de_impresión</vt:lpstr>
      <vt:lpstr>'RC'!Área_de_impresión</vt:lpstr>
      <vt:lpstr>'Rec. x origen'!Área_de_impresión</vt:lpstr>
      <vt:lpstr>'Rec. y dip. EI'!Área_de_impresión</vt:lpstr>
      <vt:lpstr>'Recaudo x sector'!Área_de_impresión</vt:lpstr>
      <vt:lpstr>RET!Área_de_impresión</vt:lpstr>
      <vt:lpstr>RS!Área_de_impresión</vt:lpstr>
      <vt:lpstr>SDSS!Área_de_impresión</vt:lpstr>
      <vt:lpstr>SRL!Área_de_impresión</vt:lpstr>
      <vt:lpstr>Status!Área_de_impresión</vt:lpstr>
      <vt:lpstr>Subsidios!Área_de_impresión</vt:lpstr>
      <vt:lpstr>SVDS!Área_de_impresión</vt:lpstr>
      <vt:lpstr>'Total Afil.Mas 50'!Área_de_impresión</vt:lpstr>
      <vt:lpstr>'Total Afiliados &lt;50'!Área_de_impresión</vt:lpstr>
      <vt:lpstr>'V.1.1 Afil. SVDS'!Área_de_impresión</vt:lpstr>
      <vt:lpstr>'V.1.2 Afil. cotiz.'!Área_de_impresión</vt:lpstr>
      <vt:lpstr>'V.1.3 Afil. SVDS mensual'!Área_de_impresión</vt:lpstr>
      <vt:lpstr>'V.1.4 Afil. SVDS x sexo'!Área_de_impresión</vt:lpstr>
      <vt:lpstr>'V.1.5 Cotiz. x rango de edad'!Área_de_impresión</vt:lpstr>
      <vt:lpstr>'V.1.5 Cotiz. x rango de edad (2'!Área_de_impresión</vt:lpstr>
      <vt:lpstr>'V.1.6 Cotiz x sal. min. cot.'!Área_de_impresión</vt:lpstr>
      <vt:lpstr>'V.1.7 Cotiz.x AFP y fondos'!Área_de_impresión</vt:lpstr>
      <vt:lpstr>'V.1.8 Cotiz. x sexo '!Área_de_impresión</vt:lpstr>
      <vt:lpstr>'V.2.1 Disp. SVDS'!Área_de_impresión</vt:lpstr>
      <vt:lpstr>'V.2.2 Disp. anual  x cuentas'!Área_de_impresión</vt:lpstr>
      <vt:lpstr>'V.3.1 Traspasos anual'!Área_de_impresión</vt:lpstr>
      <vt:lpstr>'V.3.2 Trasp. recibidos'!Área_de_impresión</vt:lpstr>
      <vt:lpstr>'V.3.3 Trasp. cedidos'!Área_de_impresión</vt:lpstr>
      <vt:lpstr>'V.3.4 Trasp. netos'!Área_de_impresión</vt:lpstr>
      <vt:lpstr>'V.4.1 Pensiones por año'!Área_de_impresión</vt:lpstr>
      <vt:lpstr>'V.4.2 PEA_Pensiones_Género'!Área_de_impresión</vt:lpstr>
      <vt:lpstr>'V.4.3 Pensiones Sob.Disc'!Área_de_impresión</vt:lpstr>
      <vt:lpstr>'V.4.4. Pens.Disc. AFP'!Área_de_impresión</vt:lpstr>
      <vt:lpstr>'V.5.1 Patrim. fp anual'!Área_de_impresión</vt:lpstr>
      <vt:lpstr>'V.5.2 Cartera de inv fp'!Área_de_impresión</vt:lpstr>
      <vt:lpstr>'V.5.3 Rent. nom. de los FP'!Área_de_impresión</vt:lpstr>
      <vt:lpstr>'V.5.4 Comp. Cartera'!Área_de_impresión</vt:lpstr>
      <vt:lpstr>'V1.8Cot.Afil X Sexo'!Área_de_impresión</vt:lpstr>
      <vt:lpstr>'VI.1.1 Afil. SRL'!Área_de_impresión</vt:lpstr>
      <vt:lpstr>'VI.1.2 Afil. SRL x sexoy edad'!Área_de_impresión</vt:lpstr>
      <vt:lpstr>'VI.1.3 Afil. ARL x riesgo'!Área_de_impresión</vt:lpstr>
      <vt:lpstr>'VI.2.1 Disp. anual ARL'!Área_de_impresión</vt:lpstr>
      <vt:lpstr>'VI.2.2 Disp. mensual a ARL'!Área_de_impresión</vt:lpstr>
      <vt:lpstr>'VI.3.1 NA. Reportes ARL'!Área_de_impresión</vt:lpstr>
      <vt:lpstr>'VI.3.10 Accid x sexo'!Área_de_impresión</vt:lpstr>
      <vt:lpstr>'VI.3.11 Accid x sexo '!Área_de_impresión</vt:lpstr>
      <vt:lpstr>'VI.3.12 Accid x rango de edad'!Área_de_impresión</vt:lpstr>
      <vt:lpstr>'VI.3.13 Accid x edad'!Área_de_impresión</vt:lpstr>
      <vt:lpstr>'VI.3.14 Accid x Escolaridad'!Área_de_impresión</vt:lpstr>
      <vt:lpstr>'VI.3.15 EC. Accid. Lab.'!Área_de_impresión</vt:lpstr>
      <vt:lpstr>'VI.3.16 EC. Accid. Lab'!Área_de_impresión</vt:lpstr>
      <vt:lpstr>'VI.3.17 EC. Accid. Lab x tipo'!Área_de_impresión</vt:lpstr>
      <vt:lpstr>'VI.3.18 EC. Accid. Lab x Lesión'!Área_de_impresión</vt:lpstr>
      <vt:lpstr>'VI.3.19 Accid.Lab suceso'!Área_de_impresión</vt:lpstr>
      <vt:lpstr>'VI.3.2 ID. Accidentabilidad'!Área_de_impresión</vt:lpstr>
      <vt:lpstr>'VI.3.20 EC. x mecanismo causal'!Área_de_impresión</vt:lpstr>
      <vt:lpstr>'VI.3.21 EC. x Agente daño'!Área_de_impresión</vt:lpstr>
      <vt:lpstr>'VI.3.22 EC. x  lugar de accid.'!Área_de_impresión</vt:lpstr>
      <vt:lpstr>'VI.3.23 Exped. Calif. x antig.'!Área_de_impresión</vt:lpstr>
      <vt:lpstr>'VI.3.24 EC. Accid incapac.'!Área_de_impresión</vt:lpstr>
      <vt:lpstr>'VI.3.25 EC. Enferm. Prof (R)'!Área_de_impresión</vt:lpstr>
      <vt:lpstr>'VI.3.26 EC. Accid Lab.(R)'!Área_de_impresión</vt:lpstr>
      <vt:lpstr>'VI.3.27. Accid. Aprobxtipo'!Área_de_impresión</vt:lpstr>
      <vt:lpstr>'VI.3.28. Accid. Aprob xLesión '!Área_de_impresión</vt:lpstr>
      <vt:lpstr>'VI.3.29 Accid.Aprob Según suc.'!Área_de_impresión</vt:lpstr>
      <vt:lpstr>'VI.3.3 NA.Cant. accid x región'!Área_de_impresión</vt:lpstr>
      <vt:lpstr>'VI.3.30 Pagos de ARLSS'!Área_de_impresión</vt:lpstr>
      <vt:lpstr>'VI.3.4 NA.Cant. accid x Prov.)'!Área_de_impresión</vt:lpstr>
      <vt:lpstr>'VI.3.5 NA.Cant. accid x Proced.'!Área_de_impresión</vt:lpstr>
      <vt:lpstr>'VI.3.6 Accid x activ. econ.'!Área_de_impresión</vt:lpstr>
      <vt:lpstr>'VI.3.9 Accid x sector '!Área_de_impresión</vt:lpstr>
      <vt:lpstr>'VI.4.1 Prest. econ. SRL'!Área_de_impresión</vt:lpstr>
      <vt:lpstr>'VI.4.2 Gastos med. ARL'!Área_de_impresión</vt:lpstr>
      <vt:lpstr>'VI.4.3 Gastos prevenc. riesgos'!Área_de_impresión</vt:lpstr>
      <vt:lpstr>'VI.4.4 Pensión sobrev. ARL'!Área_de_impresión</vt:lpstr>
      <vt:lpstr>'VI.4.5 Pensión discap ARL'!Área_de_impresión</vt:lpstr>
      <vt:lpstr>'VI.4.6 Discap. temporal ARL'!Área_de_impresión</vt:lpstr>
      <vt:lpstr>'VI.4.7 Indemniz.ARL'!Área_de_impresión</vt:lpstr>
      <vt:lpstr>'VI.4.8 Remuneración SRL'!Área_de_impresión</vt:lpstr>
      <vt:lpstr>'VI.4.9 Beneficios SRL'!Área_de_impresión</vt:lpstr>
      <vt:lpstr>'VII.1 CMR'!Área_de_impresión</vt:lpstr>
      <vt:lpstr>'VII.1 CMR '!Área_de_impresión</vt:lpstr>
      <vt:lpstr>'VII.1 CMR (2)'!Área_de_impresión</vt:lpstr>
      <vt:lpstr>'VIII.1 Sol.Pensiones'!Área_de_impresión</vt:lpstr>
      <vt:lpstr>'VIII.2 Sol.Ent.Sal.'!Área_de_impresión</vt:lpstr>
      <vt:lpstr>'VIII.3 Sol.Realiz.Entid.'!Área_de_impresión</vt:lpstr>
      <vt:lpstr>'Dep y Tit por mes'!Títulos_a_imprimir</vt:lpstr>
      <vt:lpstr>HOME2!Títulos_a_imprimir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2015-03-06T14:54:01Z</cp:lastPrinted>
  <dcterms:created xsi:type="dcterms:W3CDTF">2010-04-06T13:07:55Z</dcterms:created>
  <dcterms:modified xsi:type="dcterms:W3CDTF">2015-04-16T14:16:36Z</dcterms:modified>
</cp:coreProperties>
</file>